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785" windowWidth="11355" windowHeight="6195" tabRatio="693"/>
  </bookViews>
  <sheets>
    <sheet name="St of Net Position" sheetId="9" r:id="rId1"/>
    <sheet name="St of Act-Rev" sheetId="8" r:id="rId2"/>
    <sheet name="St of Act-Exp" sheetId="7" r:id="rId3"/>
    <sheet name="GenBS" sheetId="6" r:id="rId4"/>
    <sheet name="GenRev" sheetId="5" r:id="rId5"/>
    <sheet name="GenExp" sheetId="4" r:id="rId6"/>
    <sheet name="GovBS" sheetId="1" r:id="rId7"/>
    <sheet name="GovRev" sheetId="2" r:id="rId8"/>
    <sheet name="GovExp" sheetId="11" r:id="rId9"/>
    <sheet name="LT_Ob" sheetId="10" r:id="rId10"/>
  </sheets>
  <definedNames>
    <definedName name="_xlnm.Print_Titles" localSheetId="3">GenBS!$1:$12</definedName>
    <definedName name="_xlnm.Print_Titles" localSheetId="5">GenExp!$1:$12</definedName>
    <definedName name="_xlnm.Print_Titles" localSheetId="4">GenRev!$1:$12</definedName>
    <definedName name="_xlnm.Print_Titles" localSheetId="6">GovBS!$1:$12</definedName>
    <definedName name="_xlnm.Print_Titles" localSheetId="8">GovExp!$1:$12</definedName>
    <definedName name="_xlnm.Print_Titles" localSheetId="7">GovRev!$1:$12</definedName>
    <definedName name="_xlnm.Print_Titles" localSheetId="9">LT_Ob!$1:$12</definedName>
    <definedName name="_xlnm.Print_Titles" localSheetId="2">'St of Act-Exp'!$1:$12</definedName>
    <definedName name="_xlnm.Print_Titles" localSheetId="1">'St of Act-Rev'!$1:$12</definedName>
    <definedName name="_xlnm.Print_Titles" localSheetId="0">'St of Net Position'!$1:$12</definedName>
  </definedNames>
  <calcPr calcId="145621"/>
</workbook>
</file>

<file path=xl/calcChain.xml><?xml version="1.0" encoding="utf-8"?>
<calcChain xmlns="http://schemas.openxmlformats.org/spreadsheetml/2006/main">
  <c r="M83" i="10" l="1"/>
  <c r="M84" i="10"/>
  <c r="K80" i="10"/>
  <c r="AC30" i="2"/>
  <c r="AC19" i="2"/>
  <c r="AA29" i="2"/>
  <c r="U75" i="2" l="1"/>
  <c r="U75" i="5"/>
  <c r="AQ47" i="11" l="1"/>
  <c r="AQ39" i="11"/>
  <c r="AQ32" i="11"/>
  <c r="AQ27" i="11"/>
  <c r="W26" i="10"/>
  <c r="K29" i="10"/>
  <c r="G29" i="10"/>
  <c r="G36" i="10"/>
  <c r="AP47" i="4"/>
  <c r="AP39" i="4"/>
  <c r="AP32" i="4"/>
  <c r="AP27" i="4"/>
  <c r="AA20" i="9"/>
  <c r="M131" i="2" l="1"/>
  <c r="M131" i="5"/>
  <c r="I131" i="9"/>
  <c r="S131" i="9"/>
  <c r="M130" i="2" l="1"/>
  <c r="M130" i="5"/>
  <c r="I130" i="9"/>
  <c r="S130" i="9"/>
  <c r="M65" i="2" l="1"/>
  <c r="M65" i="5"/>
  <c r="Q65" i="1"/>
  <c r="Q65" i="6"/>
  <c r="Y65" i="8"/>
  <c r="O65" i="8"/>
  <c r="I65" i="9"/>
  <c r="S65" i="9"/>
  <c r="M64" i="2" l="1"/>
  <c r="M64" i="5"/>
  <c r="I64" i="1"/>
  <c r="I64" i="6"/>
  <c r="W64" i="9"/>
  <c r="I64" i="9"/>
  <c r="S64" i="9"/>
  <c r="BV63" i="11"/>
  <c r="M63" i="2"/>
  <c r="M63" i="5"/>
  <c r="W63" i="9"/>
  <c r="I63" i="9"/>
  <c r="S63" i="9"/>
  <c r="G63" i="10"/>
  <c r="I62" i="2" l="1"/>
  <c r="M62" i="2"/>
  <c r="M62" i="5"/>
  <c r="I62" i="5"/>
  <c r="AA62" i="1"/>
  <c r="W62" i="1"/>
  <c r="U62" i="1"/>
  <c r="AA62" i="6"/>
  <c r="U62" i="6"/>
  <c r="O62" i="8"/>
  <c r="W62" i="9"/>
  <c r="S62" i="9"/>
  <c r="G62" i="10"/>
  <c r="AU61" i="11"/>
  <c r="M61" i="2"/>
  <c r="I61" i="2"/>
  <c r="M61" i="5"/>
  <c r="AA61" i="1"/>
  <c r="Y61" i="1"/>
  <c r="W61" i="1"/>
  <c r="U61" i="1"/>
  <c r="G61" i="1"/>
  <c r="AA61" i="6"/>
  <c r="Y61" i="6"/>
  <c r="U61" i="6"/>
  <c r="G61" i="6"/>
  <c r="W61" i="9"/>
  <c r="S61" i="9"/>
  <c r="AQ60" i="11" l="1"/>
  <c r="AP60" i="4"/>
  <c r="I60" i="2"/>
  <c r="M60" i="2"/>
  <c r="M60" i="5"/>
  <c r="O60" i="8"/>
  <c r="W60" i="9"/>
  <c r="S60" i="9"/>
  <c r="I60" i="10"/>
  <c r="M59" i="2" l="1"/>
  <c r="M59" i="5"/>
  <c r="Q59" i="1"/>
  <c r="G59" i="1"/>
  <c r="Q59" i="6"/>
  <c r="I59" i="9"/>
  <c r="S59" i="9"/>
  <c r="M126" i="2"/>
  <c r="I126" i="2"/>
  <c r="I126" i="5"/>
  <c r="M126" i="5"/>
  <c r="AA126" i="1"/>
  <c r="AA126" i="6"/>
  <c r="S126" i="9"/>
  <c r="I58" i="2"/>
  <c r="M58" i="2"/>
  <c r="M58" i="5"/>
  <c r="AA58" i="1"/>
  <c r="W58" i="1"/>
  <c r="U58" i="1"/>
  <c r="AA58" i="6"/>
  <c r="U58" i="6"/>
  <c r="W58" i="9"/>
  <c r="S58" i="9"/>
  <c r="M57" i="2" l="1"/>
  <c r="M57" i="5"/>
  <c r="W57" i="9"/>
  <c r="I57" i="9"/>
  <c r="S57" i="9"/>
  <c r="W56" i="9"/>
  <c r="I56" i="9"/>
  <c r="S56" i="9"/>
  <c r="M55" i="2"/>
  <c r="W55" i="1"/>
  <c r="U55" i="1"/>
  <c r="U55" i="6"/>
  <c r="W55" i="9"/>
  <c r="I55" i="9"/>
  <c r="S55" i="9"/>
  <c r="G55" i="10"/>
  <c r="M124" i="2" l="1"/>
  <c r="M124" i="5"/>
  <c r="Q124" i="1"/>
  <c r="Q124" i="6"/>
  <c r="I124" i="9"/>
  <c r="S124" i="9"/>
  <c r="I123" i="2" l="1"/>
  <c r="M123" i="2"/>
  <c r="M123" i="5"/>
  <c r="I123" i="5"/>
  <c r="AA123" i="1"/>
  <c r="W123" i="1"/>
  <c r="AA123" i="6"/>
  <c r="S123" i="9"/>
  <c r="I54" i="2"/>
  <c r="M54" i="2"/>
  <c r="I54" i="5"/>
  <c r="AA54" i="1"/>
  <c r="U54" i="1"/>
  <c r="AA54" i="6"/>
  <c r="U54" i="6"/>
  <c r="W54" i="9"/>
  <c r="S54" i="9"/>
  <c r="M53" i="2"/>
  <c r="M53" i="5"/>
  <c r="Q53" i="1"/>
  <c r="Q53" i="6"/>
  <c r="I53" i="9"/>
  <c r="S53" i="9"/>
  <c r="W122" i="11" l="1"/>
  <c r="M122" i="2"/>
  <c r="W122" i="4"/>
  <c r="M122" i="5"/>
  <c r="W122" i="7"/>
  <c r="I122" i="9"/>
  <c r="M52" i="2"/>
  <c r="M52" i="5"/>
  <c r="O52" i="8"/>
  <c r="W52" i="9"/>
  <c r="I52" i="9"/>
  <c r="M121" i="2" l="1"/>
  <c r="M121" i="5"/>
  <c r="M51" i="2" l="1"/>
  <c r="M51" i="5"/>
  <c r="O51" i="8"/>
  <c r="W51" i="9"/>
  <c r="I51" i="9"/>
  <c r="M118" i="2" l="1"/>
  <c r="M118" i="5"/>
  <c r="AA118" i="1"/>
  <c r="W118" i="1"/>
  <c r="AA118" i="6"/>
  <c r="M117" i="2" l="1"/>
  <c r="I117" i="2"/>
  <c r="M117" i="5"/>
  <c r="AA117" i="1"/>
  <c r="W117" i="1"/>
  <c r="AA117" i="6"/>
  <c r="M115" i="2"/>
  <c r="M115" i="5"/>
  <c r="M50" i="2"/>
  <c r="M50" i="5"/>
  <c r="I50" i="9"/>
  <c r="M49" i="2"/>
  <c r="M49" i="5"/>
  <c r="W49" i="9"/>
  <c r="I49" i="9"/>
  <c r="M48" i="2" l="1"/>
  <c r="I48" i="2"/>
  <c r="M48" i="5"/>
  <c r="AA48" i="1"/>
  <c r="Y48" i="1"/>
  <c r="W48" i="1"/>
  <c r="U48" i="1"/>
  <c r="G48" i="1"/>
  <c r="AA48" i="6"/>
  <c r="U48" i="6"/>
  <c r="W48" i="9"/>
  <c r="G48" i="10"/>
  <c r="M47" i="2"/>
  <c r="M47" i="5"/>
  <c r="G47" i="1"/>
  <c r="O47" i="8"/>
  <c r="W47" i="9"/>
  <c r="I47" i="9"/>
  <c r="M114" i="2" l="1"/>
  <c r="M114" i="5"/>
  <c r="I114" i="9"/>
  <c r="M46" i="2"/>
  <c r="M46" i="5"/>
  <c r="Y46" i="8"/>
  <c r="W46" i="9"/>
  <c r="I46" i="9"/>
  <c r="AU45" i="11"/>
  <c r="M45" i="2"/>
  <c r="K45" i="2"/>
  <c r="I45" i="2"/>
  <c r="M45" i="5"/>
  <c r="K45" i="5"/>
  <c r="AA45" i="1"/>
  <c r="W45" i="1"/>
  <c r="U45" i="1"/>
  <c r="AA45" i="6"/>
  <c r="S45" i="8"/>
  <c r="O45" i="8"/>
  <c r="W45" i="9"/>
  <c r="M45" i="9"/>
  <c r="G45" i="10"/>
  <c r="M112" i="2" l="1"/>
  <c r="M112" i="5"/>
  <c r="I112" i="7"/>
  <c r="I112" i="9"/>
  <c r="W44" i="11"/>
  <c r="M44" i="2"/>
  <c r="W44" i="4"/>
  <c r="W44" i="7"/>
  <c r="I44" i="9"/>
  <c r="M111" i="2"/>
  <c r="M111" i="5"/>
  <c r="Y111" i="8"/>
  <c r="I111" i="9"/>
  <c r="M110" i="2" l="1"/>
  <c r="I110" i="2"/>
  <c r="M110" i="5"/>
  <c r="I110" i="5"/>
  <c r="AA110" i="1"/>
  <c r="U110" i="1"/>
  <c r="AA110" i="6"/>
  <c r="M109" i="2" l="1"/>
  <c r="I109" i="2"/>
  <c r="M109" i="5"/>
  <c r="AA109" i="1"/>
  <c r="W109" i="1"/>
  <c r="AA109" i="6"/>
  <c r="M108" i="2" l="1"/>
  <c r="M108" i="5"/>
  <c r="AA108" i="1"/>
  <c r="W108" i="1"/>
  <c r="U108" i="1"/>
  <c r="AA108" i="6"/>
  <c r="U108" i="6"/>
  <c r="I108" i="9"/>
  <c r="W107" i="11"/>
  <c r="M107" i="2"/>
  <c r="W107" i="4"/>
  <c r="M107" i="5"/>
  <c r="W107" i="7"/>
  <c r="I107" i="9"/>
  <c r="M43" i="2" l="1"/>
  <c r="M43" i="5"/>
  <c r="AA43" i="1"/>
  <c r="Y43" i="1"/>
  <c r="W43" i="1"/>
  <c r="U43" i="1"/>
  <c r="G43" i="1"/>
  <c r="AA43" i="6"/>
  <c r="Y43" i="6"/>
  <c r="U43" i="6"/>
  <c r="O43" i="8"/>
  <c r="W43" i="9"/>
  <c r="I43" i="9"/>
  <c r="W42" i="11"/>
  <c r="M42" i="2"/>
  <c r="W42" i="4"/>
  <c r="M42" i="5"/>
  <c r="W42" i="7"/>
  <c r="I42" i="9"/>
  <c r="M105" i="2"/>
  <c r="M105" i="5"/>
  <c r="I105" i="9"/>
  <c r="M103" i="2" l="1"/>
  <c r="M103" i="5"/>
  <c r="M41" i="2"/>
  <c r="M41" i="5"/>
  <c r="Y41" i="8"/>
  <c r="I41" i="9"/>
  <c r="M40" i="2" l="1"/>
  <c r="M40" i="5"/>
  <c r="W40" i="9"/>
  <c r="I40" i="9"/>
  <c r="M102" i="2" l="1"/>
  <c r="I102" i="2"/>
  <c r="M102" i="5"/>
  <c r="I102" i="5"/>
  <c r="AA102" i="1"/>
  <c r="W102" i="1"/>
  <c r="U102" i="1"/>
  <c r="AA102" i="6"/>
  <c r="U102" i="6"/>
  <c r="M39" i="2"/>
  <c r="M39" i="5"/>
  <c r="G39" i="1"/>
  <c r="G39" i="6"/>
  <c r="W39" i="9"/>
  <c r="M39" i="9"/>
  <c r="I39" i="9"/>
  <c r="M38" i="2" l="1"/>
  <c r="M38" i="5"/>
  <c r="W38" i="9"/>
  <c r="I38" i="9"/>
  <c r="M98" i="2" l="1"/>
  <c r="M98" i="5"/>
  <c r="M36" i="2" l="1"/>
  <c r="M36" i="5"/>
  <c r="I36" i="1"/>
  <c r="O36" i="8"/>
  <c r="W36" i="9"/>
  <c r="I36" i="9"/>
  <c r="M96" i="2"/>
  <c r="M96" i="5"/>
  <c r="M34" i="2" l="1"/>
  <c r="W34" i="1"/>
  <c r="U34" i="1"/>
  <c r="O34" i="8"/>
  <c r="W34" i="9"/>
  <c r="I34" i="9"/>
  <c r="U93" i="2"/>
  <c r="I93" i="2"/>
  <c r="U93" i="5"/>
  <c r="I93" i="5"/>
  <c r="AA93" i="1"/>
  <c r="U93" i="1"/>
  <c r="AA93" i="6"/>
  <c r="U93" i="6"/>
  <c r="M91" i="2" l="1"/>
  <c r="M91" i="5"/>
  <c r="W90" i="11"/>
  <c r="U90" i="2"/>
  <c r="M90" i="2"/>
  <c r="W90" i="4"/>
  <c r="U90" i="5"/>
  <c r="W90" i="7"/>
  <c r="I90" i="9"/>
  <c r="AQ89" i="7" l="1"/>
  <c r="I89" i="9"/>
  <c r="M33" i="2"/>
  <c r="M33" i="5"/>
  <c r="W33" i="9"/>
  <c r="I33" i="9"/>
  <c r="M32" i="2" l="1"/>
  <c r="M32" i="5"/>
  <c r="Q32" i="1"/>
  <c r="Q32" i="6"/>
  <c r="I32" i="9"/>
  <c r="S32" i="9"/>
  <c r="BA30" i="11" l="1"/>
  <c r="U30" i="2"/>
  <c r="M30" i="2"/>
  <c r="K30" i="2"/>
  <c r="U30" i="5"/>
  <c r="M30" i="5"/>
  <c r="K30" i="5"/>
  <c r="G30" i="1"/>
  <c r="G30" i="6"/>
  <c r="Y30" i="8"/>
  <c r="O30" i="8"/>
  <c r="I30" i="9"/>
  <c r="M86" i="2" l="1"/>
  <c r="M86" i="5"/>
  <c r="Y86" i="8"/>
  <c r="BA29" i="11" l="1"/>
  <c r="U29" i="2"/>
  <c r="M29" i="2"/>
  <c r="I29" i="2"/>
  <c r="U29" i="5"/>
  <c r="M29" i="5"/>
  <c r="I29" i="5"/>
  <c r="AA29" i="1"/>
  <c r="W29" i="1"/>
  <c r="U29" i="1"/>
  <c r="AA29" i="6"/>
  <c r="U29" i="6"/>
  <c r="W29" i="9"/>
  <c r="U100" i="2"/>
  <c r="M100" i="2"/>
  <c r="I100" i="2"/>
  <c r="M100" i="5"/>
  <c r="I100" i="5"/>
  <c r="AA100" i="1"/>
  <c r="Y100" i="1"/>
  <c r="W100" i="1"/>
  <c r="AA100" i="6"/>
  <c r="Y100" i="6"/>
  <c r="M84" i="2"/>
  <c r="I84" i="2"/>
  <c r="M84" i="5"/>
  <c r="I84" i="5"/>
  <c r="AA84" i="1"/>
  <c r="W84" i="1"/>
  <c r="AA84" i="6"/>
  <c r="M28" i="2" l="1"/>
  <c r="M28" i="5"/>
  <c r="U83" i="2" l="1"/>
  <c r="I83" i="2"/>
  <c r="U83" i="5"/>
  <c r="I83" i="5"/>
  <c r="W83" i="1"/>
  <c r="U27" i="2" l="1"/>
  <c r="M27" i="2"/>
  <c r="I27" i="2"/>
  <c r="U27" i="5"/>
  <c r="M27" i="5"/>
  <c r="I27" i="5"/>
  <c r="AA27" i="1"/>
  <c r="Y27" i="1"/>
  <c r="W27" i="1"/>
  <c r="U27" i="1"/>
  <c r="AA27" i="6"/>
  <c r="Y27" i="6"/>
  <c r="U27" i="6"/>
  <c r="O27" i="8"/>
  <c r="W27" i="9"/>
  <c r="AQ26" i="11" l="1"/>
  <c r="U26" i="2"/>
  <c r="M26" i="2"/>
  <c r="K26" i="2"/>
  <c r="I26" i="2"/>
  <c r="AP26" i="4"/>
  <c r="K26" i="5"/>
  <c r="U26" i="5"/>
  <c r="M26" i="5"/>
  <c r="AA26" i="1"/>
  <c r="Y26" i="1"/>
  <c r="W26" i="1"/>
  <c r="U26" i="1"/>
  <c r="G26" i="1"/>
  <c r="AA26" i="6"/>
  <c r="U26" i="6"/>
  <c r="G26" i="6"/>
  <c r="BA26" i="7"/>
  <c r="S26" i="8"/>
  <c r="W26" i="9"/>
  <c r="M80" i="2" l="1"/>
  <c r="M80" i="5"/>
  <c r="I80" i="9"/>
  <c r="M25" i="2" l="1"/>
  <c r="M25" i="5"/>
  <c r="O25" i="8"/>
  <c r="I25" i="9"/>
  <c r="I25" i="10"/>
  <c r="M24" i="2" l="1"/>
  <c r="I24" i="2"/>
  <c r="M24" i="5"/>
  <c r="I24" i="5"/>
  <c r="AA24" i="1"/>
  <c r="W24" i="1"/>
  <c r="AA24" i="6"/>
  <c r="W24" i="9"/>
  <c r="U79" i="2"/>
  <c r="M79" i="2"/>
  <c r="I79" i="2"/>
  <c r="U79" i="5"/>
  <c r="M79" i="5"/>
  <c r="I79" i="5"/>
  <c r="M77" i="2"/>
  <c r="U77" i="2"/>
  <c r="U77" i="5"/>
  <c r="M77" i="5"/>
  <c r="M76" i="2" l="1"/>
  <c r="M76" i="5"/>
  <c r="AA76" i="1"/>
  <c r="W76" i="1"/>
  <c r="AA76" i="6"/>
  <c r="W76" i="6"/>
  <c r="O76" i="7"/>
  <c r="W20" i="9" l="1"/>
  <c r="M22" i="2"/>
  <c r="M22" i="5"/>
  <c r="G22" i="1"/>
  <c r="O22" i="8"/>
  <c r="W22" i="9"/>
  <c r="I22" i="9"/>
  <c r="I75" i="9" l="1"/>
  <c r="W21" i="11"/>
  <c r="U21" i="2"/>
  <c r="W21" i="4"/>
  <c r="U21" i="5"/>
  <c r="W21" i="7"/>
  <c r="I21" i="9"/>
  <c r="U20" i="2"/>
  <c r="M20" i="2"/>
  <c r="I20" i="2"/>
  <c r="U20" i="5"/>
  <c r="AA20" i="1"/>
  <c r="Y20" i="1"/>
  <c r="W20" i="1"/>
  <c r="U20" i="1"/>
  <c r="AA20" i="6"/>
  <c r="Y20" i="6"/>
  <c r="U20" i="6"/>
  <c r="O20" i="8"/>
  <c r="M74" i="2" l="1"/>
  <c r="M74" i="5"/>
  <c r="AY19" i="11" l="1"/>
  <c r="M19" i="2"/>
  <c r="M19" i="5"/>
  <c r="W19" i="1"/>
  <c r="U19" i="1"/>
  <c r="U19" i="6"/>
  <c r="Y19" i="8"/>
  <c r="W19" i="9"/>
  <c r="I19" i="9"/>
  <c r="M18" i="2" l="1"/>
  <c r="M18" i="5"/>
  <c r="O18" i="8"/>
  <c r="W18" i="9"/>
  <c r="M72" i="2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6" i="4"/>
  <c r="BB57" i="4"/>
  <c r="BB58" i="4"/>
  <c r="BB59" i="4"/>
  <c r="BB60" i="4"/>
  <c r="BB61" i="4"/>
  <c r="BB62" i="4"/>
  <c r="BB63" i="4"/>
  <c r="BB64" i="4"/>
  <c r="BB65" i="4"/>
  <c r="BB70" i="4"/>
  <c r="BB71" i="4"/>
  <c r="BB72" i="4"/>
  <c r="BB73" i="4"/>
  <c r="BB74" i="4"/>
  <c r="BB75" i="4"/>
  <c r="BB76" i="4"/>
  <c r="BB77" i="4"/>
  <c r="BB78" i="4"/>
  <c r="BB79" i="4"/>
  <c r="BB80" i="4"/>
  <c r="BB81" i="4"/>
  <c r="BB82" i="4"/>
  <c r="BB83" i="4"/>
  <c r="BB84" i="4"/>
  <c r="BB85" i="4"/>
  <c r="BB86" i="4"/>
  <c r="BB87" i="4"/>
  <c r="BB88" i="4"/>
  <c r="BB89" i="4"/>
  <c r="BB90" i="4"/>
  <c r="BB91" i="4"/>
  <c r="BB92" i="4"/>
  <c r="BB93" i="4"/>
  <c r="BB96" i="4"/>
  <c r="BB97" i="4"/>
  <c r="BB98" i="4"/>
  <c r="BB99" i="4"/>
  <c r="BB100" i="4"/>
  <c r="BB101" i="4"/>
  <c r="BB102" i="4"/>
  <c r="BB103" i="4"/>
  <c r="BB104" i="4"/>
  <c r="BB105" i="4"/>
  <c r="BB106" i="4"/>
  <c r="BB107" i="4"/>
  <c r="BB108" i="4"/>
  <c r="BB109" i="4"/>
  <c r="BB110" i="4"/>
  <c r="BB111" i="4"/>
  <c r="BB112" i="4"/>
  <c r="BB113" i="4"/>
  <c r="BB114" i="4"/>
  <c r="BB115" i="4"/>
  <c r="BB116" i="4"/>
  <c r="BB117" i="4"/>
  <c r="BB118" i="4"/>
  <c r="BB119" i="4"/>
  <c r="BB120" i="4"/>
  <c r="BB121" i="4"/>
  <c r="BB122" i="4"/>
  <c r="BB123" i="4"/>
  <c r="BB124" i="4"/>
  <c r="BB125" i="4"/>
  <c r="BB126" i="4"/>
  <c r="BB127" i="4"/>
  <c r="BB128" i="4"/>
  <c r="BB129" i="4"/>
  <c r="BB130" i="4"/>
  <c r="BB131" i="4"/>
  <c r="M72" i="5"/>
  <c r="I72" i="9"/>
  <c r="M17" i="2"/>
  <c r="M17" i="5"/>
  <c r="O17" i="8"/>
  <c r="W17" i="9"/>
  <c r="I17" i="9"/>
  <c r="U16" i="2" l="1"/>
  <c r="M16" i="2"/>
  <c r="I16" i="2"/>
  <c r="U16" i="5"/>
  <c r="M16" i="5"/>
  <c r="AA16" i="1"/>
  <c r="Y16" i="1"/>
  <c r="W16" i="1"/>
  <c r="U16" i="1"/>
  <c r="AA16" i="6"/>
  <c r="Y16" i="6"/>
  <c r="U16" i="6"/>
  <c r="O16" i="8"/>
  <c r="W16" i="9"/>
  <c r="G16" i="10"/>
  <c r="M15" i="2" l="1"/>
  <c r="M15" i="5"/>
  <c r="O15" i="8"/>
  <c r="W15" i="9"/>
  <c r="I15" i="9"/>
  <c r="AT32" i="2" l="1"/>
  <c r="AG72" i="9" l="1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74" i="9"/>
  <c r="O73" i="9"/>
  <c r="O71" i="9"/>
  <c r="O70" i="9"/>
  <c r="O72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73" i="9"/>
  <c r="G71" i="9"/>
  <c r="G70" i="9"/>
  <c r="G72" i="9"/>
  <c r="AG15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16" i="9"/>
  <c r="O15" i="9"/>
  <c r="G17" i="9"/>
  <c r="G18" i="9"/>
  <c r="G19" i="9"/>
  <c r="G20" i="9"/>
  <c r="AI20" i="9" s="1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16" i="9"/>
  <c r="G15" i="9"/>
  <c r="S101" i="10" l="1"/>
  <c r="S102" i="10"/>
  <c r="S103" i="10"/>
  <c r="S104" i="10"/>
  <c r="S105" i="10"/>
  <c r="S106" i="10"/>
  <c r="S107" i="10"/>
  <c r="S108" i="10"/>
  <c r="S109" i="10"/>
  <c r="S110" i="10"/>
  <c r="S111" i="10"/>
  <c r="S112" i="10"/>
  <c r="AE112" i="1"/>
  <c r="AI112" i="1" s="1"/>
  <c r="AE111" i="1"/>
  <c r="AI111" i="1" s="1"/>
  <c r="AE110" i="1"/>
  <c r="AI110" i="1" s="1"/>
  <c r="AE109" i="1"/>
  <c r="AI109" i="1" s="1"/>
  <c r="AE107" i="1"/>
  <c r="AI107" i="1" s="1"/>
  <c r="AE106" i="1"/>
  <c r="AI106" i="1" s="1"/>
  <c r="AE105" i="1"/>
  <c r="AI105" i="1" s="1"/>
  <c r="AE104" i="1"/>
  <c r="AI104" i="1" s="1"/>
  <c r="AE103" i="1"/>
  <c r="AI103" i="1" s="1"/>
  <c r="AE101" i="1"/>
  <c r="AI101" i="1" s="1"/>
  <c r="AE108" i="1" l="1"/>
  <c r="AI108" i="1" s="1"/>
  <c r="AE102" i="1"/>
  <c r="AI102" i="1" s="1"/>
  <c r="K32" i="6" l="1"/>
  <c r="AG32" i="6" s="1"/>
  <c r="BB16" i="4" l="1"/>
  <c r="BB17" i="4"/>
  <c r="BB18" i="4"/>
  <c r="BB15" i="4"/>
  <c r="BE15" i="11"/>
  <c r="BO15" i="11" l="1"/>
  <c r="BE16" i="11"/>
  <c r="BO16" i="11" s="1"/>
  <c r="BE17" i="11"/>
  <c r="BO17" i="11" s="1"/>
  <c r="BE18" i="11"/>
  <c r="BO18" i="11" s="1"/>
  <c r="BE19" i="11"/>
  <c r="BO19" i="11" s="1"/>
  <c r="BE20" i="11"/>
  <c r="BO20" i="11" s="1"/>
  <c r="BE21" i="11"/>
  <c r="BO21" i="11" s="1"/>
  <c r="BE22" i="11"/>
  <c r="BO22" i="11" s="1"/>
  <c r="BE23" i="11"/>
  <c r="BO23" i="11" s="1"/>
  <c r="BE24" i="11"/>
  <c r="BO24" i="11" s="1"/>
  <c r="BE25" i="11"/>
  <c r="BO25" i="11" s="1"/>
  <c r="BE26" i="11"/>
  <c r="BO26" i="11" s="1"/>
  <c r="BE27" i="11"/>
  <c r="BO27" i="11" s="1"/>
  <c r="BE28" i="11"/>
  <c r="BO28" i="11" s="1"/>
  <c r="BE29" i="11"/>
  <c r="BO29" i="11" s="1"/>
  <c r="BE30" i="11"/>
  <c r="BO30" i="11" s="1"/>
  <c r="BE31" i="11"/>
  <c r="BO31" i="11" s="1"/>
  <c r="BE32" i="11"/>
  <c r="BO32" i="11" s="1"/>
  <c r="BE33" i="11"/>
  <c r="BO33" i="11" s="1"/>
  <c r="BE34" i="11"/>
  <c r="BO34" i="11" s="1"/>
  <c r="BE36" i="11"/>
  <c r="BO36" i="11" s="1"/>
  <c r="BE37" i="11"/>
  <c r="BO37" i="11" s="1"/>
  <c r="BE38" i="11"/>
  <c r="BO38" i="11" s="1"/>
  <c r="BE39" i="11"/>
  <c r="BO39" i="11" s="1"/>
  <c r="BE40" i="11"/>
  <c r="BO40" i="11" s="1"/>
  <c r="BE41" i="11"/>
  <c r="BO41" i="11" s="1"/>
  <c r="BE42" i="11"/>
  <c r="BO42" i="11" s="1"/>
  <c r="BE43" i="11"/>
  <c r="BO43" i="11" s="1"/>
  <c r="BE44" i="11"/>
  <c r="BO44" i="11" s="1"/>
  <c r="BE45" i="11"/>
  <c r="BO45" i="11" s="1"/>
  <c r="BE46" i="11"/>
  <c r="BO46" i="11" s="1"/>
  <c r="BE47" i="11"/>
  <c r="BO47" i="11" s="1"/>
  <c r="BE48" i="11"/>
  <c r="BO48" i="11" s="1"/>
  <c r="BE49" i="11"/>
  <c r="BO49" i="11" s="1"/>
  <c r="BE50" i="11"/>
  <c r="BO50" i="11" s="1"/>
  <c r="BE51" i="11"/>
  <c r="BO51" i="11" s="1"/>
  <c r="BE52" i="11"/>
  <c r="BO52" i="11" s="1"/>
  <c r="BE53" i="11"/>
  <c r="BO53" i="11" s="1"/>
  <c r="BE54" i="11"/>
  <c r="BO54" i="11" s="1"/>
  <c r="BE55" i="11"/>
  <c r="BO55" i="11" s="1"/>
  <c r="BE56" i="11"/>
  <c r="BO56" i="11" s="1"/>
  <c r="BE57" i="11"/>
  <c r="BO57" i="11" s="1"/>
  <c r="BE58" i="11"/>
  <c r="BO58" i="11" s="1"/>
  <c r="BE59" i="11"/>
  <c r="BO59" i="11" s="1"/>
  <c r="BE60" i="11"/>
  <c r="BO60" i="11" s="1"/>
  <c r="BE61" i="11"/>
  <c r="BO61" i="11" s="1"/>
  <c r="BE62" i="11"/>
  <c r="BO62" i="11" s="1"/>
  <c r="BE63" i="11"/>
  <c r="BO63" i="11" s="1"/>
  <c r="BE64" i="11"/>
  <c r="BO64" i="11" s="1"/>
  <c r="BE65" i="11"/>
  <c r="BO65" i="11" s="1"/>
  <c r="W15" i="2"/>
  <c r="AT15" i="2"/>
  <c r="W16" i="2"/>
  <c r="AT16" i="2"/>
  <c r="W17" i="2"/>
  <c r="AT17" i="2"/>
  <c r="W18" i="2"/>
  <c r="AT18" i="2"/>
  <c r="W19" i="2"/>
  <c r="AT19" i="2"/>
  <c r="W20" i="2"/>
  <c r="AT20" i="2"/>
  <c r="W21" i="2"/>
  <c r="AT21" i="2"/>
  <c r="W22" i="2"/>
  <c r="AT22" i="2"/>
  <c r="W23" i="2"/>
  <c r="AT23" i="2"/>
  <c r="W24" i="2"/>
  <c r="AT24" i="2"/>
  <c r="W25" i="2"/>
  <c r="AT25" i="2"/>
  <c r="W26" i="2"/>
  <c r="AT26" i="2"/>
  <c r="W27" i="2"/>
  <c r="AT27" i="2"/>
  <c r="W28" i="2"/>
  <c r="AT28" i="2"/>
  <c r="W29" i="2"/>
  <c r="AT29" i="2"/>
  <c r="W30" i="2"/>
  <c r="AT30" i="2"/>
  <c r="W31" i="2"/>
  <c r="AT31" i="2"/>
  <c r="W32" i="2"/>
  <c r="W33" i="2"/>
  <c r="AT33" i="2"/>
  <c r="W34" i="2"/>
  <c r="AT34" i="2"/>
  <c r="W36" i="2"/>
  <c r="AT36" i="2"/>
  <c r="W37" i="2"/>
  <c r="AT37" i="2"/>
  <c r="W38" i="2"/>
  <c r="AT38" i="2"/>
  <c r="W39" i="2"/>
  <c r="AT39" i="2"/>
  <c r="W40" i="2"/>
  <c r="AT40" i="2"/>
  <c r="W41" i="2"/>
  <c r="AT41" i="2"/>
  <c r="W42" i="2"/>
  <c r="AT42" i="2"/>
  <c r="W43" i="2"/>
  <c r="AT43" i="2"/>
  <c r="W44" i="2"/>
  <c r="AT44" i="2"/>
  <c r="W45" i="2"/>
  <c r="AT45" i="2"/>
  <c r="W46" i="2"/>
  <c r="AT46" i="2"/>
  <c r="W47" i="2"/>
  <c r="AT47" i="2"/>
  <c r="W48" i="2"/>
  <c r="AT48" i="2"/>
  <c r="W49" i="2"/>
  <c r="AT49" i="2"/>
  <c r="W50" i="2"/>
  <c r="AT50" i="2"/>
  <c r="W51" i="2"/>
  <c r="AT51" i="2"/>
  <c r="W52" i="2"/>
  <c r="AT52" i="2"/>
  <c r="W53" i="2"/>
  <c r="AT53" i="2"/>
  <c r="W54" i="2"/>
  <c r="AT54" i="2"/>
  <c r="W55" i="2"/>
  <c r="AT55" i="2"/>
  <c r="W56" i="2"/>
  <c r="AT56" i="2"/>
  <c r="W57" i="2"/>
  <c r="AT57" i="2"/>
  <c r="W58" i="2"/>
  <c r="AT58" i="2"/>
  <c r="W59" i="2"/>
  <c r="AT59" i="2"/>
  <c r="W60" i="2"/>
  <c r="AT60" i="2"/>
  <c r="W61" i="2"/>
  <c r="AT61" i="2"/>
  <c r="W62" i="2"/>
  <c r="AT62" i="2"/>
  <c r="W63" i="2"/>
  <c r="AT63" i="2"/>
  <c r="W64" i="2"/>
  <c r="AT64" i="2"/>
  <c r="W65" i="2"/>
  <c r="AT65" i="2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W15" i="5"/>
  <c r="AU15" i="5"/>
  <c r="W16" i="5"/>
  <c r="AU16" i="5"/>
  <c r="W17" i="5"/>
  <c r="AU17" i="5"/>
  <c r="W18" i="5"/>
  <c r="AU18" i="5"/>
  <c r="W19" i="5"/>
  <c r="AU19" i="5"/>
  <c r="W20" i="5"/>
  <c r="AU20" i="5"/>
  <c r="W21" i="5"/>
  <c r="AU21" i="5"/>
  <c r="W22" i="5"/>
  <c r="AU22" i="5"/>
  <c r="W23" i="5"/>
  <c r="AU23" i="5"/>
  <c r="AU24" i="5"/>
  <c r="W25" i="5"/>
  <c r="AU25" i="5"/>
  <c r="AU26" i="5"/>
  <c r="W27" i="5"/>
  <c r="AU27" i="5"/>
  <c r="W28" i="5"/>
  <c r="AU28" i="5"/>
  <c r="W29" i="5"/>
  <c r="AU29" i="5"/>
  <c r="W30" i="5"/>
  <c r="AU30" i="5"/>
  <c r="W31" i="5"/>
  <c r="AU31" i="5"/>
  <c r="W32" i="5"/>
  <c r="AU32" i="5"/>
  <c r="W33" i="5"/>
  <c r="AU33" i="5"/>
  <c r="W34" i="5"/>
  <c r="AU34" i="5"/>
  <c r="W36" i="5"/>
  <c r="AU36" i="5"/>
  <c r="W37" i="5"/>
  <c r="AU37" i="5"/>
  <c r="W38" i="5"/>
  <c r="AU38" i="5"/>
  <c r="W39" i="5"/>
  <c r="AU39" i="5"/>
  <c r="W40" i="5"/>
  <c r="AU40" i="5"/>
  <c r="W41" i="5"/>
  <c r="AU41" i="5"/>
  <c r="W42" i="5"/>
  <c r="AU42" i="5"/>
  <c r="W43" i="5"/>
  <c r="AU43" i="5"/>
  <c r="W44" i="5"/>
  <c r="AU44" i="5"/>
  <c r="AU45" i="5"/>
  <c r="W46" i="5"/>
  <c r="AU46" i="5"/>
  <c r="W47" i="5"/>
  <c r="AU47" i="5"/>
  <c r="W48" i="5"/>
  <c r="AU48" i="5"/>
  <c r="W49" i="5"/>
  <c r="AU49" i="5"/>
  <c r="W50" i="5"/>
  <c r="AU50" i="5"/>
  <c r="W51" i="5"/>
  <c r="AU51" i="5"/>
  <c r="W52" i="5"/>
  <c r="AU52" i="5"/>
  <c r="W53" i="5"/>
  <c r="AU53" i="5"/>
  <c r="W54" i="5"/>
  <c r="AU54" i="5"/>
  <c r="W55" i="5"/>
  <c r="AU55" i="5"/>
  <c r="W56" i="5"/>
  <c r="AU56" i="5"/>
  <c r="W57" i="5"/>
  <c r="AU57" i="5"/>
  <c r="W58" i="5"/>
  <c r="AU58" i="5"/>
  <c r="W59" i="5"/>
  <c r="AU59" i="5"/>
  <c r="W60" i="5"/>
  <c r="AU60" i="5"/>
  <c r="W61" i="5"/>
  <c r="AU61" i="5"/>
  <c r="W62" i="5"/>
  <c r="AU62" i="5"/>
  <c r="W63" i="5"/>
  <c r="AU63" i="5"/>
  <c r="W64" i="5"/>
  <c r="AU64" i="5"/>
  <c r="W65" i="5"/>
  <c r="AU65" i="5"/>
  <c r="BC15" i="7"/>
  <c r="BC16" i="7"/>
  <c r="BC17" i="7"/>
  <c r="BC18" i="7"/>
  <c r="BC19" i="7"/>
  <c r="BC20" i="7"/>
  <c r="BC21" i="7"/>
  <c r="BC22" i="7"/>
  <c r="BC23" i="7"/>
  <c r="BC24" i="7"/>
  <c r="BC25" i="7"/>
  <c r="BC26" i="7"/>
  <c r="BC27" i="7"/>
  <c r="BC28" i="7"/>
  <c r="BC29" i="7"/>
  <c r="BC30" i="7"/>
  <c r="BC31" i="7"/>
  <c r="BC32" i="7"/>
  <c r="BC33" i="7"/>
  <c r="BC34" i="7"/>
  <c r="BC36" i="7"/>
  <c r="BC37" i="7"/>
  <c r="BC38" i="7"/>
  <c r="BC39" i="7"/>
  <c r="BC40" i="7"/>
  <c r="BC41" i="7"/>
  <c r="BC42" i="7"/>
  <c r="BC43" i="7"/>
  <c r="BC44" i="7"/>
  <c r="BC45" i="7"/>
  <c r="BC46" i="7"/>
  <c r="BC47" i="7"/>
  <c r="BC48" i="7"/>
  <c r="BC49" i="7"/>
  <c r="BC50" i="7"/>
  <c r="BC51" i="7"/>
  <c r="BC52" i="7"/>
  <c r="BC53" i="7"/>
  <c r="BC54" i="7"/>
  <c r="BC55" i="7"/>
  <c r="BC56" i="7"/>
  <c r="BC57" i="7"/>
  <c r="BC58" i="7"/>
  <c r="BC59" i="7"/>
  <c r="BC60" i="7"/>
  <c r="BC61" i="7"/>
  <c r="BC62" i="7"/>
  <c r="BC63" i="7"/>
  <c r="BC64" i="7"/>
  <c r="BC65" i="7"/>
  <c r="S15" i="10"/>
  <c r="W15" i="10"/>
  <c r="S16" i="10"/>
  <c r="W16" i="10"/>
  <c r="S17" i="10"/>
  <c r="W17" i="10"/>
  <c r="S18" i="10"/>
  <c r="W18" i="10"/>
  <c r="S19" i="10"/>
  <c r="W19" i="10"/>
  <c r="S20" i="10"/>
  <c r="W20" i="10"/>
  <c r="S21" i="10"/>
  <c r="W21" i="10"/>
  <c r="S22" i="10"/>
  <c r="W22" i="10"/>
  <c r="S23" i="10"/>
  <c r="W23" i="10"/>
  <c r="S24" i="10"/>
  <c r="W24" i="10"/>
  <c r="S25" i="10"/>
  <c r="W25" i="10"/>
  <c r="S26" i="10"/>
  <c r="S27" i="10"/>
  <c r="W27" i="10"/>
  <c r="S28" i="10"/>
  <c r="W28" i="10"/>
  <c r="S29" i="10"/>
  <c r="W29" i="10"/>
  <c r="S30" i="10"/>
  <c r="W30" i="10"/>
  <c r="S31" i="10"/>
  <c r="W31" i="10"/>
  <c r="S32" i="10"/>
  <c r="W32" i="10"/>
  <c r="S33" i="10"/>
  <c r="W33" i="10"/>
  <c r="S34" i="10"/>
  <c r="W34" i="10"/>
  <c r="S36" i="10"/>
  <c r="W36" i="10"/>
  <c r="S37" i="10"/>
  <c r="W37" i="10"/>
  <c r="S38" i="10"/>
  <c r="W38" i="10"/>
  <c r="S39" i="10"/>
  <c r="W39" i="10"/>
  <c r="S40" i="10"/>
  <c r="W40" i="10"/>
  <c r="S41" i="10"/>
  <c r="W41" i="10"/>
  <c r="S42" i="10"/>
  <c r="W42" i="10"/>
  <c r="S43" i="10"/>
  <c r="W43" i="10"/>
  <c r="S44" i="10"/>
  <c r="W44" i="10"/>
  <c r="S45" i="10"/>
  <c r="W45" i="10"/>
  <c r="S46" i="10"/>
  <c r="W46" i="10"/>
  <c r="S47" i="10"/>
  <c r="W47" i="10"/>
  <c r="S48" i="10"/>
  <c r="W48" i="10"/>
  <c r="S49" i="10"/>
  <c r="W49" i="10"/>
  <c r="S50" i="10"/>
  <c r="W50" i="10"/>
  <c r="S51" i="10"/>
  <c r="W51" i="10"/>
  <c r="S52" i="10"/>
  <c r="W52" i="10"/>
  <c r="S53" i="10"/>
  <c r="W53" i="10"/>
  <c r="S54" i="10"/>
  <c r="W54" i="10"/>
  <c r="S55" i="10"/>
  <c r="W55" i="10"/>
  <c r="S56" i="10"/>
  <c r="W56" i="10"/>
  <c r="S57" i="10"/>
  <c r="W57" i="10"/>
  <c r="S58" i="10"/>
  <c r="W58" i="10"/>
  <c r="W59" i="10"/>
  <c r="S60" i="10"/>
  <c r="W60" i="10"/>
  <c r="S61" i="10"/>
  <c r="W61" i="10"/>
  <c r="S62" i="10"/>
  <c r="W62" i="10"/>
  <c r="S63" i="10"/>
  <c r="W63" i="10"/>
  <c r="S64" i="10"/>
  <c r="W64" i="10"/>
  <c r="S65" i="10"/>
  <c r="W65" i="10"/>
  <c r="K15" i="1"/>
  <c r="AG15" i="1" s="1"/>
  <c r="AE15" i="1"/>
  <c r="AI15" i="1" s="1"/>
  <c r="K16" i="1"/>
  <c r="AG16" i="1" s="1"/>
  <c r="AE16" i="1"/>
  <c r="AI16" i="1" s="1"/>
  <c r="K17" i="1"/>
  <c r="AG17" i="1" s="1"/>
  <c r="AE17" i="1"/>
  <c r="AI17" i="1" s="1"/>
  <c r="K18" i="1"/>
  <c r="AG18" i="1" s="1"/>
  <c r="AE18" i="1"/>
  <c r="AI18" i="1" s="1"/>
  <c r="K19" i="1"/>
  <c r="AG19" i="1" s="1"/>
  <c r="AE19" i="1"/>
  <c r="AI19" i="1" s="1"/>
  <c r="K20" i="1"/>
  <c r="AG20" i="1" s="1"/>
  <c r="AE20" i="1"/>
  <c r="AI20" i="1" s="1"/>
  <c r="K21" i="1"/>
  <c r="AG21" i="1" s="1"/>
  <c r="AE21" i="1"/>
  <c r="AI21" i="1" s="1"/>
  <c r="K22" i="1"/>
  <c r="AG22" i="1" s="1"/>
  <c r="AE22" i="1"/>
  <c r="AI22" i="1" s="1"/>
  <c r="K23" i="1"/>
  <c r="AG23" i="1" s="1"/>
  <c r="AE23" i="1"/>
  <c r="AI23" i="1" s="1"/>
  <c r="K24" i="1"/>
  <c r="AG24" i="1" s="1"/>
  <c r="AE24" i="1"/>
  <c r="AI24" i="1" s="1"/>
  <c r="K25" i="1"/>
  <c r="AG25" i="1" s="1"/>
  <c r="AE25" i="1"/>
  <c r="AI25" i="1" s="1"/>
  <c r="K26" i="1"/>
  <c r="AG26" i="1" s="1"/>
  <c r="AE26" i="1"/>
  <c r="AI26" i="1" s="1"/>
  <c r="K27" i="1"/>
  <c r="AG27" i="1" s="1"/>
  <c r="AE27" i="1"/>
  <c r="AI27" i="1" s="1"/>
  <c r="K28" i="1"/>
  <c r="AG28" i="1" s="1"/>
  <c r="AE28" i="1"/>
  <c r="AI28" i="1" s="1"/>
  <c r="K29" i="1"/>
  <c r="AG29" i="1" s="1"/>
  <c r="AE29" i="1"/>
  <c r="AI29" i="1" s="1"/>
  <c r="K30" i="1"/>
  <c r="AG30" i="1" s="1"/>
  <c r="AE30" i="1"/>
  <c r="AI30" i="1" s="1"/>
  <c r="K31" i="1"/>
  <c r="AG31" i="1" s="1"/>
  <c r="AE31" i="1"/>
  <c r="AI31" i="1" s="1"/>
  <c r="K32" i="1"/>
  <c r="AG32" i="1" s="1"/>
  <c r="AE32" i="1"/>
  <c r="AI32" i="1" s="1"/>
  <c r="K33" i="1"/>
  <c r="AG33" i="1" s="1"/>
  <c r="AE33" i="1"/>
  <c r="AI33" i="1" s="1"/>
  <c r="K34" i="1"/>
  <c r="AG34" i="1" s="1"/>
  <c r="AE34" i="1"/>
  <c r="AI34" i="1" s="1"/>
  <c r="K36" i="1"/>
  <c r="AG36" i="1" s="1"/>
  <c r="AE36" i="1"/>
  <c r="AI36" i="1" s="1"/>
  <c r="K37" i="1"/>
  <c r="AG37" i="1" s="1"/>
  <c r="AE37" i="1"/>
  <c r="AI37" i="1" s="1"/>
  <c r="K38" i="1"/>
  <c r="AG38" i="1" s="1"/>
  <c r="AE38" i="1"/>
  <c r="AI38" i="1" s="1"/>
  <c r="K39" i="1"/>
  <c r="AG39" i="1" s="1"/>
  <c r="AE39" i="1"/>
  <c r="AI39" i="1" s="1"/>
  <c r="K40" i="1"/>
  <c r="AG40" i="1" s="1"/>
  <c r="AE40" i="1"/>
  <c r="AI40" i="1" s="1"/>
  <c r="K41" i="1"/>
  <c r="AG41" i="1" s="1"/>
  <c r="AE41" i="1"/>
  <c r="AI41" i="1" s="1"/>
  <c r="K42" i="1"/>
  <c r="AG42" i="1" s="1"/>
  <c r="AE42" i="1"/>
  <c r="AI42" i="1" s="1"/>
  <c r="K43" i="1"/>
  <c r="AG43" i="1" s="1"/>
  <c r="AE43" i="1"/>
  <c r="AI43" i="1" s="1"/>
  <c r="K44" i="1"/>
  <c r="AG44" i="1" s="1"/>
  <c r="AE44" i="1"/>
  <c r="AI44" i="1" s="1"/>
  <c r="K45" i="1"/>
  <c r="AG45" i="1" s="1"/>
  <c r="AE45" i="1"/>
  <c r="AI45" i="1" s="1"/>
  <c r="K46" i="1"/>
  <c r="AG46" i="1" s="1"/>
  <c r="AE46" i="1"/>
  <c r="AI46" i="1" s="1"/>
  <c r="K47" i="1"/>
  <c r="AG47" i="1" s="1"/>
  <c r="AE47" i="1"/>
  <c r="AI47" i="1" s="1"/>
  <c r="K48" i="1"/>
  <c r="AG48" i="1" s="1"/>
  <c r="AE48" i="1"/>
  <c r="AI48" i="1" s="1"/>
  <c r="K49" i="1"/>
  <c r="AG49" i="1" s="1"/>
  <c r="AE49" i="1"/>
  <c r="AI49" i="1" s="1"/>
  <c r="K50" i="1"/>
  <c r="AG50" i="1" s="1"/>
  <c r="AE50" i="1"/>
  <c r="AI50" i="1" s="1"/>
  <c r="K51" i="1"/>
  <c r="AG51" i="1" s="1"/>
  <c r="AE51" i="1"/>
  <c r="AI51" i="1" s="1"/>
  <c r="K52" i="1"/>
  <c r="AG52" i="1" s="1"/>
  <c r="AE52" i="1"/>
  <c r="AI52" i="1" s="1"/>
  <c r="K53" i="1"/>
  <c r="AG53" i="1" s="1"/>
  <c r="AE53" i="1"/>
  <c r="AI53" i="1" s="1"/>
  <c r="K54" i="1"/>
  <c r="AG54" i="1" s="1"/>
  <c r="AE54" i="1"/>
  <c r="AI54" i="1" s="1"/>
  <c r="K55" i="1"/>
  <c r="AG55" i="1" s="1"/>
  <c r="AE55" i="1"/>
  <c r="AI55" i="1" s="1"/>
  <c r="K56" i="1"/>
  <c r="AG56" i="1" s="1"/>
  <c r="AE56" i="1"/>
  <c r="AI56" i="1" s="1"/>
  <c r="K57" i="1"/>
  <c r="AG57" i="1" s="1"/>
  <c r="AE57" i="1"/>
  <c r="AI57" i="1" s="1"/>
  <c r="K58" i="1"/>
  <c r="AG58" i="1" s="1"/>
  <c r="AE58" i="1"/>
  <c r="AI58" i="1" s="1"/>
  <c r="K59" i="1"/>
  <c r="AG59" i="1" s="1"/>
  <c r="AE59" i="1"/>
  <c r="AI59" i="1" s="1"/>
  <c r="K60" i="1"/>
  <c r="AG60" i="1" s="1"/>
  <c r="AE60" i="1"/>
  <c r="AI60" i="1" s="1"/>
  <c r="K61" i="1"/>
  <c r="AG61" i="1" s="1"/>
  <c r="AE61" i="1"/>
  <c r="AI61" i="1" s="1"/>
  <c r="K62" i="1"/>
  <c r="AG62" i="1" s="1"/>
  <c r="AE62" i="1"/>
  <c r="AI62" i="1" s="1"/>
  <c r="K63" i="1"/>
  <c r="AG63" i="1" s="1"/>
  <c r="AE63" i="1"/>
  <c r="AI63" i="1" s="1"/>
  <c r="K64" i="1"/>
  <c r="AG64" i="1" s="1"/>
  <c r="AE64" i="1"/>
  <c r="AI64" i="1" s="1"/>
  <c r="K65" i="1"/>
  <c r="AG65" i="1" s="1"/>
  <c r="AE65" i="1"/>
  <c r="AI65" i="1" s="1"/>
  <c r="K15" i="6"/>
  <c r="AG15" i="6" s="1"/>
  <c r="AE15" i="6"/>
  <c r="AI15" i="6" s="1"/>
  <c r="K16" i="6"/>
  <c r="AG16" i="6" s="1"/>
  <c r="AE16" i="6"/>
  <c r="AI16" i="6" s="1"/>
  <c r="K17" i="6"/>
  <c r="AG17" i="6" s="1"/>
  <c r="AE17" i="6"/>
  <c r="AI17" i="6" s="1"/>
  <c r="K18" i="6"/>
  <c r="AG18" i="6" s="1"/>
  <c r="AE18" i="6"/>
  <c r="AI18" i="6" s="1"/>
  <c r="K19" i="6"/>
  <c r="AG19" i="6" s="1"/>
  <c r="AE19" i="6"/>
  <c r="AI19" i="6" s="1"/>
  <c r="K20" i="6"/>
  <c r="AG20" i="6" s="1"/>
  <c r="AE20" i="6"/>
  <c r="AI20" i="6" s="1"/>
  <c r="K21" i="6"/>
  <c r="AG21" i="6" s="1"/>
  <c r="AE21" i="6"/>
  <c r="AI21" i="6" s="1"/>
  <c r="K22" i="6"/>
  <c r="AG22" i="6" s="1"/>
  <c r="AE22" i="6"/>
  <c r="AI22" i="6" s="1"/>
  <c r="K23" i="6"/>
  <c r="AG23" i="6" s="1"/>
  <c r="AE23" i="6"/>
  <c r="AI23" i="6" s="1"/>
  <c r="K24" i="6"/>
  <c r="AG24" i="6" s="1"/>
  <c r="AE24" i="6"/>
  <c r="AI24" i="6" s="1"/>
  <c r="K25" i="6"/>
  <c r="AG25" i="6" s="1"/>
  <c r="AE25" i="6"/>
  <c r="AI25" i="6" s="1"/>
  <c r="K26" i="6"/>
  <c r="AG26" i="6" s="1"/>
  <c r="AE26" i="6"/>
  <c r="AI26" i="6" s="1"/>
  <c r="K27" i="6"/>
  <c r="AG27" i="6" s="1"/>
  <c r="AE27" i="6"/>
  <c r="AI27" i="6" s="1"/>
  <c r="K28" i="6"/>
  <c r="AG28" i="6" s="1"/>
  <c r="AE28" i="6"/>
  <c r="AI28" i="6" s="1"/>
  <c r="K29" i="6"/>
  <c r="AG29" i="6" s="1"/>
  <c r="AE29" i="6"/>
  <c r="AI29" i="6" s="1"/>
  <c r="K30" i="6"/>
  <c r="AG30" i="6" s="1"/>
  <c r="AE30" i="6"/>
  <c r="AI30" i="6" s="1"/>
  <c r="K31" i="6"/>
  <c r="AG31" i="6" s="1"/>
  <c r="AE31" i="6"/>
  <c r="AI31" i="6" s="1"/>
  <c r="AE32" i="6"/>
  <c r="AI32" i="6" s="1"/>
  <c r="K33" i="6"/>
  <c r="AG33" i="6" s="1"/>
  <c r="AE33" i="6"/>
  <c r="AI33" i="6" s="1"/>
  <c r="K34" i="6"/>
  <c r="AG34" i="6" s="1"/>
  <c r="AE34" i="6"/>
  <c r="AI34" i="6" s="1"/>
  <c r="K36" i="6"/>
  <c r="AG36" i="6" s="1"/>
  <c r="AE36" i="6"/>
  <c r="AI36" i="6" s="1"/>
  <c r="K37" i="6"/>
  <c r="AG37" i="6" s="1"/>
  <c r="AE37" i="6"/>
  <c r="AI37" i="6" s="1"/>
  <c r="K38" i="6"/>
  <c r="AG38" i="6" s="1"/>
  <c r="AE38" i="6"/>
  <c r="AI38" i="6" s="1"/>
  <c r="K39" i="6"/>
  <c r="AG39" i="6" s="1"/>
  <c r="AE39" i="6"/>
  <c r="AI39" i="6" s="1"/>
  <c r="K40" i="6"/>
  <c r="AG40" i="6" s="1"/>
  <c r="AE40" i="6"/>
  <c r="AI40" i="6" s="1"/>
  <c r="K41" i="6"/>
  <c r="AG41" i="6" s="1"/>
  <c r="AE41" i="6"/>
  <c r="AI41" i="6" s="1"/>
  <c r="K42" i="6"/>
  <c r="AG42" i="6" s="1"/>
  <c r="AE42" i="6"/>
  <c r="AI42" i="6" s="1"/>
  <c r="K43" i="6"/>
  <c r="AG43" i="6" s="1"/>
  <c r="AE43" i="6"/>
  <c r="AI43" i="6" s="1"/>
  <c r="K44" i="6"/>
  <c r="AG44" i="6" s="1"/>
  <c r="AE44" i="6"/>
  <c r="AI44" i="6" s="1"/>
  <c r="K45" i="6"/>
  <c r="AG45" i="6" s="1"/>
  <c r="AE45" i="6"/>
  <c r="AI45" i="6" s="1"/>
  <c r="K46" i="6"/>
  <c r="AG46" i="6" s="1"/>
  <c r="AE46" i="6"/>
  <c r="AI46" i="6" s="1"/>
  <c r="K47" i="6"/>
  <c r="AG47" i="6" s="1"/>
  <c r="AE47" i="6"/>
  <c r="AI47" i="6" s="1"/>
  <c r="K48" i="6"/>
  <c r="AG48" i="6" s="1"/>
  <c r="AE48" i="6"/>
  <c r="AI48" i="6" s="1"/>
  <c r="K49" i="6"/>
  <c r="AG49" i="6" s="1"/>
  <c r="AE49" i="6"/>
  <c r="AI49" i="6" s="1"/>
  <c r="K50" i="6"/>
  <c r="AG50" i="6" s="1"/>
  <c r="AE50" i="6"/>
  <c r="AI50" i="6" s="1"/>
  <c r="K51" i="6"/>
  <c r="AG51" i="6" s="1"/>
  <c r="AE51" i="6"/>
  <c r="AI51" i="6" s="1"/>
  <c r="K52" i="6"/>
  <c r="AG52" i="6" s="1"/>
  <c r="AE52" i="6"/>
  <c r="AI52" i="6" s="1"/>
  <c r="K53" i="6"/>
  <c r="AG53" i="6" s="1"/>
  <c r="AE53" i="6"/>
  <c r="AI53" i="6" s="1"/>
  <c r="K54" i="6"/>
  <c r="AG54" i="6" s="1"/>
  <c r="AE54" i="6"/>
  <c r="AI54" i="6" s="1"/>
  <c r="K55" i="6"/>
  <c r="AG55" i="6" s="1"/>
  <c r="AE55" i="6"/>
  <c r="AI55" i="6" s="1"/>
  <c r="K56" i="6"/>
  <c r="AG56" i="6" s="1"/>
  <c r="AE56" i="6"/>
  <c r="AI56" i="6" s="1"/>
  <c r="K57" i="6"/>
  <c r="AG57" i="6" s="1"/>
  <c r="AE57" i="6"/>
  <c r="AI57" i="6" s="1"/>
  <c r="K58" i="6"/>
  <c r="AG58" i="6" s="1"/>
  <c r="AE58" i="6"/>
  <c r="AI58" i="6" s="1"/>
  <c r="K59" i="6"/>
  <c r="AG59" i="6" s="1"/>
  <c r="AE59" i="6"/>
  <c r="AI59" i="6" s="1"/>
  <c r="K60" i="6"/>
  <c r="AG60" i="6" s="1"/>
  <c r="AE60" i="6"/>
  <c r="AI60" i="6" s="1"/>
  <c r="K61" i="6"/>
  <c r="AG61" i="6" s="1"/>
  <c r="AE61" i="6"/>
  <c r="AI61" i="6" s="1"/>
  <c r="K62" i="6"/>
  <c r="AG62" i="6" s="1"/>
  <c r="AE62" i="6"/>
  <c r="AI62" i="6" s="1"/>
  <c r="K63" i="6"/>
  <c r="AG63" i="6" s="1"/>
  <c r="AE63" i="6"/>
  <c r="AI63" i="6" s="1"/>
  <c r="K64" i="6"/>
  <c r="AG64" i="6" s="1"/>
  <c r="AE64" i="6"/>
  <c r="AI64" i="6" s="1"/>
  <c r="K65" i="6"/>
  <c r="AG65" i="6" s="1"/>
  <c r="AE65" i="6"/>
  <c r="AI65" i="6" s="1"/>
  <c r="M15" i="8"/>
  <c r="AC15" i="8"/>
  <c r="M16" i="8"/>
  <c r="AC16" i="8"/>
  <c r="M17" i="8"/>
  <c r="AC17" i="8"/>
  <c r="M18" i="8"/>
  <c r="AC18" i="8"/>
  <c r="M19" i="8"/>
  <c r="AC19" i="8"/>
  <c r="M20" i="8"/>
  <c r="AC20" i="8"/>
  <c r="M21" i="8"/>
  <c r="AC21" i="8"/>
  <c r="M22" i="8"/>
  <c r="AC22" i="8"/>
  <c r="M23" i="8"/>
  <c r="AC23" i="8"/>
  <c r="M24" i="8"/>
  <c r="AC24" i="8"/>
  <c r="M25" i="8"/>
  <c r="AC25" i="8"/>
  <c r="M26" i="8"/>
  <c r="AC26" i="8"/>
  <c r="M27" i="8"/>
  <c r="AC27" i="8"/>
  <c r="M28" i="8"/>
  <c r="AC28" i="8"/>
  <c r="M29" i="8"/>
  <c r="AC29" i="8"/>
  <c r="M30" i="8"/>
  <c r="AC30" i="8"/>
  <c r="M31" i="8"/>
  <c r="AC31" i="8"/>
  <c r="M32" i="8"/>
  <c r="AC32" i="8"/>
  <c r="M33" i="8"/>
  <c r="AC33" i="8"/>
  <c r="M34" i="8"/>
  <c r="AC34" i="8"/>
  <c r="M36" i="8"/>
  <c r="AC36" i="8"/>
  <c r="M37" i="8"/>
  <c r="AC37" i="8"/>
  <c r="M38" i="8"/>
  <c r="AC38" i="8"/>
  <c r="M39" i="8"/>
  <c r="AC39" i="8"/>
  <c r="M40" i="8"/>
  <c r="AC40" i="8"/>
  <c r="M41" i="8"/>
  <c r="AC41" i="8"/>
  <c r="M42" i="8"/>
  <c r="AC42" i="8"/>
  <c r="M43" i="8"/>
  <c r="AC43" i="8"/>
  <c r="M44" i="8"/>
  <c r="AC44" i="8"/>
  <c r="M45" i="8"/>
  <c r="AC45" i="8"/>
  <c r="M46" i="8"/>
  <c r="AC46" i="8"/>
  <c r="M47" i="8"/>
  <c r="AC47" i="8"/>
  <c r="M48" i="8"/>
  <c r="AC48" i="8"/>
  <c r="M49" i="8"/>
  <c r="AC49" i="8"/>
  <c r="M50" i="8"/>
  <c r="AC50" i="8"/>
  <c r="M51" i="8"/>
  <c r="AC51" i="8"/>
  <c r="M52" i="8"/>
  <c r="AC52" i="8"/>
  <c r="M53" i="8"/>
  <c r="AC53" i="8"/>
  <c r="M54" i="8"/>
  <c r="AC54" i="8"/>
  <c r="M55" i="8"/>
  <c r="AC55" i="8"/>
  <c r="M56" i="8"/>
  <c r="AC56" i="8"/>
  <c r="M57" i="8"/>
  <c r="AC57" i="8"/>
  <c r="M58" i="8"/>
  <c r="AC58" i="8"/>
  <c r="M59" i="8"/>
  <c r="AC59" i="8"/>
  <c r="M60" i="8"/>
  <c r="AC60" i="8"/>
  <c r="M61" i="8"/>
  <c r="AC61" i="8"/>
  <c r="M62" i="8"/>
  <c r="AC62" i="8"/>
  <c r="M63" i="8"/>
  <c r="AC63" i="8"/>
  <c r="M64" i="8"/>
  <c r="AC64" i="8"/>
  <c r="M65" i="8"/>
  <c r="AC65" i="8"/>
  <c r="AA15" i="9"/>
  <c r="AI15" i="9" s="1"/>
  <c r="AA16" i="9"/>
  <c r="AI16" i="9" s="1"/>
  <c r="AG16" i="9"/>
  <c r="AA17" i="9"/>
  <c r="AI17" i="9" s="1"/>
  <c r="AG17" i="9"/>
  <c r="AA18" i="9"/>
  <c r="AI18" i="9" s="1"/>
  <c r="AG18" i="9"/>
  <c r="AA19" i="9"/>
  <c r="AI19" i="9" s="1"/>
  <c r="AG19" i="9"/>
  <c r="AG20" i="9"/>
  <c r="AA21" i="9"/>
  <c r="AI21" i="9" s="1"/>
  <c r="AG21" i="9"/>
  <c r="AA22" i="9"/>
  <c r="AI22" i="9" s="1"/>
  <c r="AG22" i="9"/>
  <c r="AA23" i="9"/>
  <c r="AI23" i="9" s="1"/>
  <c r="AG23" i="9"/>
  <c r="AA24" i="9"/>
  <c r="AI24" i="9" s="1"/>
  <c r="AG24" i="9"/>
  <c r="AA25" i="9"/>
  <c r="AI25" i="9" s="1"/>
  <c r="AG25" i="9"/>
  <c r="AA26" i="9"/>
  <c r="AI26" i="9" s="1"/>
  <c r="AG26" i="9"/>
  <c r="AA27" i="9"/>
  <c r="AI27" i="9" s="1"/>
  <c r="AG27" i="9"/>
  <c r="AA28" i="9"/>
  <c r="AI28" i="9" s="1"/>
  <c r="AG28" i="9"/>
  <c r="AA29" i="9"/>
  <c r="AI29" i="9" s="1"/>
  <c r="AG29" i="9"/>
  <c r="AA30" i="9"/>
  <c r="AI30" i="9" s="1"/>
  <c r="AG30" i="9"/>
  <c r="AA31" i="9"/>
  <c r="AI31" i="9" s="1"/>
  <c r="AG31" i="9"/>
  <c r="AA32" i="9"/>
  <c r="AI32" i="9" s="1"/>
  <c r="AG32" i="9"/>
  <c r="AA33" i="9"/>
  <c r="AI33" i="9" s="1"/>
  <c r="AG33" i="9"/>
  <c r="AA34" i="9"/>
  <c r="AI34" i="9" s="1"/>
  <c r="AG34" i="9"/>
  <c r="AA36" i="9"/>
  <c r="AI36" i="9" s="1"/>
  <c r="AG36" i="9"/>
  <c r="AA37" i="9"/>
  <c r="AI37" i="9" s="1"/>
  <c r="AG37" i="9"/>
  <c r="AA38" i="9"/>
  <c r="AI38" i="9" s="1"/>
  <c r="AG38" i="9"/>
  <c r="AA39" i="9"/>
  <c r="AI39" i="9" s="1"/>
  <c r="AG39" i="9"/>
  <c r="AA40" i="9"/>
  <c r="AI40" i="9" s="1"/>
  <c r="AG40" i="9"/>
  <c r="AA41" i="9"/>
  <c r="AI41" i="9" s="1"/>
  <c r="AG41" i="9"/>
  <c r="AA42" i="9"/>
  <c r="AI42" i="9" s="1"/>
  <c r="AG42" i="9"/>
  <c r="AA43" i="9"/>
  <c r="AI43" i="9" s="1"/>
  <c r="AG43" i="9"/>
  <c r="AA44" i="9"/>
  <c r="AI44" i="9" s="1"/>
  <c r="AG44" i="9"/>
  <c r="AA45" i="9"/>
  <c r="AI45" i="9" s="1"/>
  <c r="AG45" i="9"/>
  <c r="AA46" i="9"/>
  <c r="AI46" i="9" s="1"/>
  <c r="AG46" i="9"/>
  <c r="AA47" i="9"/>
  <c r="AI47" i="9" s="1"/>
  <c r="AG47" i="9"/>
  <c r="AA48" i="9"/>
  <c r="AI48" i="9" s="1"/>
  <c r="AG48" i="9"/>
  <c r="AA49" i="9"/>
  <c r="AI49" i="9" s="1"/>
  <c r="AG49" i="9"/>
  <c r="AA50" i="9"/>
  <c r="AI50" i="9" s="1"/>
  <c r="AG50" i="9"/>
  <c r="AA51" i="9"/>
  <c r="AI51" i="9" s="1"/>
  <c r="AG51" i="9"/>
  <c r="AA52" i="9"/>
  <c r="AI52" i="9" s="1"/>
  <c r="AG52" i="9"/>
  <c r="AA53" i="9"/>
  <c r="AI53" i="9" s="1"/>
  <c r="AG53" i="9"/>
  <c r="AA54" i="9"/>
  <c r="AI54" i="9" s="1"/>
  <c r="AG54" i="9"/>
  <c r="AA55" i="9"/>
  <c r="AI55" i="9" s="1"/>
  <c r="AG55" i="9"/>
  <c r="AA56" i="9"/>
  <c r="AI56" i="9" s="1"/>
  <c r="AG56" i="9"/>
  <c r="AA57" i="9"/>
  <c r="AI57" i="9" s="1"/>
  <c r="AG57" i="9"/>
  <c r="AA58" i="9"/>
  <c r="AI58" i="9" s="1"/>
  <c r="AG58" i="9"/>
  <c r="AA59" i="9"/>
  <c r="AI59" i="9" s="1"/>
  <c r="AG59" i="9"/>
  <c r="AA60" i="9"/>
  <c r="AI60" i="9" s="1"/>
  <c r="AG60" i="9"/>
  <c r="AA61" i="9"/>
  <c r="AI61" i="9" s="1"/>
  <c r="AG61" i="9"/>
  <c r="AA62" i="9"/>
  <c r="AI62" i="9" s="1"/>
  <c r="AG62" i="9"/>
  <c r="AA63" i="9"/>
  <c r="AI63" i="9" s="1"/>
  <c r="AG63" i="9"/>
  <c r="AA64" i="9"/>
  <c r="AI64" i="9" s="1"/>
  <c r="AG64" i="9"/>
  <c r="AA65" i="9"/>
  <c r="AI65" i="9" s="1"/>
  <c r="AG65" i="9"/>
  <c r="AW22" i="5" l="1"/>
  <c r="AW16" i="5"/>
  <c r="BQ16" i="4" s="1"/>
  <c r="BW16" i="4" s="1"/>
  <c r="BY16" i="4" s="1"/>
  <c r="AW23" i="5"/>
  <c r="BQ23" i="4" s="1"/>
  <c r="BW23" i="4" s="1"/>
  <c r="BY23" i="4" s="1"/>
  <c r="AW51" i="5"/>
  <c r="BQ51" i="4" s="1"/>
  <c r="BW51" i="4" s="1"/>
  <c r="AW53" i="5"/>
  <c r="BQ53" i="4" s="1"/>
  <c r="BW53" i="4" s="1"/>
  <c r="BY53" i="4" s="1"/>
  <c r="AG54" i="8"/>
  <c r="AW55" i="5"/>
  <c r="BQ55" i="4" s="1"/>
  <c r="BW55" i="4" s="1"/>
  <c r="BY55" i="4" s="1"/>
  <c r="AW57" i="5"/>
  <c r="BQ57" i="4" s="1"/>
  <c r="BW57" i="4" s="1"/>
  <c r="BY57" i="4" s="1"/>
  <c r="AG21" i="8"/>
  <c r="BE21" i="7" s="1"/>
  <c r="BI21" i="7" s="1"/>
  <c r="BK21" i="7" s="1"/>
  <c r="AG17" i="8"/>
  <c r="BE17" i="7" s="1"/>
  <c r="BI17" i="7" s="1"/>
  <c r="BK17" i="7" s="1"/>
  <c r="AG50" i="8"/>
  <c r="BE50" i="7" s="1"/>
  <c r="BI50" i="7" s="1"/>
  <c r="BK50" i="7" s="1"/>
  <c r="AG46" i="8"/>
  <c r="BE46" i="7" s="1"/>
  <c r="BI46" i="7" s="1"/>
  <c r="BK46" i="7" s="1"/>
  <c r="AG58" i="8"/>
  <c r="BE58" i="7" s="1"/>
  <c r="BI58" i="7" s="1"/>
  <c r="BK58" i="7" s="1"/>
  <c r="AG56" i="8"/>
  <c r="BE56" i="7" s="1"/>
  <c r="BI56" i="7" s="1"/>
  <c r="BK56" i="7" s="1"/>
  <c r="AG40" i="8"/>
  <c r="BE40" i="7" s="1"/>
  <c r="BI40" i="7" s="1"/>
  <c r="BK40" i="7" s="1"/>
  <c r="AG44" i="8"/>
  <c r="BE44" i="7" s="1"/>
  <c r="BI44" i="7" s="1"/>
  <c r="BK44" i="7" s="1"/>
  <c r="AG32" i="8"/>
  <c r="BE32" i="7" s="1"/>
  <c r="BI32" i="7" s="1"/>
  <c r="BK32" i="7" s="1"/>
  <c r="AV31" i="2"/>
  <c r="BT31" i="11" s="1"/>
  <c r="BZ31" i="11" s="1"/>
  <c r="CB31" i="11" s="1"/>
  <c r="AV53" i="2"/>
  <c r="BT53" i="11" s="1"/>
  <c r="BZ53" i="11" s="1"/>
  <c r="CB53" i="11" s="1"/>
  <c r="AV52" i="2"/>
  <c r="BT52" i="11" s="1"/>
  <c r="BZ52" i="11" s="1"/>
  <c r="CB52" i="11" s="1"/>
  <c r="AV49" i="2"/>
  <c r="BT49" i="11" s="1"/>
  <c r="BZ49" i="11" s="1"/>
  <c r="CB49" i="11" s="1"/>
  <c r="AV43" i="2"/>
  <c r="BT43" i="11" s="1"/>
  <c r="BZ43" i="11" s="1"/>
  <c r="CB43" i="11" s="1"/>
  <c r="AV42" i="2"/>
  <c r="BT42" i="11" s="1"/>
  <c r="BZ42" i="11" s="1"/>
  <c r="CB42" i="11" s="1"/>
  <c r="AV25" i="2"/>
  <c r="BT25" i="11" s="1"/>
  <c r="BZ25" i="11" s="1"/>
  <c r="CB25" i="11" s="1"/>
  <c r="AV23" i="2"/>
  <c r="BT23" i="11" s="1"/>
  <c r="BZ23" i="11" s="1"/>
  <c r="CB23" i="11" s="1"/>
  <c r="AV21" i="2"/>
  <c r="BT21" i="11" s="1"/>
  <c r="BZ21" i="11" s="1"/>
  <c r="CB21" i="11" s="1"/>
  <c r="AW29" i="5"/>
  <c r="BQ29" i="4" s="1"/>
  <c r="BW29" i="4" s="1"/>
  <c r="BY29" i="4" s="1"/>
  <c r="AW27" i="5"/>
  <c r="BQ27" i="4" s="1"/>
  <c r="BW27" i="4" s="1"/>
  <c r="BY27" i="4" s="1"/>
  <c r="AG19" i="8"/>
  <c r="BE19" i="7" s="1"/>
  <c r="BI19" i="7" s="1"/>
  <c r="BK19" i="7" s="1"/>
  <c r="AG61" i="8"/>
  <c r="BE61" i="7" s="1"/>
  <c r="BI61" i="7" s="1"/>
  <c r="BK61" i="7" s="1"/>
  <c r="AG29" i="8"/>
  <c r="BE29" i="7" s="1"/>
  <c r="BI29" i="7" s="1"/>
  <c r="BK29" i="7" s="1"/>
  <c r="AG57" i="8"/>
  <c r="BE57" i="7" s="1"/>
  <c r="BI57" i="7" s="1"/>
  <c r="BK57" i="7" s="1"/>
  <c r="AG55" i="8"/>
  <c r="BE55" i="7" s="1"/>
  <c r="BI55" i="7" s="1"/>
  <c r="BK55" i="7" s="1"/>
  <c r="AG45" i="8"/>
  <c r="BE45" i="7" s="1"/>
  <c r="BI45" i="7" s="1"/>
  <c r="BK45" i="7" s="1"/>
  <c r="AG43" i="8"/>
  <c r="BE43" i="7" s="1"/>
  <c r="BI43" i="7" s="1"/>
  <c r="BK43" i="7" s="1"/>
  <c r="AG41" i="8"/>
  <c r="BE41" i="7" s="1"/>
  <c r="BI41" i="7" s="1"/>
  <c r="BK41" i="7" s="1"/>
  <c r="AG39" i="8"/>
  <c r="BE39" i="7" s="1"/>
  <c r="BI39" i="7" s="1"/>
  <c r="BK39" i="7" s="1"/>
  <c r="AG33" i="8"/>
  <c r="BE33" i="7" s="1"/>
  <c r="BI33" i="7" s="1"/>
  <c r="BK33" i="7" s="1"/>
  <c r="AG31" i="8"/>
  <c r="BE31" i="7" s="1"/>
  <c r="BI31" i="7" s="1"/>
  <c r="BK31" i="7" s="1"/>
  <c r="AG62" i="8"/>
  <c r="BE62" i="7" s="1"/>
  <c r="BI62" i="7" s="1"/>
  <c r="BK62" i="7" s="1"/>
  <c r="AG60" i="8"/>
  <c r="BE60" i="7" s="1"/>
  <c r="BI60" i="7" s="1"/>
  <c r="BK60" i="7" s="1"/>
  <c r="AG25" i="8"/>
  <c r="BE25" i="7" s="1"/>
  <c r="BI25" i="7" s="1"/>
  <c r="BK25" i="7" s="1"/>
  <c r="AV22" i="2"/>
  <c r="BT22" i="11" s="1"/>
  <c r="BZ22" i="11" s="1"/>
  <c r="CB22" i="11" s="1"/>
  <c r="AG15" i="8"/>
  <c r="BE15" i="7" s="1"/>
  <c r="BI15" i="7" s="1"/>
  <c r="BK15" i="7" s="1"/>
  <c r="AV56" i="2"/>
  <c r="BT56" i="11" s="1"/>
  <c r="BZ56" i="11" s="1"/>
  <c r="CB56" i="11" s="1"/>
  <c r="AV33" i="2"/>
  <c r="BT33" i="11" s="1"/>
  <c r="BZ33" i="11" s="1"/>
  <c r="CB33" i="11" s="1"/>
  <c r="AV19" i="2"/>
  <c r="BT19" i="11" s="1"/>
  <c r="BZ19" i="11" s="1"/>
  <c r="CB19" i="11" s="1"/>
  <c r="AV15" i="2"/>
  <c r="BT15" i="11" s="1"/>
  <c r="BZ15" i="11" s="1"/>
  <c r="CB15" i="11" s="1"/>
  <c r="AV29" i="2"/>
  <c r="BT29" i="11" s="1"/>
  <c r="BZ29" i="11" s="1"/>
  <c r="CB29" i="11" s="1"/>
  <c r="AV28" i="2"/>
  <c r="BT28" i="11" s="1"/>
  <c r="BZ28" i="11" s="1"/>
  <c r="CB28" i="11" s="1"/>
  <c r="AV26" i="2"/>
  <c r="BT26" i="11" s="1"/>
  <c r="BZ26" i="11" s="1"/>
  <c r="CB26" i="11" s="1"/>
  <c r="AV24" i="2"/>
  <c r="BT24" i="11" s="1"/>
  <c r="BZ24" i="11" s="1"/>
  <c r="CB24" i="11" s="1"/>
  <c r="AV55" i="2"/>
  <c r="BT55" i="11" s="1"/>
  <c r="BZ55" i="11" s="1"/>
  <c r="CB55" i="11" s="1"/>
  <c r="AV59" i="2"/>
  <c r="BT59" i="11" s="1"/>
  <c r="BZ59" i="11" s="1"/>
  <c r="CB59" i="11" s="1"/>
  <c r="AV58" i="2"/>
  <c r="BT58" i="11" s="1"/>
  <c r="BZ58" i="11" s="1"/>
  <c r="CB58" i="11" s="1"/>
  <c r="AV38" i="2"/>
  <c r="BT38" i="11" s="1"/>
  <c r="BZ38" i="11" s="1"/>
  <c r="CB38" i="11" s="1"/>
  <c r="AV37" i="2"/>
  <c r="BT37" i="11" s="1"/>
  <c r="BZ37" i="11" s="1"/>
  <c r="CB37" i="11" s="1"/>
  <c r="AV36" i="2"/>
  <c r="BT36" i="11" s="1"/>
  <c r="BZ36" i="11" s="1"/>
  <c r="CB36" i="11" s="1"/>
  <c r="AV17" i="2"/>
  <c r="BT17" i="11" s="1"/>
  <c r="BZ17" i="11" s="1"/>
  <c r="CB17" i="11" s="1"/>
  <c r="AV44" i="2"/>
  <c r="BT44" i="11" s="1"/>
  <c r="BZ44" i="11" s="1"/>
  <c r="CB44" i="11" s="1"/>
  <c r="AV40" i="2"/>
  <c r="BT40" i="11" s="1"/>
  <c r="BZ40" i="11" s="1"/>
  <c r="CB40" i="11" s="1"/>
  <c r="AV54" i="2"/>
  <c r="BT54" i="11" s="1"/>
  <c r="BZ54" i="11" s="1"/>
  <c r="CB54" i="11" s="1"/>
  <c r="AV41" i="2"/>
  <c r="BT41" i="11" s="1"/>
  <c r="BZ41" i="11" s="1"/>
  <c r="CB41" i="11" s="1"/>
  <c r="AV30" i="2"/>
  <c r="BT30" i="11" s="1"/>
  <c r="BZ30" i="11" s="1"/>
  <c r="CB30" i="11" s="1"/>
  <c r="AV20" i="2"/>
  <c r="BT20" i="11" s="1"/>
  <c r="BZ20" i="11" s="1"/>
  <c r="CB20" i="11" s="1"/>
  <c r="AV64" i="2"/>
  <c r="BT64" i="11" s="1"/>
  <c r="BZ64" i="11" s="1"/>
  <c r="CB64" i="11" s="1"/>
  <c r="AV63" i="2"/>
  <c r="BT63" i="11" s="1"/>
  <c r="BZ63" i="11" s="1"/>
  <c r="CB63" i="11" s="1"/>
  <c r="AV61" i="2"/>
  <c r="BT61" i="11" s="1"/>
  <c r="BZ61" i="11" s="1"/>
  <c r="CB61" i="11" s="1"/>
  <c r="AV51" i="2"/>
  <c r="BT51" i="11" s="1"/>
  <c r="BZ51" i="11" s="1"/>
  <c r="CB51" i="11" s="1"/>
  <c r="AV46" i="2"/>
  <c r="BT46" i="11" s="1"/>
  <c r="BZ46" i="11" s="1"/>
  <c r="CB46" i="11" s="1"/>
  <c r="AV34" i="2"/>
  <c r="BT34" i="11" s="1"/>
  <c r="BZ34" i="11" s="1"/>
  <c r="CB34" i="11" s="1"/>
  <c r="AW62" i="5"/>
  <c r="BQ62" i="4" s="1"/>
  <c r="BW62" i="4" s="1"/>
  <c r="BY62" i="4" s="1"/>
  <c r="AW58" i="5"/>
  <c r="BQ58" i="4" s="1"/>
  <c r="BW58" i="4" s="1"/>
  <c r="BY58" i="4" s="1"/>
  <c r="AW56" i="5"/>
  <c r="BQ56" i="4" s="1"/>
  <c r="BW56" i="4" s="1"/>
  <c r="BY56" i="4" s="1"/>
  <c r="AW50" i="5"/>
  <c r="BQ50" i="4" s="1"/>
  <c r="BW50" i="4" s="1"/>
  <c r="BY50" i="4" s="1"/>
  <c r="AW46" i="5"/>
  <c r="BQ46" i="4" s="1"/>
  <c r="BW46" i="4" s="1"/>
  <c r="BY46" i="4" s="1"/>
  <c r="AW42" i="5"/>
  <c r="BQ42" i="4" s="1"/>
  <c r="BW42" i="4" s="1"/>
  <c r="BY42" i="4" s="1"/>
  <c r="AW32" i="5"/>
  <c r="BQ32" i="4" s="1"/>
  <c r="BW32" i="4" s="1"/>
  <c r="BY32" i="4" s="1"/>
  <c r="AW25" i="5"/>
  <c r="BQ25" i="4" s="1"/>
  <c r="BW25" i="4" s="1"/>
  <c r="BY25" i="4" s="1"/>
  <c r="AW30" i="5"/>
  <c r="BQ30" i="4" s="1"/>
  <c r="BW30" i="4" s="1"/>
  <c r="BY30" i="4" s="1"/>
  <c r="AW64" i="5"/>
  <c r="BQ64" i="4" s="1"/>
  <c r="BW64" i="4" s="1"/>
  <c r="BY64" i="4" s="1"/>
  <c r="AW41" i="5"/>
  <c r="BQ41" i="4" s="1"/>
  <c r="BW41" i="4" s="1"/>
  <c r="BY41" i="4" s="1"/>
  <c r="AW38" i="5"/>
  <c r="BQ38" i="4" s="1"/>
  <c r="BW38" i="4" s="1"/>
  <c r="BY38" i="4" s="1"/>
  <c r="AW37" i="5"/>
  <c r="BQ37" i="4" s="1"/>
  <c r="BW37" i="4" s="1"/>
  <c r="BY37" i="4" s="1"/>
  <c r="AW34" i="5"/>
  <c r="BQ34" i="4" s="1"/>
  <c r="BW34" i="4" s="1"/>
  <c r="BY34" i="4" s="1"/>
  <c r="AW21" i="5"/>
  <c r="BQ21" i="4" s="1"/>
  <c r="BW21" i="4" s="1"/>
  <c r="BY21" i="4" s="1"/>
  <c r="AW20" i="5"/>
  <c r="BQ20" i="4" s="1"/>
  <c r="BW20" i="4" s="1"/>
  <c r="BY20" i="4" s="1"/>
  <c r="AW15" i="5"/>
  <c r="BQ15" i="4" s="1"/>
  <c r="BW15" i="4" s="1"/>
  <c r="BY15" i="4" s="1"/>
  <c r="BY51" i="4"/>
  <c r="AG42" i="8"/>
  <c r="BE42" i="7" s="1"/>
  <c r="BI42" i="7" s="1"/>
  <c r="BK42" i="7" s="1"/>
  <c r="AG38" i="8"/>
  <c r="BE38" i="7" s="1"/>
  <c r="BI38" i="7" s="1"/>
  <c r="BK38" i="7" s="1"/>
  <c r="AG34" i="8"/>
  <c r="BE34" i="7" s="1"/>
  <c r="BI34" i="7" s="1"/>
  <c r="BK34" i="7" s="1"/>
  <c r="AG30" i="8"/>
  <c r="BE30" i="7" s="1"/>
  <c r="BI30" i="7" s="1"/>
  <c r="BK30" i="7" s="1"/>
  <c r="AG23" i="8"/>
  <c r="BE23" i="7" s="1"/>
  <c r="BI23" i="7" s="1"/>
  <c r="BK23" i="7" s="1"/>
  <c r="AG63" i="8"/>
  <c r="BE63" i="7" s="1"/>
  <c r="BI63" i="7" s="1"/>
  <c r="BK63" i="7" s="1"/>
  <c r="AG24" i="8"/>
  <c r="BE24" i="7" s="1"/>
  <c r="BI24" i="7" s="1"/>
  <c r="BK24" i="7" s="1"/>
  <c r="AG18" i="8"/>
  <c r="BE18" i="7" s="1"/>
  <c r="BI18" i="7" s="1"/>
  <c r="BK18" i="7" s="1"/>
  <c r="AG16" i="8"/>
  <c r="BE16" i="7" s="1"/>
  <c r="BI16" i="7" s="1"/>
  <c r="BK16" i="7" s="1"/>
  <c r="AG26" i="8"/>
  <c r="BE26" i="7" s="1"/>
  <c r="BI26" i="7" s="1"/>
  <c r="BK26" i="7" s="1"/>
  <c r="AG64" i="8"/>
  <c r="BE64" i="7" s="1"/>
  <c r="BI64" i="7" s="1"/>
  <c r="BK64" i="7" s="1"/>
  <c r="AG59" i="8"/>
  <c r="BE59" i="7" s="1"/>
  <c r="BI59" i="7" s="1"/>
  <c r="BK59" i="7" s="1"/>
  <c r="AG52" i="8"/>
  <c r="BE52" i="7" s="1"/>
  <c r="BI52" i="7" s="1"/>
  <c r="BK52" i="7" s="1"/>
  <c r="AG48" i="8"/>
  <c r="BE48" i="7" s="1"/>
  <c r="BI48" i="7" s="1"/>
  <c r="BK48" i="7" s="1"/>
  <c r="AG37" i="8"/>
  <c r="BE37" i="7" s="1"/>
  <c r="BI37" i="7" s="1"/>
  <c r="BK37" i="7" s="1"/>
  <c r="AG28" i="8"/>
  <c r="BE28" i="7" s="1"/>
  <c r="BI28" i="7" s="1"/>
  <c r="BK28" i="7" s="1"/>
  <c r="AG20" i="8"/>
  <c r="BE20" i="7" s="1"/>
  <c r="BI20" i="7" s="1"/>
  <c r="BK20" i="7" s="1"/>
  <c r="BE54" i="7"/>
  <c r="BI54" i="7" s="1"/>
  <c r="BK54" i="7" s="1"/>
  <c r="AG65" i="8"/>
  <c r="BE65" i="7" s="1"/>
  <c r="BI65" i="7" s="1"/>
  <c r="BK65" i="7" s="1"/>
  <c r="AG53" i="8"/>
  <c r="BE53" i="7" s="1"/>
  <c r="BI53" i="7" s="1"/>
  <c r="BK53" i="7" s="1"/>
  <c r="AG51" i="8"/>
  <c r="BE51" i="7" s="1"/>
  <c r="BI51" i="7" s="1"/>
  <c r="BK51" i="7" s="1"/>
  <c r="AG49" i="8"/>
  <c r="BE49" i="7" s="1"/>
  <c r="BI49" i="7" s="1"/>
  <c r="BK49" i="7" s="1"/>
  <c r="AG47" i="8"/>
  <c r="BE47" i="7" s="1"/>
  <c r="BI47" i="7" s="1"/>
  <c r="BK47" i="7" s="1"/>
  <c r="AG36" i="8"/>
  <c r="BE36" i="7" s="1"/>
  <c r="BI36" i="7" s="1"/>
  <c r="BK36" i="7" s="1"/>
  <c r="AG27" i="8"/>
  <c r="BE27" i="7" s="1"/>
  <c r="BI27" i="7" s="1"/>
  <c r="BK27" i="7" s="1"/>
  <c r="AG22" i="8"/>
  <c r="BE22" i="7" s="1"/>
  <c r="BI22" i="7" s="1"/>
  <c r="BK22" i="7" s="1"/>
  <c r="AW33" i="5"/>
  <c r="BQ33" i="4" s="1"/>
  <c r="BW33" i="4" s="1"/>
  <c r="BY33" i="4" s="1"/>
  <c r="AW60" i="5"/>
  <c r="BQ60" i="4" s="1"/>
  <c r="BW60" i="4" s="1"/>
  <c r="BY60" i="4" s="1"/>
  <c r="BQ22" i="4"/>
  <c r="BW22" i="4" s="1"/>
  <c r="BY22" i="4" s="1"/>
  <c r="AW65" i="5"/>
  <c r="BQ65" i="4" s="1"/>
  <c r="BW65" i="4" s="1"/>
  <c r="BY65" i="4" s="1"/>
  <c r="AW47" i="5"/>
  <c r="BQ47" i="4" s="1"/>
  <c r="BW47" i="4" s="1"/>
  <c r="BY47" i="4" s="1"/>
  <c r="W45" i="5"/>
  <c r="AW45" i="5" s="1"/>
  <c r="BQ45" i="4" s="1"/>
  <c r="BW45" i="4" s="1"/>
  <c r="BY45" i="4" s="1"/>
  <c r="AW44" i="5"/>
  <c r="BQ44" i="4" s="1"/>
  <c r="BW44" i="4" s="1"/>
  <c r="BY44" i="4" s="1"/>
  <c r="W26" i="5"/>
  <c r="AW26" i="5" s="1"/>
  <c r="BQ26" i="4" s="1"/>
  <c r="BW26" i="4" s="1"/>
  <c r="BY26" i="4" s="1"/>
  <c r="AW18" i="5"/>
  <c r="BQ18" i="4" s="1"/>
  <c r="BW18" i="4" s="1"/>
  <c r="BY18" i="4" s="1"/>
  <c r="AW59" i="5"/>
  <c r="BQ59" i="4" s="1"/>
  <c r="BW59" i="4" s="1"/>
  <c r="BY59" i="4" s="1"/>
  <c r="AW52" i="5"/>
  <c r="BQ52" i="4" s="1"/>
  <c r="BW52" i="4" s="1"/>
  <c r="BY52" i="4" s="1"/>
  <c r="AW49" i="5"/>
  <c r="BQ49" i="4" s="1"/>
  <c r="BW49" i="4" s="1"/>
  <c r="BY49" i="4" s="1"/>
  <c r="AW43" i="5"/>
  <c r="BQ43" i="4" s="1"/>
  <c r="BW43" i="4" s="1"/>
  <c r="BY43" i="4" s="1"/>
  <c r="AW40" i="5"/>
  <c r="BQ40" i="4" s="1"/>
  <c r="BW40" i="4" s="1"/>
  <c r="BY40" i="4" s="1"/>
  <c r="AW36" i="5"/>
  <c r="BQ36" i="4" s="1"/>
  <c r="BW36" i="4" s="1"/>
  <c r="BY36" i="4" s="1"/>
  <c r="AW28" i="5"/>
  <c r="BQ28" i="4" s="1"/>
  <c r="BW28" i="4" s="1"/>
  <c r="BY28" i="4" s="1"/>
  <c r="W24" i="5"/>
  <c r="AW24" i="5" s="1"/>
  <c r="BQ24" i="4" s="1"/>
  <c r="BW24" i="4" s="1"/>
  <c r="BY24" i="4" s="1"/>
  <c r="AW17" i="5"/>
  <c r="BQ17" i="4" s="1"/>
  <c r="BW17" i="4" s="1"/>
  <c r="BY17" i="4" s="1"/>
  <c r="AW63" i="5"/>
  <c r="BQ63" i="4" s="1"/>
  <c r="BW63" i="4" s="1"/>
  <c r="BY63" i="4" s="1"/>
  <c r="AW61" i="5"/>
  <c r="BQ61" i="4" s="1"/>
  <c r="BW61" i="4" s="1"/>
  <c r="BY61" i="4" s="1"/>
  <c r="AW54" i="5"/>
  <c r="BQ54" i="4" s="1"/>
  <c r="BW54" i="4" s="1"/>
  <c r="BY54" i="4" s="1"/>
  <c r="AW48" i="5"/>
  <c r="BQ48" i="4" s="1"/>
  <c r="BW48" i="4" s="1"/>
  <c r="BY48" i="4" s="1"/>
  <c r="AW39" i="5"/>
  <c r="BQ39" i="4" s="1"/>
  <c r="BW39" i="4" s="1"/>
  <c r="BY39" i="4" s="1"/>
  <c r="AW31" i="5"/>
  <c r="BQ31" i="4" s="1"/>
  <c r="BW31" i="4" s="1"/>
  <c r="BY31" i="4" s="1"/>
  <c r="AW19" i="5"/>
  <c r="BQ19" i="4" s="1"/>
  <c r="BW19" i="4" s="1"/>
  <c r="BY19" i="4" s="1"/>
  <c r="AV62" i="2"/>
  <c r="BT62" i="11" s="1"/>
  <c r="BZ62" i="11" s="1"/>
  <c r="CB62" i="11" s="1"/>
  <c r="AV60" i="2"/>
  <c r="BT60" i="11" s="1"/>
  <c r="BZ60" i="11" s="1"/>
  <c r="CB60" i="11" s="1"/>
  <c r="AV57" i="2"/>
  <c r="BT57" i="11" s="1"/>
  <c r="BZ57" i="11" s="1"/>
  <c r="CB57" i="11" s="1"/>
  <c r="AV48" i="2"/>
  <c r="BT48" i="11" s="1"/>
  <c r="BZ48" i="11" s="1"/>
  <c r="CB48" i="11" s="1"/>
  <c r="AV39" i="2"/>
  <c r="BT39" i="11" s="1"/>
  <c r="BZ39" i="11" s="1"/>
  <c r="CB39" i="11" s="1"/>
  <c r="AV32" i="2"/>
  <c r="BT32" i="11" s="1"/>
  <c r="AV27" i="2"/>
  <c r="BT27" i="11" s="1"/>
  <c r="BZ27" i="11" s="1"/>
  <c r="CB27" i="11" s="1"/>
  <c r="AV16" i="2"/>
  <c r="BT16" i="11" s="1"/>
  <c r="BZ16" i="11" s="1"/>
  <c r="CB16" i="11" s="1"/>
  <c r="AV45" i="2"/>
  <c r="BT45" i="11" s="1"/>
  <c r="BZ45" i="11" s="1"/>
  <c r="CB45" i="11" s="1"/>
  <c r="AV65" i="2"/>
  <c r="BT65" i="11" s="1"/>
  <c r="BZ65" i="11" s="1"/>
  <c r="CB65" i="11" s="1"/>
  <c r="AV50" i="2"/>
  <c r="BT50" i="11" s="1"/>
  <c r="BZ50" i="11" s="1"/>
  <c r="CB50" i="11" s="1"/>
  <c r="AV47" i="2"/>
  <c r="BT47" i="11" s="1"/>
  <c r="BZ47" i="11" s="1"/>
  <c r="CB47" i="11" s="1"/>
  <c r="AV18" i="2"/>
  <c r="BT18" i="11" s="1"/>
  <c r="BZ18" i="11" s="1"/>
  <c r="CB18" i="11" s="1"/>
  <c r="BZ32" i="11" l="1"/>
  <c r="CB32" i="11" s="1"/>
  <c r="AU110" i="5"/>
  <c r="AA125" i="9" l="1"/>
  <c r="AI125" i="9" s="1"/>
  <c r="W80" i="2" l="1"/>
  <c r="W78" i="2"/>
  <c r="W77" i="2"/>
  <c r="W76" i="2"/>
  <c r="W79" i="2" l="1"/>
  <c r="K122" i="6" l="1"/>
  <c r="AG122" i="6" s="1"/>
  <c r="AA120" i="9" l="1"/>
  <c r="AI120" i="9" s="1"/>
  <c r="BE83" i="11" l="1"/>
  <c r="BO83" i="11" s="1"/>
  <c r="AT83" i="2"/>
  <c r="W83" i="2"/>
  <c r="AE83" i="1"/>
  <c r="AI83" i="1" s="1"/>
  <c r="K83" i="1"/>
  <c r="AG83" i="1" s="1"/>
  <c r="BO83" i="4"/>
  <c r="AU83" i="5"/>
  <c r="W83" i="5"/>
  <c r="AE83" i="6"/>
  <c r="AI83" i="6" s="1"/>
  <c r="K83" i="6"/>
  <c r="AG83" i="6" s="1"/>
  <c r="BC83" i="7"/>
  <c r="AC83" i="8"/>
  <c r="M83" i="8"/>
  <c r="AG83" i="9"/>
  <c r="AA83" i="9"/>
  <c r="AI83" i="9" s="1"/>
  <c r="W83" i="10"/>
  <c r="S83" i="10"/>
  <c r="AG83" i="8" l="1"/>
  <c r="BE83" i="7" s="1"/>
  <c r="BI83" i="7" s="1"/>
  <c r="BK83" i="7" s="1"/>
  <c r="AW83" i="5"/>
  <c r="BQ83" i="4" s="1"/>
  <c r="AV83" i="2"/>
  <c r="BT83" i="11" s="1"/>
  <c r="BZ83" i="11" s="1"/>
  <c r="CB83" i="11" s="1"/>
  <c r="BW83" i="4" l="1"/>
  <c r="BY83" i="4" s="1"/>
  <c r="AE131" i="1" l="1"/>
  <c r="AI131" i="1" s="1"/>
  <c r="AE130" i="1"/>
  <c r="AI130" i="1" s="1"/>
  <c r="AE129" i="1"/>
  <c r="AI129" i="1" s="1"/>
  <c r="AE128" i="1"/>
  <c r="AI128" i="1" s="1"/>
  <c r="AE127" i="1"/>
  <c r="AI127" i="1" s="1"/>
  <c r="AE126" i="1"/>
  <c r="AI126" i="1" s="1"/>
  <c r="AE125" i="1"/>
  <c r="AI125" i="1" s="1"/>
  <c r="AE124" i="1"/>
  <c r="AI124" i="1" s="1"/>
  <c r="AE123" i="1"/>
  <c r="AI123" i="1" s="1"/>
  <c r="AE122" i="1"/>
  <c r="AI122" i="1" s="1"/>
  <c r="AE121" i="1"/>
  <c r="AI121" i="1" s="1"/>
  <c r="AE120" i="1"/>
  <c r="AI120" i="1" s="1"/>
  <c r="AE119" i="1"/>
  <c r="AI119" i="1" s="1"/>
  <c r="AE118" i="1"/>
  <c r="AI118" i="1" s="1"/>
  <c r="AE117" i="1"/>
  <c r="AI117" i="1" s="1"/>
  <c r="AE116" i="1"/>
  <c r="AI116" i="1" s="1"/>
  <c r="AE115" i="1"/>
  <c r="AI115" i="1" s="1"/>
  <c r="AE114" i="1"/>
  <c r="AI114" i="1" s="1"/>
  <c r="AE113" i="1"/>
  <c r="AI113" i="1" s="1"/>
  <c r="AE100" i="1"/>
  <c r="AI100" i="1" s="1"/>
  <c r="AE99" i="1"/>
  <c r="AI99" i="1" s="1"/>
  <c r="AE98" i="1"/>
  <c r="AI98" i="1" s="1"/>
  <c r="AE97" i="1"/>
  <c r="AI97" i="1" s="1"/>
  <c r="AE96" i="1"/>
  <c r="AI96" i="1" s="1"/>
  <c r="AE93" i="1"/>
  <c r="AI93" i="1" s="1"/>
  <c r="AE92" i="1"/>
  <c r="AI92" i="1" s="1"/>
  <c r="AE91" i="1"/>
  <c r="AI91" i="1" s="1"/>
  <c r="AE90" i="1"/>
  <c r="AI90" i="1" s="1"/>
  <c r="AE89" i="1"/>
  <c r="AI89" i="1" s="1"/>
  <c r="AE88" i="1"/>
  <c r="AI88" i="1" s="1"/>
  <c r="AE87" i="1"/>
  <c r="AI87" i="1" s="1"/>
  <c r="AE84" i="1"/>
  <c r="AI84" i="1" s="1"/>
  <c r="AE86" i="1"/>
  <c r="AI86" i="1" s="1"/>
  <c r="AE85" i="1"/>
  <c r="AI85" i="1" s="1"/>
  <c r="AE82" i="1"/>
  <c r="AI82" i="1" s="1"/>
  <c r="AE81" i="1"/>
  <c r="AI81" i="1" s="1"/>
  <c r="AE80" i="1"/>
  <c r="AI80" i="1" s="1"/>
  <c r="AE79" i="1"/>
  <c r="AI79" i="1" s="1"/>
  <c r="AE78" i="1"/>
  <c r="AI78" i="1" s="1"/>
  <c r="AE77" i="1"/>
  <c r="AI77" i="1" s="1"/>
  <c r="AE76" i="1"/>
  <c r="AI76" i="1" s="1"/>
  <c r="AE75" i="1"/>
  <c r="AI75" i="1" s="1"/>
  <c r="AE74" i="1"/>
  <c r="AI74" i="1" s="1"/>
  <c r="AE73" i="1"/>
  <c r="AI73" i="1" s="1"/>
  <c r="AE72" i="1"/>
  <c r="AI72" i="1" s="1"/>
  <c r="AE71" i="1"/>
  <c r="AI71" i="1" s="1"/>
  <c r="AE131" i="6"/>
  <c r="AI131" i="6" s="1"/>
  <c r="AE130" i="6"/>
  <c r="AI130" i="6" s="1"/>
  <c r="AE129" i="6"/>
  <c r="AI129" i="6" s="1"/>
  <c r="AE128" i="6"/>
  <c r="AI128" i="6" s="1"/>
  <c r="AE127" i="6"/>
  <c r="AI127" i="6" s="1"/>
  <c r="AE126" i="6"/>
  <c r="AI126" i="6" s="1"/>
  <c r="AE125" i="6"/>
  <c r="AI125" i="6" s="1"/>
  <c r="AE124" i="6"/>
  <c r="AI124" i="6" s="1"/>
  <c r="AE123" i="6"/>
  <c r="AI123" i="6" s="1"/>
  <c r="AE122" i="6"/>
  <c r="AI122" i="6" s="1"/>
  <c r="AE121" i="6"/>
  <c r="AI121" i="6" s="1"/>
  <c r="AE120" i="6"/>
  <c r="AI120" i="6" s="1"/>
  <c r="AE119" i="6"/>
  <c r="AI119" i="6" s="1"/>
  <c r="AE118" i="6"/>
  <c r="AI118" i="6" s="1"/>
  <c r="AE117" i="6"/>
  <c r="AI117" i="6" s="1"/>
  <c r="AE116" i="6"/>
  <c r="AI116" i="6" s="1"/>
  <c r="AE115" i="6"/>
  <c r="AI115" i="6" s="1"/>
  <c r="AE114" i="6"/>
  <c r="AI114" i="6" s="1"/>
  <c r="AE113" i="6"/>
  <c r="AI113" i="6" s="1"/>
  <c r="AE112" i="6"/>
  <c r="AI112" i="6" s="1"/>
  <c r="AE111" i="6"/>
  <c r="AI111" i="6" s="1"/>
  <c r="AE110" i="6"/>
  <c r="AI110" i="6" s="1"/>
  <c r="AE109" i="6"/>
  <c r="AI109" i="6" s="1"/>
  <c r="AE108" i="6"/>
  <c r="AI108" i="6" s="1"/>
  <c r="AE107" i="6"/>
  <c r="AI107" i="6" s="1"/>
  <c r="AE106" i="6"/>
  <c r="AI106" i="6" s="1"/>
  <c r="AE105" i="6"/>
  <c r="AI105" i="6" s="1"/>
  <c r="AE104" i="6"/>
  <c r="AI104" i="6" s="1"/>
  <c r="AE103" i="6"/>
  <c r="AI103" i="6" s="1"/>
  <c r="AE102" i="6"/>
  <c r="AI102" i="6" s="1"/>
  <c r="AE101" i="6"/>
  <c r="AI101" i="6" s="1"/>
  <c r="AE100" i="6"/>
  <c r="AI100" i="6" s="1"/>
  <c r="AE99" i="6"/>
  <c r="AI99" i="6" s="1"/>
  <c r="AE98" i="6"/>
  <c r="AI98" i="6" s="1"/>
  <c r="AE97" i="6"/>
  <c r="AI97" i="6" s="1"/>
  <c r="AE96" i="6"/>
  <c r="AI96" i="6" s="1"/>
  <c r="AE93" i="6"/>
  <c r="AI93" i="6" s="1"/>
  <c r="AE92" i="6"/>
  <c r="AI92" i="6" s="1"/>
  <c r="AE91" i="6"/>
  <c r="AI91" i="6" s="1"/>
  <c r="AE90" i="6"/>
  <c r="AI90" i="6" s="1"/>
  <c r="AE89" i="6"/>
  <c r="AI89" i="6" s="1"/>
  <c r="AE88" i="6"/>
  <c r="AI88" i="6" s="1"/>
  <c r="AE87" i="6"/>
  <c r="AI87" i="6" s="1"/>
  <c r="AE84" i="6"/>
  <c r="AI84" i="6" s="1"/>
  <c r="AE86" i="6"/>
  <c r="AI86" i="6" s="1"/>
  <c r="AE85" i="6"/>
  <c r="AI85" i="6" s="1"/>
  <c r="AE82" i="6"/>
  <c r="AI82" i="6" s="1"/>
  <c r="AE81" i="6"/>
  <c r="AI81" i="6" s="1"/>
  <c r="AE80" i="6"/>
  <c r="AI80" i="6" s="1"/>
  <c r="AE79" i="6"/>
  <c r="AI79" i="6" s="1"/>
  <c r="AE78" i="6"/>
  <c r="AI78" i="6" s="1"/>
  <c r="AE77" i="6"/>
  <c r="AI77" i="6" s="1"/>
  <c r="AE76" i="6"/>
  <c r="AI76" i="6" s="1"/>
  <c r="AE75" i="6"/>
  <c r="AI75" i="6" s="1"/>
  <c r="AE74" i="6"/>
  <c r="AI74" i="6" s="1"/>
  <c r="AE73" i="6"/>
  <c r="AI73" i="6" s="1"/>
  <c r="AE72" i="6"/>
  <c r="AI72" i="6" s="1"/>
  <c r="AE71" i="6"/>
  <c r="AI71" i="6" s="1"/>
  <c r="AE70" i="6"/>
  <c r="AI70" i="6" s="1"/>
  <c r="AG110" i="9"/>
  <c r="AA129" i="9"/>
  <c r="AI129" i="9" s="1"/>
  <c r="AA110" i="9"/>
  <c r="AI110" i="9" s="1"/>
  <c r="AC110" i="8"/>
  <c r="M110" i="8"/>
  <c r="K129" i="6"/>
  <c r="AG129" i="6" s="1"/>
  <c r="K110" i="6"/>
  <c r="AG110" i="6" s="1"/>
  <c r="W110" i="5"/>
  <c r="AW110" i="5" s="1"/>
  <c r="BO110" i="4"/>
  <c r="BO129" i="4"/>
  <c r="K110" i="1"/>
  <c r="AG110" i="1" s="1"/>
  <c r="K129" i="1"/>
  <c r="AG129" i="1" s="1"/>
  <c r="AT129" i="2"/>
  <c r="AT128" i="2"/>
  <c r="AT110" i="2"/>
  <c r="W110" i="2"/>
  <c r="BE129" i="11"/>
  <c r="BO129" i="11" s="1"/>
  <c r="BE110" i="11"/>
  <c r="BO110" i="11" s="1"/>
  <c r="W110" i="10"/>
  <c r="BC110" i="7"/>
  <c r="AA71" i="9"/>
  <c r="AI71" i="9" s="1"/>
  <c r="AV110" i="2" l="1"/>
  <c r="BT110" i="11" s="1"/>
  <c r="BZ110" i="11" s="1"/>
  <c r="CB110" i="11" s="1"/>
  <c r="AG110" i="8"/>
  <c r="BE110" i="7" s="1"/>
  <c r="BI110" i="7" s="1"/>
  <c r="BK110" i="7" s="1"/>
  <c r="BQ110" i="4"/>
  <c r="BW110" i="4" s="1"/>
  <c r="BY110" i="4" s="1"/>
  <c r="W129" i="2"/>
  <c r="AV129" i="2" s="1"/>
  <c r="BT129" i="11" s="1"/>
  <c r="BZ129" i="11" s="1"/>
  <c r="K130" i="1"/>
  <c r="AG130" i="1" s="1"/>
  <c r="BC130" i="7"/>
  <c r="W130" i="2"/>
  <c r="W130" i="5"/>
  <c r="CB129" i="11" l="1"/>
  <c r="W109" i="10" l="1"/>
  <c r="BE109" i="11"/>
  <c r="BO109" i="11" s="1"/>
  <c r="AT109" i="2"/>
  <c r="W109" i="2"/>
  <c r="K109" i="1"/>
  <c r="AG109" i="1" s="1"/>
  <c r="BO109" i="4"/>
  <c r="AU109" i="5"/>
  <c r="K109" i="6"/>
  <c r="AG109" i="6" s="1"/>
  <c r="BC109" i="7"/>
  <c r="AC109" i="8"/>
  <c r="M109" i="8"/>
  <c r="AG109" i="9"/>
  <c r="AA109" i="9"/>
  <c r="AI109" i="9" s="1"/>
  <c r="W109" i="5" l="1"/>
  <c r="AW109" i="5" s="1"/>
  <c r="BQ109" i="4" s="1"/>
  <c r="AG109" i="8"/>
  <c r="BE109" i="7" s="1"/>
  <c r="BI109" i="7" s="1"/>
  <c r="BK109" i="7" s="1"/>
  <c r="AV109" i="2"/>
  <c r="BT109" i="11" s="1"/>
  <c r="BZ109" i="11" s="1"/>
  <c r="CB109" i="11" s="1"/>
  <c r="BW109" i="4" l="1"/>
  <c r="BY109" i="4" s="1"/>
  <c r="AT130" i="2" l="1"/>
  <c r="AV130" i="2" s="1"/>
  <c r="K130" i="6"/>
  <c r="AG130" i="6" s="1"/>
  <c r="W131" i="5"/>
  <c r="W115" i="5"/>
  <c r="K112" i="1"/>
  <c r="AG112" i="1" s="1"/>
  <c r="W117" i="5"/>
  <c r="W127" i="2"/>
  <c r="AG77" i="9"/>
  <c r="K80" i="6"/>
  <c r="AG80" i="6" s="1"/>
  <c r="BO70" i="4"/>
  <c r="BO131" i="4"/>
  <c r="BO130" i="4"/>
  <c r="BO128" i="4"/>
  <c r="BO127" i="4"/>
  <c r="BO126" i="4"/>
  <c r="BO125" i="4"/>
  <c r="BO124" i="4"/>
  <c r="BO123" i="4"/>
  <c r="BO122" i="4"/>
  <c r="BO121" i="4"/>
  <c r="BO120" i="4"/>
  <c r="BO118" i="4"/>
  <c r="BO117" i="4"/>
  <c r="BO116" i="4"/>
  <c r="BO115" i="4"/>
  <c r="BO114" i="4"/>
  <c r="BO113" i="4"/>
  <c r="BO112" i="4"/>
  <c r="BO111" i="4"/>
  <c r="BO108" i="4"/>
  <c r="BO107" i="4"/>
  <c r="BO106" i="4"/>
  <c r="BO105" i="4"/>
  <c r="BO104" i="4"/>
  <c r="BO103" i="4"/>
  <c r="BO102" i="4"/>
  <c r="BO101" i="4"/>
  <c r="BO100" i="4"/>
  <c r="BO99" i="4"/>
  <c r="BO98" i="4"/>
  <c r="BO97" i="4"/>
  <c r="BO96" i="4"/>
  <c r="BO93" i="4"/>
  <c r="BO92" i="4"/>
  <c r="BO91" i="4"/>
  <c r="BO90" i="4"/>
  <c r="BO89" i="4"/>
  <c r="BO88" i="4"/>
  <c r="BO87" i="4"/>
  <c r="BO84" i="4"/>
  <c r="BO86" i="4"/>
  <c r="BO85" i="4"/>
  <c r="BO82" i="4"/>
  <c r="BO81" i="4"/>
  <c r="BO80" i="4"/>
  <c r="BO79" i="4"/>
  <c r="BO78" i="4"/>
  <c r="BO77" i="4"/>
  <c r="BO76" i="4"/>
  <c r="BO75" i="4"/>
  <c r="BO74" i="4"/>
  <c r="BO72" i="4"/>
  <c r="AC73" i="8"/>
  <c r="AC70" i="8"/>
  <c r="AC71" i="8"/>
  <c r="AC72" i="8"/>
  <c r="AC131" i="8"/>
  <c r="AC130" i="8"/>
  <c r="AC129" i="8"/>
  <c r="AC128" i="8"/>
  <c r="AC127" i="8"/>
  <c r="AC126" i="8"/>
  <c r="AC125" i="8"/>
  <c r="AC124" i="8"/>
  <c r="AC123" i="8"/>
  <c r="AC122" i="8"/>
  <c r="AC121" i="8"/>
  <c r="AC120" i="8"/>
  <c r="AC119" i="8"/>
  <c r="AC118" i="8"/>
  <c r="AC117" i="8"/>
  <c r="AC116" i="8"/>
  <c r="AC115" i="8"/>
  <c r="AC114" i="8"/>
  <c r="AC113" i="8"/>
  <c r="AC112" i="8"/>
  <c r="AC111" i="8"/>
  <c r="AC108" i="8"/>
  <c r="AC107" i="8"/>
  <c r="AC106" i="8"/>
  <c r="AC105" i="8"/>
  <c r="AC104" i="8"/>
  <c r="AC103" i="8"/>
  <c r="AC102" i="8"/>
  <c r="AC101" i="8"/>
  <c r="AC100" i="8"/>
  <c r="AC99" i="8"/>
  <c r="AC98" i="8"/>
  <c r="AC97" i="8"/>
  <c r="AC96" i="8"/>
  <c r="AC93" i="8"/>
  <c r="AC92" i="8"/>
  <c r="AC91" i="8"/>
  <c r="AC90" i="8"/>
  <c r="AC89" i="8"/>
  <c r="AC88" i="8"/>
  <c r="AC87" i="8"/>
  <c r="AC84" i="8"/>
  <c r="AC86" i="8"/>
  <c r="AC85" i="8"/>
  <c r="AC82" i="8"/>
  <c r="AC81" i="8"/>
  <c r="AC80" i="8"/>
  <c r="AC79" i="8"/>
  <c r="AC78" i="8"/>
  <c r="AC77" i="8"/>
  <c r="AC76" i="8"/>
  <c r="AC75" i="8"/>
  <c r="AC74" i="8"/>
  <c r="BO119" i="4"/>
  <c r="BO73" i="4"/>
  <c r="BO71" i="4"/>
  <c r="AU86" i="5"/>
  <c r="W86" i="5"/>
  <c r="BC86" i="7"/>
  <c r="M84" i="8"/>
  <c r="W84" i="5"/>
  <c r="AU84" i="5"/>
  <c r="W85" i="5"/>
  <c r="AU85" i="5"/>
  <c r="W82" i="5"/>
  <c r="AU82" i="5"/>
  <c r="AU81" i="5"/>
  <c r="W81" i="5"/>
  <c r="K81" i="6"/>
  <c r="AG81" i="6" s="1"/>
  <c r="BE128" i="11"/>
  <c r="BO128" i="11" s="1"/>
  <c r="W128" i="2"/>
  <c r="AV128" i="2" s="1"/>
  <c r="BE127" i="11"/>
  <c r="BO127" i="11" s="1"/>
  <c r="AT127" i="2"/>
  <c r="AU129" i="5"/>
  <c r="W129" i="5"/>
  <c r="W97" i="10"/>
  <c r="S97" i="10"/>
  <c r="BE97" i="11"/>
  <c r="BO97" i="11" s="1"/>
  <c r="AT97" i="2"/>
  <c r="W97" i="2"/>
  <c r="W98" i="2"/>
  <c r="AU97" i="5"/>
  <c r="W97" i="5"/>
  <c r="K97" i="1"/>
  <c r="AG97" i="1" s="1"/>
  <c r="K97" i="6"/>
  <c r="AG97" i="6" s="1"/>
  <c r="BC97" i="7"/>
  <c r="M97" i="8"/>
  <c r="AG97" i="8" s="1"/>
  <c r="AA97" i="9"/>
  <c r="AI97" i="9" s="1"/>
  <c r="AG97" i="9"/>
  <c r="BE98" i="11"/>
  <c r="BO98" i="11" s="1"/>
  <c r="BE96" i="11"/>
  <c r="BO96" i="11" s="1"/>
  <c r="AU98" i="5"/>
  <c r="W98" i="5"/>
  <c r="BC96" i="7"/>
  <c r="BC98" i="7"/>
  <c r="M98" i="8"/>
  <c r="AT96" i="2"/>
  <c r="W96" i="2"/>
  <c r="W122" i="10"/>
  <c r="S122" i="10"/>
  <c r="BE122" i="11"/>
  <c r="BO122" i="11" s="1"/>
  <c r="AT122" i="2"/>
  <c r="W122" i="2"/>
  <c r="AU122" i="5"/>
  <c r="W122" i="5"/>
  <c r="K122" i="1"/>
  <c r="AG122" i="1" s="1"/>
  <c r="BC122" i="7"/>
  <c r="M122" i="8"/>
  <c r="AA122" i="9"/>
  <c r="AI122" i="9" s="1"/>
  <c r="AG122" i="9"/>
  <c r="BE120" i="11"/>
  <c r="BO120" i="11" s="1"/>
  <c r="AU119" i="5"/>
  <c r="W119" i="5"/>
  <c r="W128" i="5"/>
  <c r="AU128" i="5"/>
  <c r="AU127" i="5"/>
  <c r="W127" i="5"/>
  <c r="AU126" i="5"/>
  <c r="W126" i="5"/>
  <c r="AU125" i="5"/>
  <c r="W125" i="5"/>
  <c r="W124" i="5"/>
  <c r="AU124" i="5"/>
  <c r="W123" i="5"/>
  <c r="AU123" i="5"/>
  <c r="W121" i="5"/>
  <c r="AU121" i="5"/>
  <c r="W120" i="5"/>
  <c r="AU120" i="5"/>
  <c r="W118" i="5"/>
  <c r="AU118" i="5"/>
  <c r="AU117" i="5"/>
  <c r="AU115" i="5"/>
  <c r="AU114" i="5"/>
  <c r="W114" i="5"/>
  <c r="BE107" i="11"/>
  <c r="BO107" i="11" s="1"/>
  <c r="W107" i="2"/>
  <c r="W106" i="10"/>
  <c r="BE106" i="11"/>
  <c r="BO106" i="11" s="1"/>
  <c r="AT106" i="2"/>
  <c r="W106" i="2"/>
  <c r="AU106" i="5"/>
  <c r="W106" i="5"/>
  <c r="K106" i="1"/>
  <c r="AG106" i="1" s="1"/>
  <c r="K106" i="6"/>
  <c r="AG106" i="6" s="1"/>
  <c r="BC106" i="7"/>
  <c r="M106" i="8"/>
  <c r="AA106" i="9"/>
  <c r="AI106" i="9" s="1"/>
  <c r="AG106" i="9"/>
  <c r="AU104" i="5"/>
  <c r="W104" i="5"/>
  <c r="AA104" i="9"/>
  <c r="AI104" i="9" s="1"/>
  <c r="AU105" i="5"/>
  <c r="W105" i="5"/>
  <c r="AU103" i="5"/>
  <c r="W103" i="5"/>
  <c r="BE91" i="11"/>
  <c r="BO91" i="11" s="1"/>
  <c r="BE90" i="11"/>
  <c r="BO90" i="11" s="1"/>
  <c r="BE89" i="11"/>
  <c r="BO89" i="11" s="1"/>
  <c r="AT89" i="2"/>
  <c r="W89" i="2"/>
  <c r="W93" i="5"/>
  <c r="AU93" i="5"/>
  <c r="W92" i="5"/>
  <c r="AU92" i="5"/>
  <c r="W91" i="5"/>
  <c r="AU91" i="5"/>
  <c r="W90" i="5"/>
  <c r="AU90" i="5"/>
  <c r="AU89" i="5"/>
  <c r="W89" i="5"/>
  <c r="BE88" i="11"/>
  <c r="BO88" i="11" s="1"/>
  <c r="AU88" i="5"/>
  <c r="W88" i="5"/>
  <c r="AU87" i="5"/>
  <c r="W87" i="5"/>
  <c r="AA73" i="9"/>
  <c r="AI73" i="9" s="1"/>
  <c r="W73" i="10"/>
  <c r="S73" i="10"/>
  <c r="BE73" i="11"/>
  <c r="BO73" i="11" s="1"/>
  <c r="W73" i="2"/>
  <c r="AT73" i="2"/>
  <c r="K73" i="1"/>
  <c r="AG73" i="1" s="1"/>
  <c r="W73" i="5"/>
  <c r="AU73" i="5"/>
  <c r="K73" i="6"/>
  <c r="AG73" i="6" s="1"/>
  <c r="BC73" i="7"/>
  <c r="M73" i="8"/>
  <c r="AG73" i="9"/>
  <c r="K72" i="1"/>
  <c r="AG72" i="1" s="1"/>
  <c r="W71" i="5"/>
  <c r="W71" i="10"/>
  <c r="BE71" i="11"/>
  <c r="BO71" i="11" s="1"/>
  <c r="W71" i="2"/>
  <c r="AT71" i="2"/>
  <c r="K71" i="1"/>
  <c r="AG71" i="1" s="1"/>
  <c r="AU71" i="5"/>
  <c r="K71" i="6"/>
  <c r="AG71" i="6" s="1"/>
  <c r="BC71" i="7"/>
  <c r="M71" i="8"/>
  <c r="AG71" i="9"/>
  <c r="AU131" i="5"/>
  <c r="AU130" i="5"/>
  <c r="AU113" i="5"/>
  <c r="W113" i="5"/>
  <c r="AU112" i="5"/>
  <c r="W112" i="5"/>
  <c r="AA112" i="9"/>
  <c r="AI112" i="9" s="1"/>
  <c r="AU107" i="5"/>
  <c r="W107" i="5"/>
  <c r="AU108" i="5"/>
  <c r="W108" i="5"/>
  <c r="AU111" i="5"/>
  <c r="W111" i="5"/>
  <c r="AA114" i="9"/>
  <c r="AI114" i="9" s="1"/>
  <c r="AA113" i="9"/>
  <c r="AI113" i="9" s="1"/>
  <c r="AA111" i="9"/>
  <c r="AI111" i="9" s="1"/>
  <c r="AG111" i="9"/>
  <c r="BE80" i="11"/>
  <c r="BO80" i="11" s="1"/>
  <c r="AT80" i="2"/>
  <c r="AV80" i="2" s="1"/>
  <c r="AT79" i="2"/>
  <c r="AU79" i="5"/>
  <c r="W79" i="5"/>
  <c r="K79" i="6"/>
  <c r="AG79" i="6" s="1"/>
  <c r="AA77" i="9"/>
  <c r="AI77" i="9" s="1"/>
  <c r="AU102" i="5"/>
  <c r="W102" i="5"/>
  <c r="AU101" i="5"/>
  <c r="W101" i="5"/>
  <c r="AU100" i="5"/>
  <c r="W100" i="5"/>
  <c r="AU99" i="5"/>
  <c r="W99" i="5"/>
  <c r="AU96" i="5"/>
  <c r="W96" i="5"/>
  <c r="M96" i="8"/>
  <c r="W131" i="10"/>
  <c r="S131" i="10"/>
  <c r="W130" i="10"/>
  <c r="S130" i="10"/>
  <c r="W129" i="10"/>
  <c r="S129" i="10"/>
  <c r="W128" i="10"/>
  <c r="S128" i="10"/>
  <c r="W127" i="10"/>
  <c r="S127" i="10"/>
  <c r="W126" i="10"/>
  <c r="S126" i="10"/>
  <c r="W125" i="10"/>
  <c r="S125" i="10"/>
  <c r="W124" i="10"/>
  <c r="S124" i="10"/>
  <c r="W123" i="10"/>
  <c r="S123" i="10"/>
  <c r="W121" i="10"/>
  <c r="S121" i="10"/>
  <c r="W120" i="10"/>
  <c r="S120" i="10"/>
  <c r="W119" i="10"/>
  <c r="S119" i="10"/>
  <c r="W118" i="10"/>
  <c r="S118" i="10"/>
  <c r="W117" i="10"/>
  <c r="S117" i="10"/>
  <c r="W116" i="10"/>
  <c r="S116" i="10"/>
  <c r="W115" i="10"/>
  <c r="S115" i="10"/>
  <c r="W114" i="10"/>
  <c r="S114" i="10"/>
  <c r="W113" i="10"/>
  <c r="S113" i="10"/>
  <c r="W112" i="10"/>
  <c r="W111" i="10"/>
  <c r="W108" i="10"/>
  <c r="W107" i="10"/>
  <c r="W105" i="10"/>
  <c r="W104" i="10"/>
  <c r="W103" i="10"/>
  <c r="W102" i="10"/>
  <c r="W101" i="10"/>
  <c r="W100" i="10"/>
  <c r="S100" i="10"/>
  <c r="W99" i="10"/>
  <c r="S99" i="10"/>
  <c r="W98" i="10"/>
  <c r="S98" i="10"/>
  <c r="W96" i="10"/>
  <c r="S96" i="10"/>
  <c r="W93" i="10"/>
  <c r="S93" i="10"/>
  <c r="W92" i="10"/>
  <c r="S92" i="10"/>
  <c r="W91" i="10"/>
  <c r="S91" i="10"/>
  <c r="W90" i="10"/>
  <c r="S90" i="10"/>
  <c r="W89" i="10"/>
  <c r="S89" i="10"/>
  <c r="W88" i="10"/>
  <c r="S88" i="10"/>
  <c r="W87" i="10"/>
  <c r="S87" i="10"/>
  <c r="W84" i="10"/>
  <c r="S84" i="10"/>
  <c r="W86" i="10"/>
  <c r="S86" i="10"/>
  <c r="W85" i="10"/>
  <c r="S85" i="10"/>
  <c r="W82" i="10"/>
  <c r="S82" i="10"/>
  <c r="W81" i="10"/>
  <c r="S81" i="10"/>
  <c r="W80" i="10"/>
  <c r="S80" i="10"/>
  <c r="W79" i="10"/>
  <c r="S79" i="10"/>
  <c r="W78" i="10"/>
  <c r="S78" i="10"/>
  <c r="W77" i="10"/>
  <c r="S77" i="10"/>
  <c r="W76" i="10"/>
  <c r="S76" i="10"/>
  <c r="W75" i="10"/>
  <c r="S75" i="10"/>
  <c r="BE131" i="11"/>
  <c r="BO131" i="11" s="1"/>
  <c r="AT131" i="2"/>
  <c r="W131" i="2"/>
  <c r="BE130" i="11"/>
  <c r="BO130" i="11" s="1"/>
  <c r="BE126" i="11"/>
  <c r="BO126" i="11" s="1"/>
  <c r="AT126" i="2"/>
  <c r="W126" i="2"/>
  <c r="BE125" i="11"/>
  <c r="BO125" i="11" s="1"/>
  <c r="AT125" i="2"/>
  <c r="W125" i="2"/>
  <c r="BE124" i="11"/>
  <c r="BO124" i="11" s="1"/>
  <c r="AT124" i="2"/>
  <c r="W124" i="2"/>
  <c r="BE123" i="11"/>
  <c r="BO123" i="11" s="1"/>
  <c r="AT123" i="2"/>
  <c r="W123" i="2"/>
  <c r="BE121" i="11"/>
  <c r="BO121" i="11" s="1"/>
  <c r="AT121" i="2"/>
  <c r="W121" i="2"/>
  <c r="AT120" i="2"/>
  <c r="W120" i="2"/>
  <c r="BE119" i="11"/>
  <c r="BO119" i="11" s="1"/>
  <c r="AT119" i="2"/>
  <c r="W119" i="2"/>
  <c r="BE118" i="11"/>
  <c r="BO118" i="11" s="1"/>
  <c r="AT118" i="2"/>
  <c r="W118" i="2"/>
  <c r="BE117" i="11"/>
  <c r="BO117" i="11" s="1"/>
  <c r="AT117" i="2"/>
  <c r="W117" i="2"/>
  <c r="BE116" i="11"/>
  <c r="BO116" i="11" s="1"/>
  <c r="AT116" i="2"/>
  <c r="W116" i="2"/>
  <c r="BE115" i="11"/>
  <c r="BO115" i="11" s="1"/>
  <c r="AT115" i="2"/>
  <c r="W115" i="2"/>
  <c r="BE114" i="11"/>
  <c r="BO114" i="11" s="1"/>
  <c r="AT114" i="2"/>
  <c r="W114" i="2"/>
  <c r="BE113" i="11"/>
  <c r="BO113" i="11" s="1"/>
  <c r="AT113" i="2"/>
  <c r="W113" i="2"/>
  <c r="BE112" i="11"/>
  <c r="BO112" i="11" s="1"/>
  <c r="AT112" i="2"/>
  <c r="W112" i="2"/>
  <c r="BE111" i="11"/>
  <c r="BO111" i="11" s="1"/>
  <c r="AT111" i="2"/>
  <c r="W111" i="2"/>
  <c r="BE108" i="11"/>
  <c r="BO108" i="11" s="1"/>
  <c r="AT108" i="2"/>
  <c r="W108" i="2"/>
  <c r="AT107" i="2"/>
  <c r="BE105" i="11"/>
  <c r="BO105" i="11" s="1"/>
  <c r="AT105" i="2"/>
  <c r="W105" i="2"/>
  <c r="BE104" i="11"/>
  <c r="BO104" i="11" s="1"/>
  <c r="AT104" i="2"/>
  <c r="W104" i="2"/>
  <c r="BE103" i="11"/>
  <c r="BO103" i="11" s="1"/>
  <c r="AT103" i="2"/>
  <c r="W103" i="2"/>
  <c r="BE102" i="11"/>
  <c r="BO102" i="11" s="1"/>
  <c r="AT102" i="2"/>
  <c r="W102" i="2"/>
  <c r="BE101" i="11"/>
  <c r="BO101" i="11" s="1"/>
  <c r="AT101" i="2"/>
  <c r="W101" i="2"/>
  <c r="BE100" i="11"/>
  <c r="BO100" i="11" s="1"/>
  <c r="AT100" i="2"/>
  <c r="W100" i="2"/>
  <c r="BE99" i="11"/>
  <c r="BO99" i="11" s="1"/>
  <c r="AT99" i="2"/>
  <c r="W99" i="2"/>
  <c r="AT98" i="2"/>
  <c r="BE93" i="11"/>
  <c r="BO93" i="11" s="1"/>
  <c r="AT93" i="2"/>
  <c r="W93" i="2"/>
  <c r="BE92" i="11"/>
  <c r="BO92" i="11" s="1"/>
  <c r="AT92" i="2"/>
  <c r="W92" i="2"/>
  <c r="AT91" i="2"/>
  <c r="W91" i="2"/>
  <c r="AT90" i="2"/>
  <c r="W90" i="2"/>
  <c r="AT88" i="2"/>
  <c r="W88" i="2"/>
  <c r="BE87" i="11"/>
  <c r="BO87" i="11" s="1"/>
  <c r="AT87" i="2"/>
  <c r="W87" i="2"/>
  <c r="BE84" i="11"/>
  <c r="BO84" i="11" s="1"/>
  <c r="AT84" i="2"/>
  <c r="W84" i="2"/>
  <c r="BE86" i="11"/>
  <c r="BO86" i="11" s="1"/>
  <c r="AT86" i="2"/>
  <c r="W86" i="2"/>
  <c r="BE85" i="11"/>
  <c r="BO85" i="11" s="1"/>
  <c r="AT85" i="2"/>
  <c r="W85" i="2"/>
  <c r="BE82" i="11"/>
  <c r="BO82" i="11" s="1"/>
  <c r="AT82" i="2"/>
  <c r="W82" i="2"/>
  <c r="BE81" i="11"/>
  <c r="BO81" i="11" s="1"/>
  <c r="AT81" i="2"/>
  <c r="W81" i="2"/>
  <c r="BE79" i="11"/>
  <c r="BO79" i="11" s="1"/>
  <c r="BE78" i="11"/>
  <c r="BO78" i="11" s="1"/>
  <c r="AT78" i="2"/>
  <c r="AV78" i="2" s="1"/>
  <c r="BE77" i="11"/>
  <c r="BO77" i="11" s="1"/>
  <c r="AT77" i="2"/>
  <c r="AV77" i="2" s="1"/>
  <c r="BE76" i="11"/>
  <c r="BO76" i="11" s="1"/>
  <c r="AT76" i="2"/>
  <c r="BE75" i="11"/>
  <c r="BO75" i="11" s="1"/>
  <c r="AT75" i="2"/>
  <c r="W75" i="2"/>
  <c r="K131" i="1"/>
  <c r="AG131" i="1" s="1"/>
  <c r="K128" i="1"/>
  <c r="AG128" i="1" s="1"/>
  <c r="K127" i="1"/>
  <c r="AG127" i="1" s="1"/>
  <c r="K126" i="1"/>
  <c r="AG126" i="1" s="1"/>
  <c r="K125" i="1"/>
  <c r="AG125" i="1" s="1"/>
  <c r="K124" i="1"/>
  <c r="AG124" i="1" s="1"/>
  <c r="K123" i="1"/>
  <c r="AG123" i="1" s="1"/>
  <c r="K121" i="1"/>
  <c r="AG121" i="1" s="1"/>
  <c r="K120" i="1"/>
  <c r="AG120" i="1" s="1"/>
  <c r="K119" i="1"/>
  <c r="AG119" i="1" s="1"/>
  <c r="K118" i="1"/>
  <c r="AG118" i="1" s="1"/>
  <c r="K117" i="1"/>
  <c r="AG117" i="1" s="1"/>
  <c r="K116" i="1"/>
  <c r="AG116" i="1" s="1"/>
  <c r="K115" i="1"/>
  <c r="AG115" i="1" s="1"/>
  <c r="K114" i="1"/>
  <c r="AG114" i="1" s="1"/>
  <c r="K113" i="1"/>
  <c r="AG113" i="1" s="1"/>
  <c r="K111" i="1"/>
  <c r="AG111" i="1" s="1"/>
  <c r="K108" i="1"/>
  <c r="AG108" i="1" s="1"/>
  <c r="K107" i="1"/>
  <c r="AG107" i="1" s="1"/>
  <c r="K105" i="1"/>
  <c r="AG105" i="1" s="1"/>
  <c r="K104" i="1"/>
  <c r="AG104" i="1" s="1"/>
  <c r="K103" i="1"/>
  <c r="AG103" i="1" s="1"/>
  <c r="K102" i="1"/>
  <c r="AG102" i="1" s="1"/>
  <c r="K101" i="1"/>
  <c r="AG101" i="1" s="1"/>
  <c r="K100" i="1"/>
  <c r="AG100" i="1" s="1"/>
  <c r="K99" i="1"/>
  <c r="AG99" i="1" s="1"/>
  <c r="K98" i="1"/>
  <c r="AG98" i="1" s="1"/>
  <c r="K96" i="1"/>
  <c r="AG96" i="1" s="1"/>
  <c r="K93" i="1"/>
  <c r="AG93" i="1" s="1"/>
  <c r="K92" i="1"/>
  <c r="AG92" i="1" s="1"/>
  <c r="K91" i="1"/>
  <c r="AG91" i="1" s="1"/>
  <c r="K90" i="1"/>
  <c r="AG90" i="1" s="1"/>
  <c r="K89" i="1"/>
  <c r="AG89" i="1" s="1"/>
  <c r="K88" i="1"/>
  <c r="AG88" i="1" s="1"/>
  <c r="K87" i="1"/>
  <c r="AG87" i="1" s="1"/>
  <c r="K84" i="1"/>
  <c r="AG84" i="1" s="1"/>
  <c r="K86" i="1"/>
  <c r="AG86" i="1" s="1"/>
  <c r="K85" i="1"/>
  <c r="AG85" i="1" s="1"/>
  <c r="K82" i="1"/>
  <c r="AG82" i="1" s="1"/>
  <c r="K81" i="1"/>
  <c r="AG81" i="1" s="1"/>
  <c r="K80" i="1"/>
  <c r="AG80" i="1" s="1"/>
  <c r="K79" i="1"/>
  <c r="AG79" i="1" s="1"/>
  <c r="K78" i="1"/>
  <c r="AG78" i="1" s="1"/>
  <c r="K77" i="1"/>
  <c r="AG77" i="1" s="1"/>
  <c r="K76" i="1"/>
  <c r="AG76" i="1" s="1"/>
  <c r="K75" i="1"/>
  <c r="AG75" i="1" s="1"/>
  <c r="AU116" i="5"/>
  <c r="W116" i="5"/>
  <c r="AU80" i="5"/>
  <c r="W80" i="5"/>
  <c r="AU78" i="5"/>
  <c r="W78" i="5"/>
  <c r="AU77" i="5"/>
  <c r="W77" i="5"/>
  <c r="W76" i="5"/>
  <c r="AU76" i="5"/>
  <c r="AU75" i="5"/>
  <c r="W75" i="5"/>
  <c r="K131" i="6"/>
  <c r="AG131" i="6" s="1"/>
  <c r="K128" i="6"/>
  <c r="AG128" i="6" s="1"/>
  <c r="K127" i="6"/>
  <c r="AG127" i="6" s="1"/>
  <c r="K126" i="6"/>
  <c r="AG126" i="6" s="1"/>
  <c r="K125" i="6"/>
  <c r="AG125" i="6" s="1"/>
  <c r="K124" i="6"/>
  <c r="AG124" i="6" s="1"/>
  <c r="K123" i="6"/>
  <c r="AG123" i="6" s="1"/>
  <c r="K121" i="6"/>
  <c r="AG121" i="6" s="1"/>
  <c r="K120" i="6"/>
  <c r="AG120" i="6" s="1"/>
  <c r="K119" i="6"/>
  <c r="AG119" i="6" s="1"/>
  <c r="K118" i="6"/>
  <c r="AG118" i="6" s="1"/>
  <c r="K117" i="6"/>
  <c r="AG117" i="6" s="1"/>
  <c r="K116" i="6"/>
  <c r="AG116" i="6" s="1"/>
  <c r="K115" i="6"/>
  <c r="AG115" i="6" s="1"/>
  <c r="K114" i="6"/>
  <c r="AG114" i="6" s="1"/>
  <c r="K113" i="6"/>
  <c r="AG113" i="6" s="1"/>
  <c r="K112" i="6"/>
  <c r="AG112" i="6" s="1"/>
  <c r="K111" i="6"/>
  <c r="AG111" i="6" s="1"/>
  <c r="K108" i="6"/>
  <c r="AG108" i="6" s="1"/>
  <c r="K107" i="6"/>
  <c r="AG107" i="6" s="1"/>
  <c r="K105" i="6"/>
  <c r="AG105" i="6" s="1"/>
  <c r="K104" i="6"/>
  <c r="AG104" i="6" s="1"/>
  <c r="K103" i="6"/>
  <c r="AG103" i="6" s="1"/>
  <c r="K102" i="6"/>
  <c r="AG102" i="6" s="1"/>
  <c r="K101" i="6"/>
  <c r="AG101" i="6" s="1"/>
  <c r="K100" i="6"/>
  <c r="AG100" i="6" s="1"/>
  <c r="K99" i="6"/>
  <c r="AG99" i="6" s="1"/>
  <c r="K98" i="6"/>
  <c r="AG98" i="6" s="1"/>
  <c r="K96" i="6"/>
  <c r="AG96" i="6" s="1"/>
  <c r="K93" i="6"/>
  <c r="AG93" i="6" s="1"/>
  <c r="K92" i="6"/>
  <c r="AG92" i="6" s="1"/>
  <c r="K91" i="6"/>
  <c r="AG91" i="6" s="1"/>
  <c r="K90" i="6"/>
  <c r="AG90" i="6" s="1"/>
  <c r="K89" i="6"/>
  <c r="AG89" i="6" s="1"/>
  <c r="K88" i="6"/>
  <c r="AG88" i="6" s="1"/>
  <c r="K87" i="6"/>
  <c r="AG87" i="6" s="1"/>
  <c r="K84" i="6"/>
  <c r="AG84" i="6" s="1"/>
  <c r="K86" i="6"/>
  <c r="AG86" i="6" s="1"/>
  <c r="K85" i="6"/>
  <c r="AG85" i="6" s="1"/>
  <c r="K82" i="6"/>
  <c r="AG82" i="6" s="1"/>
  <c r="K78" i="6"/>
  <c r="AG78" i="6" s="1"/>
  <c r="K77" i="6"/>
  <c r="AG77" i="6" s="1"/>
  <c r="K76" i="6"/>
  <c r="AG76" i="6" s="1"/>
  <c r="K75" i="6"/>
  <c r="AG75" i="6" s="1"/>
  <c r="BC131" i="7"/>
  <c r="M131" i="8"/>
  <c r="M130" i="8"/>
  <c r="BC129" i="7"/>
  <c r="M129" i="8"/>
  <c r="AG129" i="8" s="1"/>
  <c r="BC128" i="7"/>
  <c r="M128" i="8"/>
  <c r="BC127" i="7"/>
  <c r="M127" i="8"/>
  <c r="AG127" i="8" s="1"/>
  <c r="BC126" i="7"/>
  <c r="M126" i="8"/>
  <c r="BC125" i="7"/>
  <c r="M125" i="8"/>
  <c r="AG125" i="8" s="1"/>
  <c r="BC124" i="7"/>
  <c r="M124" i="8"/>
  <c r="BC123" i="7"/>
  <c r="M123" i="8"/>
  <c r="BC121" i="7"/>
  <c r="M121" i="8"/>
  <c r="BC120" i="7"/>
  <c r="M120" i="8"/>
  <c r="BC119" i="7"/>
  <c r="M119" i="8"/>
  <c r="BC118" i="7"/>
  <c r="M118" i="8"/>
  <c r="BC117" i="7"/>
  <c r="M117" i="8"/>
  <c r="BC116" i="7"/>
  <c r="M116" i="8"/>
  <c r="BC115" i="7"/>
  <c r="M115" i="8"/>
  <c r="BC114" i="7"/>
  <c r="M114" i="8"/>
  <c r="BC113" i="7"/>
  <c r="M113" i="8"/>
  <c r="BC112" i="7"/>
  <c r="M112" i="8"/>
  <c r="BC111" i="7"/>
  <c r="M111" i="8"/>
  <c r="BC108" i="7"/>
  <c r="M108" i="8"/>
  <c r="BC107" i="7"/>
  <c r="M107" i="8"/>
  <c r="BC105" i="7"/>
  <c r="M105" i="8"/>
  <c r="BC104" i="7"/>
  <c r="M104" i="8"/>
  <c r="BC103" i="7"/>
  <c r="M103" i="8"/>
  <c r="BC102" i="7"/>
  <c r="M102" i="8"/>
  <c r="BC101" i="7"/>
  <c r="M101" i="8"/>
  <c r="BC100" i="7"/>
  <c r="M100" i="8"/>
  <c r="BC99" i="7"/>
  <c r="M99" i="8"/>
  <c r="BC93" i="7"/>
  <c r="M93" i="8"/>
  <c r="BC92" i="7"/>
  <c r="M92" i="8"/>
  <c r="BC91" i="7"/>
  <c r="M91" i="8"/>
  <c r="BC90" i="7"/>
  <c r="M90" i="8"/>
  <c r="BC89" i="7"/>
  <c r="M89" i="8"/>
  <c r="BC88" i="7"/>
  <c r="M88" i="8"/>
  <c r="BC87" i="7"/>
  <c r="M87" i="8"/>
  <c r="M86" i="8"/>
  <c r="BC85" i="7"/>
  <c r="M85" i="8"/>
  <c r="BC82" i="7"/>
  <c r="M82" i="8"/>
  <c r="BC81" i="7"/>
  <c r="M81" i="8"/>
  <c r="BC80" i="7"/>
  <c r="M80" i="8"/>
  <c r="BC79" i="7"/>
  <c r="M79" i="8"/>
  <c r="M78" i="8"/>
  <c r="BC77" i="7"/>
  <c r="M77" i="8"/>
  <c r="BC76" i="7"/>
  <c r="M76" i="8"/>
  <c r="BC75" i="7"/>
  <c r="M75" i="8"/>
  <c r="BC74" i="7"/>
  <c r="M74" i="8"/>
  <c r="M72" i="8"/>
  <c r="M70" i="8"/>
  <c r="AA131" i="9"/>
  <c r="AI131" i="9" s="1"/>
  <c r="AA130" i="9"/>
  <c r="AI130" i="9" s="1"/>
  <c r="AA128" i="9"/>
  <c r="AI128" i="9" s="1"/>
  <c r="AA127" i="9"/>
  <c r="AI127" i="9" s="1"/>
  <c r="AA126" i="9"/>
  <c r="AI126" i="9" s="1"/>
  <c r="AA124" i="9"/>
  <c r="AI124" i="9" s="1"/>
  <c r="AA123" i="9"/>
  <c r="AI123" i="9" s="1"/>
  <c r="AA121" i="9"/>
  <c r="AI121" i="9" s="1"/>
  <c r="AA119" i="9"/>
  <c r="AI119" i="9" s="1"/>
  <c r="AA118" i="9"/>
  <c r="AI118" i="9" s="1"/>
  <c r="AA117" i="9"/>
  <c r="AI117" i="9" s="1"/>
  <c r="AA116" i="9"/>
  <c r="AI116" i="9" s="1"/>
  <c r="AA115" i="9"/>
  <c r="AI115" i="9" s="1"/>
  <c r="AA108" i="9"/>
  <c r="AI108" i="9" s="1"/>
  <c r="AA107" i="9"/>
  <c r="AI107" i="9" s="1"/>
  <c r="AA105" i="9"/>
  <c r="AI105" i="9" s="1"/>
  <c r="AA103" i="9"/>
  <c r="AI103" i="9" s="1"/>
  <c r="AA102" i="9"/>
  <c r="AI102" i="9" s="1"/>
  <c r="AA101" i="9"/>
  <c r="AI101" i="9" s="1"/>
  <c r="AA100" i="9"/>
  <c r="AI100" i="9" s="1"/>
  <c r="AA99" i="9"/>
  <c r="AI99" i="9" s="1"/>
  <c r="AA98" i="9"/>
  <c r="AI98" i="9" s="1"/>
  <c r="AA96" i="9"/>
  <c r="AI96" i="9" s="1"/>
  <c r="AA93" i="9"/>
  <c r="AI93" i="9" s="1"/>
  <c r="AA92" i="9"/>
  <c r="AI92" i="9" s="1"/>
  <c r="AA91" i="9"/>
  <c r="AI91" i="9" s="1"/>
  <c r="AA90" i="9"/>
  <c r="AI90" i="9" s="1"/>
  <c r="AA89" i="9"/>
  <c r="AI89" i="9" s="1"/>
  <c r="AA88" i="9"/>
  <c r="AI88" i="9" s="1"/>
  <c r="AA87" i="9"/>
  <c r="AI87" i="9" s="1"/>
  <c r="AA84" i="9"/>
  <c r="AI84" i="9" s="1"/>
  <c r="AA86" i="9"/>
  <c r="AI86" i="9" s="1"/>
  <c r="AA85" i="9"/>
  <c r="AI85" i="9" s="1"/>
  <c r="AA82" i="9"/>
  <c r="AI82" i="9" s="1"/>
  <c r="AA81" i="9"/>
  <c r="AI81" i="9" s="1"/>
  <c r="AA80" i="9"/>
  <c r="AI80" i="9" s="1"/>
  <c r="AA79" i="9"/>
  <c r="AI79" i="9" s="1"/>
  <c r="AA78" i="9"/>
  <c r="AI78" i="9" s="1"/>
  <c r="AA76" i="9"/>
  <c r="AI76" i="9" s="1"/>
  <c r="AA75" i="9"/>
  <c r="AI75" i="9" s="1"/>
  <c r="AA74" i="9"/>
  <c r="AI74" i="9" s="1"/>
  <c r="AA72" i="9"/>
  <c r="AI72" i="9" s="1"/>
  <c r="AA70" i="9"/>
  <c r="AI70" i="9" s="1"/>
  <c r="AG87" i="9"/>
  <c r="K74" i="1"/>
  <c r="AG74" i="1" s="1"/>
  <c r="AG103" i="9"/>
  <c r="BE70" i="11"/>
  <c r="BO70" i="11" s="1"/>
  <c r="BE72" i="11"/>
  <c r="BO72" i="11" s="1"/>
  <c r="BE74" i="11"/>
  <c r="BO74" i="11" s="1"/>
  <c r="K70" i="1"/>
  <c r="AG70" i="1" s="1"/>
  <c r="AG104" i="9"/>
  <c r="AG86" i="9"/>
  <c r="W74" i="5"/>
  <c r="AU74" i="5"/>
  <c r="K74" i="6"/>
  <c r="AG74" i="6" s="1"/>
  <c r="K72" i="6"/>
  <c r="AG72" i="6" s="1"/>
  <c r="K70" i="6"/>
  <c r="AG70" i="6" s="1"/>
  <c r="W74" i="10"/>
  <c r="S74" i="10"/>
  <c r="W72" i="10"/>
  <c r="S72" i="10"/>
  <c r="W70" i="10"/>
  <c r="S70" i="10"/>
  <c r="AT74" i="2"/>
  <c r="W74" i="2"/>
  <c r="W72" i="2"/>
  <c r="AT72" i="2"/>
  <c r="W70" i="2"/>
  <c r="AT70" i="2"/>
  <c r="AE70" i="1"/>
  <c r="AI70" i="1" s="1"/>
  <c r="W72" i="5"/>
  <c r="AU72" i="5"/>
  <c r="W70" i="5"/>
  <c r="AU70" i="5"/>
  <c r="BC72" i="7"/>
  <c r="BC70" i="7"/>
  <c r="AG131" i="9"/>
  <c r="AG130" i="9"/>
  <c r="AG129" i="9"/>
  <c r="AG128" i="9"/>
  <c r="AG127" i="9"/>
  <c r="AG126" i="9"/>
  <c r="AG125" i="9"/>
  <c r="AG124" i="9"/>
  <c r="AG123" i="9"/>
  <c r="AG121" i="9"/>
  <c r="AG120" i="9"/>
  <c r="AG119" i="9"/>
  <c r="AG118" i="9"/>
  <c r="AG117" i="9"/>
  <c r="AG116" i="9"/>
  <c r="AG115" i="9"/>
  <c r="AG114" i="9"/>
  <c r="AG113" i="9"/>
  <c r="AG108" i="9"/>
  <c r="AG107" i="9"/>
  <c r="AG112" i="9"/>
  <c r="AG105" i="9"/>
  <c r="AG102" i="9"/>
  <c r="AG101" i="9"/>
  <c r="AG100" i="9"/>
  <c r="AG99" i="9"/>
  <c r="AG98" i="9"/>
  <c r="AG96" i="9"/>
  <c r="AG93" i="9"/>
  <c r="AG92" i="9"/>
  <c r="AG91" i="9"/>
  <c r="AG90" i="9"/>
  <c r="AG89" i="9"/>
  <c r="AG88" i="9"/>
  <c r="AG84" i="9"/>
  <c r="AG85" i="9"/>
  <c r="AG82" i="9"/>
  <c r="AG81" i="9"/>
  <c r="AG80" i="9"/>
  <c r="AG79" i="9"/>
  <c r="AG78" i="9"/>
  <c r="AG76" i="9"/>
  <c r="AG75" i="9"/>
  <c r="AG74" i="9"/>
  <c r="AG70" i="9"/>
  <c r="AG90" i="8" l="1"/>
  <c r="AV98" i="2"/>
  <c r="BT98" i="11" s="1"/>
  <c r="BZ98" i="11" s="1"/>
  <c r="CB98" i="11" s="1"/>
  <c r="AG115" i="8"/>
  <c r="BE115" i="7" s="1"/>
  <c r="BI115" i="7" s="1"/>
  <c r="BK115" i="7" s="1"/>
  <c r="AG119" i="8"/>
  <c r="BE119" i="7" s="1"/>
  <c r="BI119" i="7" s="1"/>
  <c r="BK119" i="7" s="1"/>
  <c r="AG103" i="8"/>
  <c r="BE103" i="7" s="1"/>
  <c r="BI103" i="7" s="1"/>
  <c r="BK103" i="7" s="1"/>
  <c r="AG99" i="8"/>
  <c r="BE99" i="7" s="1"/>
  <c r="BI99" i="7" s="1"/>
  <c r="BK99" i="7" s="1"/>
  <c r="AG88" i="8"/>
  <c r="BE88" i="7" s="1"/>
  <c r="BI88" i="7" s="1"/>
  <c r="BK88" i="7" s="1"/>
  <c r="AG86" i="8"/>
  <c r="BE86" i="7" s="1"/>
  <c r="BI86" i="7" s="1"/>
  <c r="BK86" i="7" s="1"/>
  <c r="AG80" i="8"/>
  <c r="BE80" i="7" s="1"/>
  <c r="BI80" i="7" s="1"/>
  <c r="BK80" i="7" s="1"/>
  <c r="AG71" i="8"/>
  <c r="BE71" i="7" s="1"/>
  <c r="BI71" i="7" s="1"/>
  <c r="BK71" i="7" s="1"/>
  <c r="AG113" i="8"/>
  <c r="BE113" i="7" s="1"/>
  <c r="BI113" i="7" s="1"/>
  <c r="BK113" i="7" s="1"/>
  <c r="AG117" i="8"/>
  <c r="BE117" i="7" s="1"/>
  <c r="BI117" i="7" s="1"/>
  <c r="BK117" i="7" s="1"/>
  <c r="AG121" i="8"/>
  <c r="BE121" i="7" s="1"/>
  <c r="BI121" i="7" s="1"/>
  <c r="BK121" i="7" s="1"/>
  <c r="AG105" i="8"/>
  <c r="BE105" i="7" s="1"/>
  <c r="BI105" i="7" s="1"/>
  <c r="BK105" i="7" s="1"/>
  <c r="AG87" i="8"/>
  <c r="BE87" i="7" s="1"/>
  <c r="BI87" i="7" s="1"/>
  <c r="BK87" i="7" s="1"/>
  <c r="AG91" i="8"/>
  <c r="BE91" i="7" s="1"/>
  <c r="BI91" i="7" s="1"/>
  <c r="BK91" i="7" s="1"/>
  <c r="AG93" i="8"/>
  <c r="BE93" i="7" s="1"/>
  <c r="BI93" i="7" s="1"/>
  <c r="BK93" i="7" s="1"/>
  <c r="AG131" i="8"/>
  <c r="BE131" i="7" s="1"/>
  <c r="BI131" i="7" s="1"/>
  <c r="BK131" i="7" s="1"/>
  <c r="AG104" i="8"/>
  <c r="BE104" i="7" s="1"/>
  <c r="BI104" i="7" s="1"/>
  <c r="BK104" i="7" s="1"/>
  <c r="AG114" i="8"/>
  <c r="BE114" i="7" s="1"/>
  <c r="BI114" i="7" s="1"/>
  <c r="BK114" i="7" s="1"/>
  <c r="AG98" i="8"/>
  <c r="BE98" i="7" s="1"/>
  <c r="BI98" i="7" s="1"/>
  <c r="BK98" i="7" s="1"/>
  <c r="AG112" i="8"/>
  <c r="BE112" i="7" s="1"/>
  <c r="BI112" i="7" s="1"/>
  <c r="BK112" i="7" s="1"/>
  <c r="AG116" i="8"/>
  <c r="BE116" i="7" s="1"/>
  <c r="BI116" i="7" s="1"/>
  <c r="BK116" i="7" s="1"/>
  <c r="AG128" i="8"/>
  <c r="BE128" i="7" s="1"/>
  <c r="BI128" i="7" s="1"/>
  <c r="BK128" i="7" s="1"/>
  <c r="AG73" i="8"/>
  <c r="BE73" i="7" s="1"/>
  <c r="BI73" i="7" s="1"/>
  <c r="BK73" i="7" s="1"/>
  <c r="AG82" i="8"/>
  <c r="BE82" i="7" s="1"/>
  <c r="BI82" i="7" s="1"/>
  <c r="BK82" i="7" s="1"/>
  <c r="AG74" i="8"/>
  <c r="BE74" i="7" s="1"/>
  <c r="BI74" i="7" s="1"/>
  <c r="BK74" i="7" s="1"/>
  <c r="AG78" i="8"/>
  <c r="BE78" i="7" s="1"/>
  <c r="BI78" i="7" s="1"/>
  <c r="BK78" i="7" s="1"/>
  <c r="AG81" i="8"/>
  <c r="BE81" i="7" s="1"/>
  <c r="BI81" i="7" s="1"/>
  <c r="BK81" i="7" s="1"/>
  <c r="AG72" i="8"/>
  <c r="BE72" i="7" s="1"/>
  <c r="BI72" i="7" s="1"/>
  <c r="BK72" i="7" s="1"/>
  <c r="BE127" i="7"/>
  <c r="BI127" i="7" s="1"/>
  <c r="BK127" i="7" s="1"/>
  <c r="AV86" i="2"/>
  <c r="BT86" i="11" s="1"/>
  <c r="BZ86" i="11" s="1"/>
  <c r="CB86" i="11" s="1"/>
  <c r="BT130" i="11"/>
  <c r="BZ130" i="11" s="1"/>
  <c r="CB130" i="11" s="1"/>
  <c r="AW113" i="5"/>
  <c r="BQ113" i="4" s="1"/>
  <c r="AW76" i="5"/>
  <c r="BQ76" i="4" s="1"/>
  <c r="AW124" i="5"/>
  <c r="BQ124" i="4" s="1"/>
  <c r="BE129" i="7"/>
  <c r="BI129" i="7" s="1"/>
  <c r="BK129" i="7" s="1"/>
  <c r="AG92" i="8"/>
  <c r="BE92" i="7" s="1"/>
  <c r="BI92" i="7" s="1"/>
  <c r="BK92" i="7" s="1"/>
  <c r="AG75" i="8"/>
  <c r="BE75" i="7" s="1"/>
  <c r="BI75" i="7" s="1"/>
  <c r="BK75" i="7" s="1"/>
  <c r="AG89" i="8"/>
  <c r="BE89" i="7" s="1"/>
  <c r="BI89" i="7" s="1"/>
  <c r="BK89" i="7" s="1"/>
  <c r="AG70" i="8"/>
  <c r="BE70" i="7" s="1"/>
  <c r="BI70" i="7" s="1"/>
  <c r="BK70" i="7" s="1"/>
  <c r="AG100" i="8"/>
  <c r="BE100" i="7" s="1"/>
  <c r="BI100" i="7" s="1"/>
  <c r="BK100" i="7" s="1"/>
  <c r="AG126" i="8"/>
  <c r="BE126" i="7" s="1"/>
  <c r="BI126" i="7" s="1"/>
  <c r="BK126" i="7" s="1"/>
  <c r="AG106" i="8"/>
  <c r="BE106" i="7" s="1"/>
  <c r="BI106" i="7" s="1"/>
  <c r="BK106" i="7" s="1"/>
  <c r="AG76" i="8"/>
  <c r="BE76" i="7" s="1"/>
  <c r="BI76" i="7" s="1"/>
  <c r="BK76" i="7" s="1"/>
  <c r="AG124" i="8"/>
  <c r="BE124" i="7" s="1"/>
  <c r="BI124" i="7" s="1"/>
  <c r="BK124" i="7" s="1"/>
  <c r="AG79" i="8"/>
  <c r="BE79" i="7" s="1"/>
  <c r="BI79" i="7" s="1"/>
  <c r="BK79" i="7" s="1"/>
  <c r="AG120" i="8"/>
  <c r="BE120" i="7" s="1"/>
  <c r="BI120" i="7" s="1"/>
  <c r="BK120" i="7" s="1"/>
  <c r="AG123" i="8"/>
  <c r="BE123" i="7" s="1"/>
  <c r="BI123" i="7" s="1"/>
  <c r="BK123" i="7" s="1"/>
  <c r="AG107" i="8"/>
  <c r="BE107" i="7" s="1"/>
  <c r="BI107" i="7" s="1"/>
  <c r="BK107" i="7" s="1"/>
  <c r="AV93" i="2"/>
  <c r="BT93" i="11" s="1"/>
  <c r="AV85" i="2"/>
  <c r="BT85" i="11" s="1"/>
  <c r="BZ85" i="11" s="1"/>
  <c r="CB85" i="11" s="1"/>
  <c r="AV131" i="2"/>
  <c r="BT131" i="11" s="1"/>
  <c r="BZ131" i="11" s="1"/>
  <c r="CB131" i="11" s="1"/>
  <c r="AV73" i="2"/>
  <c r="BT73" i="11" s="1"/>
  <c r="AV104" i="2"/>
  <c r="BT104" i="11" s="1"/>
  <c r="BZ104" i="11" s="1"/>
  <c r="CB104" i="11" s="1"/>
  <c r="AV82" i="2"/>
  <c r="BT82" i="11" s="1"/>
  <c r="AV105" i="2"/>
  <c r="BT105" i="11" s="1"/>
  <c r="BZ105" i="11" s="1"/>
  <c r="CB105" i="11" s="1"/>
  <c r="AV108" i="2"/>
  <c r="BT108" i="11" s="1"/>
  <c r="BZ108" i="11" s="1"/>
  <c r="CB108" i="11" s="1"/>
  <c r="AV114" i="2"/>
  <c r="BT114" i="11" s="1"/>
  <c r="BZ114" i="11" s="1"/>
  <c r="CB114" i="11" s="1"/>
  <c r="AV118" i="2"/>
  <c r="BT118" i="11" s="1"/>
  <c r="BZ118" i="11" s="1"/>
  <c r="CB118" i="11" s="1"/>
  <c r="AV84" i="2"/>
  <c r="BT84" i="11" s="1"/>
  <c r="BZ84" i="11" s="1"/>
  <c r="CB84" i="11" s="1"/>
  <c r="AV90" i="2"/>
  <c r="BT90" i="11" s="1"/>
  <c r="BZ90" i="11" s="1"/>
  <c r="CB90" i="11" s="1"/>
  <c r="AV100" i="2"/>
  <c r="BT100" i="11" s="1"/>
  <c r="BZ100" i="11" s="1"/>
  <c r="CB100" i="11" s="1"/>
  <c r="AV113" i="2"/>
  <c r="BT113" i="11" s="1"/>
  <c r="BZ113" i="11" s="1"/>
  <c r="CB113" i="11" s="1"/>
  <c r="AV117" i="2"/>
  <c r="BT117" i="11" s="1"/>
  <c r="BZ117" i="11" s="1"/>
  <c r="CB117" i="11" s="1"/>
  <c r="AV116" i="2"/>
  <c r="BT116" i="11" s="1"/>
  <c r="AV96" i="2"/>
  <c r="BT96" i="11" s="1"/>
  <c r="AV121" i="2"/>
  <c r="BT121" i="11" s="1"/>
  <c r="BZ121" i="11" s="1"/>
  <c r="CB121" i="11" s="1"/>
  <c r="AV75" i="2"/>
  <c r="BT75" i="11" s="1"/>
  <c r="BZ75" i="11" s="1"/>
  <c r="CB75" i="11" s="1"/>
  <c r="AV88" i="2"/>
  <c r="BT88" i="11" s="1"/>
  <c r="BZ88" i="11" s="1"/>
  <c r="CB88" i="11" s="1"/>
  <c r="AV111" i="2"/>
  <c r="BT111" i="11" s="1"/>
  <c r="BZ111" i="11" s="1"/>
  <c r="CB111" i="11" s="1"/>
  <c r="AV103" i="2"/>
  <c r="BT103" i="11" s="1"/>
  <c r="BZ103" i="11" s="1"/>
  <c r="CB103" i="11" s="1"/>
  <c r="AV112" i="2"/>
  <c r="BT112" i="11" s="1"/>
  <c r="BZ112" i="11" s="1"/>
  <c r="CB112" i="11" s="1"/>
  <c r="AV120" i="2"/>
  <c r="BT120" i="11" s="1"/>
  <c r="AV106" i="2"/>
  <c r="BT106" i="11" s="1"/>
  <c r="BZ106" i="11" s="1"/>
  <c r="CB106" i="11" s="1"/>
  <c r="AV97" i="2"/>
  <c r="BT97" i="11" s="1"/>
  <c r="BZ97" i="11" s="1"/>
  <c r="CB97" i="11" s="1"/>
  <c r="AV123" i="2"/>
  <c r="BT123" i="11" s="1"/>
  <c r="BZ123" i="11" s="1"/>
  <c r="CB123" i="11" s="1"/>
  <c r="AV71" i="2"/>
  <c r="BT71" i="11" s="1"/>
  <c r="BZ71" i="11" s="1"/>
  <c r="AV122" i="2"/>
  <c r="BT122" i="11" s="1"/>
  <c r="BZ122" i="11" s="1"/>
  <c r="CB122" i="11" s="1"/>
  <c r="AV127" i="2"/>
  <c r="BT127" i="11" s="1"/>
  <c r="BZ127" i="11" s="1"/>
  <c r="CB127" i="11" s="1"/>
  <c r="AW96" i="5"/>
  <c r="BQ96" i="4" s="1"/>
  <c r="AW100" i="5"/>
  <c r="BQ100" i="4" s="1"/>
  <c r="AW97" i="5"/>
  <c r="BQ97" i="4" s="1"/>
  <c r="AW75" i="5"/>
  <c r="BQ75" i="4" s="1"/>
  <c r="AW80" i="5"/>
  <c r="BQ80" i="4" s="1"/>
  <c r="AW73" i="5"/>
  <c r="BQ73" i="4" s="1"/>
  <c r="AG118" i="8"/>
  <c r="BE118" i="7" s="1"/>
  <c r="BI118" i="7" s="1"/>
  <c r="BK118" i="7" s="1"/>
  <c r="AG108" i="8"/>
  <c r="BE108" i="7" s="1"/>
  <c r="BI108" i="7" s="1"/>
  <c r="BK108" i="7" s="1"/>
  <c r="AG96" i="8"/>
  <c r="BE96" i="7" s="1"/>
  <c r="BI96" i="7" s="1"/>
  <c r="BK96" i="7" s="1"/>
  <c r="AG101" i="8"/>
  <c r="BE101" i="7" s="1"/>
  <c r="BI101" i="7" s="1"/>
  <c r="BK101" i="7" s="1"/>
  <c r="AG130" i="8"/>
  <c r="BE130" i="7" s="1"/>
  <c r="BI130" i="7" s="1"/>
  <c r="BK130" i="7" s="1"/>
  <c r="AV126" i="2"/>
  <c r="BT126" i="11" s="1"/>
  <c r="BZ126" i="11" s="1"/>
  <c r="CB126" i="11" s="1"/>
  <c r="AV124" i="2"/>
  <c r="BT124" i="11" s="1"/>
  <c r="BZ124" i="11" s="1"/>
  <c r="CB124" i="11" s="1"/>
  <c r="AW122" i="5"/>
  <c r="BQ122" i="4" s="1"/>
  <c r="AG122" i="8"/>
  <c r="BE122" i="7" s="1"/>
  <c r="BI122" i="7" s="1"/>
  <c r="BK122" i="7" s="1"/>
  <c r="AG111" i="8"/>
  <c r="BE111" i="7" s="1"/>
  <c r="BI111" i="7" s="1"/>
  <c r="BK111" i="7" s="1"/>
  <c r="AW115" i="5"/>
  <c r="BQ115" i="4" s="1"/>
  <c r="AV107" i="2"/>
  <c r="BT107" i="11" s="1"/>
  <c r="BZ107" i="11" s="1"/>
  <c r="CB107" i="11" s="1"/>
  <c r="BE97" i="7"/>
  <c r="BI97" i="7" s="1"/>
  <c r="BK97" i="7" s="1"/>
  <c r="AV87" i="2"/>
  <c r="BT87" i="11" s="1"/>
  <c r="BZ87" i="11" s="1"/>
  <c r="CB87" i="11" s="1"/>
  <c r="AV89" i="2"/>
  <c r="BT89" i="11" s="1"/>
  <c r="BZ89" i="11" s="1"/>
  <c r="CB89" i="11" s="1"/>
  <c r="AW84" i="5"/>
  <c r="BQ84" i="4" s="1"/>
  <c r="AW88" i="5"/>
  <c r="BQ88" i="4" s="1"/>
  <c r="AW72" i="5"/>
  <c r="BQ72" i="4" s="1"/>
  <c r="AW70" i="5"/>
  <c r="BQ70" i="4" s="1"/>
  <c r="AW74" i="5"/>
  <c r="BQ74" i="4" s="1"/>
  <c r="AV76" i="2"/>
  <c r="BT76" i="11" s="1"/>
  <c r="BZ76" i="11" s="1"/>
  <c r="CB76" i="11" s="1"/>
  <c r="AV99" i="2"/>
  <c r="BT99" i="11" s="1"/>
  <c r="BZ99" i="11" s="1"/>
  <c r="CB99" i="11" s="1"/>
  <c r="AV125" i="2"/>
  <c r="BT125" i="11" s="1"/>
  <c r="BZ125" i="11" s="1"/>
  <c r="CB125" i="11" s="1"/>
  <c r="AV74" i="2"/>
  <c r="BT74" i="11" s="1"/>
  <c r="BZ74" i="11" s="1"/>
  <c r="CB74" i="11" s="1"/>
  <c r="AW107" i="5"/>
  <c r="BQ107" i="4" s="1"/>
  <c r="AW111" i="5"/>
  <c r="BQ111" i="4" s="1"/>
  <c r="AG84" i="8"/>
  <c r="AG77" i="8"/>
  <c r="BE77" i="7" s="1"/>
  <c r="BI77" i="7" s="1"/>
  <c r="BK77" i="7" s="1"/>
  <c r="AG85" i="8"/>
  <c r="BE85" i="7" s="1"/>
  <c r="BI85" i="7" s="1"/>
  <c r="BK85" i="7" s="1"/>
  <c r="AW101" i="5"/>
  <c r="BQ101" i="4" s="1"/>
  <c r="AW99" i="5"/>
  <c r="BQ99" i="4" s="1"/>
  <c r="AG102" i="8"/>
  <c r="BE102" i="7" s="1"/>
  <c r="BI102" i="7" s="1"/>
  <c r="BK102" i="7" s="1"/>
  <c r="BT78" i="11"/>
  <c r="BZ78" i="11" s="1"/>
  <c r="CB78" i="11" s="1"/>
  <c r="BT77" i="11"/>
  <c r="BZ77" i="11" s="1"/>
  <c r="CB77" i="11" s="1"/>
  <c r="BT80" i="11"/>
  <c r="AV102" i="2"/>
  <c r="BT102" i="11" s="1"/>
  <c r="AW85" i="5"/>
  <c r="BQ85" i="4" s="1"/>
  <c r="BT128" i="11"/>
  <c r="BZ128" i="11" s="1"/>
  <c r="CB128" i="11" s="1"/>
  <c r="AW121" i="5"/>
  <c r="BQ121" i="4" s="1"/>
  <c r="BE125" i="7"/>
  <c r="BI125" i="7" s="1"/>
  <c r="BK125" i="7" s="1"/>
  <c r="BE90" i="7"/>
  <c r="BI90" i="7" s="1"/>
  <c r="BK90" i="7" s="1"/>
  <c r="AV70" i="2"/>
  <c r="BT70" i="11" s="1"/>
  <c r="AV72" i="2"/>
  <c r="AV92" i="2"/>
  <c r="AV101" i="2"/>
  <c r="AV79" i="2"/>
  <c r="AV81" i="2"/>
  <c r="AW93" i="5"/>
  <c r="BQ93" i="4" s="1"/>
  <c r="AW91" i="5"/>
  <c r="BQ91" i="4" s="1"/>
  <c r="AW102" i="5"/>
  <c r="BQ102" i="4" s="1"/>
  <c r="AW87" i="5"/>
  <c r="BQ87" i="4" s="1"/>
  <c r="AW90" i="5"/>
  <c r="BQ90" i="4" s="1"/>
  <c r="AW92" i="5"/>
  <c r="BQ92" i="4" s="1"/>
  <c r="AW89" i="5"/>
  <c r="BQ89" i="4" s="1"/>
  <c r="AW118" i="5"/>
  <c r="BQ118" i="4" s="1"/>
  <c r="AW86" i="5"/>
  <c r="BQ86" i="4" s="1"/>
  <c r="AW130" i="5"/>
  <c r="BQ130" i="4" s="1"/>
  <c r="AW123" i="5"/>
  <c r="BQ123" i="4" s="1"/>
  <c r="AW128" i="5"/>
  <c r="AW119" i="5"/>
  <c r="BQ119" i="4" s="1"/>
  <c r="AV115" i="2"/>
  <c r="AV119" i="2"/>
  <c r="AW112" i="5"/>
  <c r="BQ112" i="4" s="1"/>
  <c r="AW103" i="5"/>
  <c r="BQ103" i="4" s="1"/>
  <c r="AW104" i="5"/>
  <c r="BQ104" i="4" s="1"/>
  <c r="AW106" i="5"/>
  <c r="BQ106" i="4" s="1"/>
  <c r="AW120" i="5"/>
  <c r="BQ120" i="4" s="1"/>
  <c r="AW82" i="5"/>
  <c r="BQ82" i="4" s="1"/>
  <c r="AW77" i="5"/>
  <c r="BQ77" i="4" s="1"/>
  <c r="AW78" i="5"/>
  <c r="BQ78" i="4" s="1"/>
  <c r="AW116" i="5"/>
  <c r="BQ116" i="4" s="1"/>
  <c r="AV91" i="2"/>
  <c r="AW79" i="5"/>
  <c r="BQ79" i="4" s="1"/>
  <c r="AW108" i="5"/>
  <c r="BQ108" i="4" s="1"/>
  <c r="AW71" i="5"/>
  <c r="BQ71" i="4" s="1"/>
  <c r="AW105" i="5"/>
  <c r="BQ105" i="4" s="1"/>
  <c r="AW114" i="5"/>
  <c r="BQ114" i="4" s="1"/>
  <c r="AW125" i="5"/>
  <c r="BQ125" i="4" s="1"/>
  <c r="AW126" i="5"/>
  <c r="BQ126" i="4" s="1"/>
  <c r="AW127" i="5"/>
  <c r="BQ127" i="4" s="1"/>
  <c r="AW98" i="5"/>
  <c r="BQ98" i="4" s="1"/>
  <c r="AW129" i="5"/>
  <c r="AW81" i="5"/>
  <c r="BQ81" i="4" s="1"/>
  <c r="AW117" i="5"/>
  <c r="BQ117" i="4" s="1"/>
  <c r="AW131" i="5"/>
  <c r="BQ131" i="4" s="1"/>
  <c r="BW98" i="4" l="1"/>
  <c r="BY98" i="4" s="1"/>
  <c r="BW108" i="4"/>
  <c r="BY108" i="4" s="1"/>
  <c r="BW86" i="4"/>
  <c r="BY86" i="4" s="1"/>
  <c r="BW90" i="4"/>
  <c r="BY90" i="4" s="1"/>
  <c r="BW131" i="4"/>
  <c r="BY131" i="4" s="1"/>
  <c r="BW105" i="4"/>
  <c r="BY105" i="4" s="1"/>
  <c r="BW103" i="4"/>
  <c r="BY103" i="4" s="1"/>
  <c r="BW123" i="4"/>
  <c r="BY123" i="4" s="1"/>
  <c r="BW89" i="4"/>
  <c r="BY89" i="4" s="1"/>
  <c r="BW102" i="4"/>
  <c r="BY102" i="4" s="1"/>
  <c r="BW111" i="4"/>
  <c r="BY111" i="4" s="1"/>
  <c r="BW107" i="4"/>
  <c r="BY107" i="4" s="1"/>
  <c r="BW97" i="4"/>
  <c r="BY97" i="4" s="1"/>
  <c r="BW72" i="4"/>
  <c r="BY72" i="4" s="1"/>
  <c r="BW122" i="4"/>
  <c r="BY122" i="4" s="1"/>
  <c r="BW117" i="4"/>
  <c r="BY117" i="4" s="1"/>
  <c r="BW80" i="4"/>
  <c r="BY80" i="4" s="1"/>
  <c r="BW126" i="4"/>
  <c r="BY126" i="4" s="1"/>
  <c r="BW120" i="4"/>
  <c r="BY120" i="4" s="1"/>
  <c r="BW112" i="4"/>
  <c r="BY112" i="4" s="1"/>
  <c r="BW130" i="4"/>
  <c r="BY130" i="4" s="1"/>
  <c r="BW92" i="4"/>
  <c r="BY92" i="4" s="1"/>
  <c r="BW91" i="4"/>
  <c r="BY91" i="4" s="1"/>
  <c r="BW96" i="4"/>
  <c r="BY96" i="4" s="1"/>
  <c r="BW88" i="4"/>
  <c r="BY88" i="4" s="1"/>
  <c r="BW75" i="4"/>
  <c r="BY75" i="4" s="1"/>
  <c r="BW115" i="4"/>
  <c r="BY115" i="4" s="1"/>
  <c r="BW125" i="4"/>
  <c r="BY125" i="4" s="1"/>
  <c r="BW93" i="4"/>
  <c r="BY93" i="4" s="1"/>
  <c r="BW76" i="4"/>
  <c r="BY76" i="4" s="1"/>
  <c r="BW84" i="4"/>
  <c r="BY84" i="4" s="1"/>
  <c r="BW124" i="4"/>
  <c r="BY124" i="4" s="1"/>
  <c r="BW114" i="4"/>
  <c r="BY114" i="4" s="1"/>
  <c r="BW79" i="4"/>
  <c r="BY79" i="4" s="1"/>
  <c r="BW77" i="4"/>
  <c r="BY77" i="4" s="1"/>
  <c r="BW118" i="4"/>
  <c r="BY118" i="4" s="1"/>
  <c r="BW87" i="4"/>
  <c r="BY87" i="4" s="1"/>
  <c r="BW121" i="4"/>
  <c r="BY121" i="4" s="1"/>
  <c r="BW99" i="4"/>
  <c r="BY99" i="4" s="1"/>
  <c r="BW113" i="4"/>
  <c r="BY113" i="4" s="1"/>
  <c r="BW74" i="4"/>
  <c r="BY74" i="4" s="1"/>
  <c r="BW100" i="4"/>
  <c r="BY100" i="4" s="1"/>
  <c r="BW127" i="4"/>
  <c r="BY127" i="4" s="1"/>
  <c r="BW119" i="4"/>
  <c r="BY119" i="4" s="1"/>
  <c r="BW116" i="4"/>
  <c r="BY116" i="4" s="1"/>
  <c r="BW106" i="4"/>
  <c r="BY106" i="4" s="1"/>
  <c r="BW104" i="4"/>
  <c r="BY104" i="4" s="1"/>
  <c r="BW101" i="4"/>
  <c r="BY101" i="4" s="1"/>
  <c r="BW85" i="4"/>
  <c r="BY85" i="4" s="1"/>
  <c r="BW81" i="4"/>
  <c r="BY81" i="4" s="1"/>
  <c r="BW82" i="4"/>
  <c r="BY82" i="4" s="1"/>
  <c r="BW78" i="4"/>
  <c r="BY78" i="4" s="1"/>
  <c r="BW73" i="4"/>
  <c r="BY73" i="4" s="1"/>
  <c r="BW71" i="4"/>
  <c r="BY71" i="4" s="1"/>
  <c r="BW70" i="4"/>
  <c r="BY70" i="4" s="1"/>
  <c r="BZ82" i="11"/>
  <c r="CB82" i="11" s="1"/>
  <c r="BZ93" i="11"/>
  <c r="CB93" i="11" s="1"/>
  <c r="BT92" i="11"/>
  <c r="BZ92" i="11" s="1"/>
  <c r="CB92" i="11" s="1"/>
  <c r="BQ129" i="4"/>
  <c r="BZ120" i="11"/>
  <c r="CB120" i="11" s="1"/>
  <c r="BT119" i="11"/>
  <c r="BZ119" i="11" s="1"/>
  <c r="CB119" i="11" s="1"/>
  <c r="BT81" i="11"/>
  <c r="BZ81" i="11" s="1"/>
  <c r="CB81" i="11" s="1"/>
  <c r="BZ80" i="11"/>
  <c r="CB80" i="11" s="1"/>
  <c r="BT91" i="11"/>
  <c r="BZ91" i="11" s="1"/>
  <c r="CB91" i="11" s="1"/>
  <c r="BT79" i="11"/>
  <c r="BZ79" i="11" s="1"/>
  <c r="CB79" i="11" s="1"/>
  <c r="BQ128" i="4"/>
  <c r="BZ116" i="11"/>
  <c r="CB116" i="11" s="1"/>
  <c r="BT115" i="11"/>
  <c r="BZ115" i="11" s="1"/>
  <c r="CB115" i="11" s="1"/>
  <c r="BZ102" i="11"/>
  <c r="CB102" i="11" s="1"/>
  <c r="BT101" i="11"/>
  <c r="BZ101" i="11" s="1"/>
  <c r="CB101" i="11" s="1"/>
  <c r="CB71" i="11"/>
  <c r="BZ70" i="11"/>
  <c r="CB70" i="11" s="1"/>
  <c r="BZ73" i="11"/>
  <c r="CB73" i="11" s="1"/>
  <c r="BT72" i="11"/>
  <c r="BZ72" i="11" s="1"/>
  <c r="CB72" i="11" s="1"/>
  <c r="BZ96" i="11"/>
  <c r="CB96" i="11" s="1"/>
  <c r="BW129" i="4" l="1"/>
  <c r="BY129" i="4" s="1"/>
  <c r="BW128" i="4"/>
  <c r="BY128" i="4" s="1"/>
  <c r="BC84" i="7" l="1"/>
  <c r="BE84" i="7" s="1"/>
  <c r="BI84" i="7" s="1"/>
  <c r="BK84" i="7" s="1"/>
</calcChain>
</file>

<file path=xl/sharedStrings.xml><?xml version="1.0" encoding="utf-8"?>
<sst xmlns="http://schemas.openxmlformats.org/spreadsheetml/2006/main" count="4489" uniqueCount="388">
  <si>
    <t>Amounts</t>
  </si>
  <si>
    <t>Assets</t>
  </si>
  <si>
    <t>Statement</t>
  </si>
  <si>
    <t>Current</t>
  </si>
  <si>
    <t>Capital</t>
  </si>
  <si>
    <t>Deferred</t>
  </si>
  <si>
    <t>Total</t>
  </si>
  <si>
    <t>Long-term Liabilities</t>
  </si>
  <si>
    <t>Invested in</t>
  </si>
  <si>
    <t>Balances if</t>
  </si>
  <si>
    <t>County</t>
  </si>
  <si>
    <t>IRN #</t>
  </si>
  <si>
    <t>Investments</t>
  </si>
  <si>
    <t>Liabilities</t>
  </si>
  <si>
    <t>More Than 1 Yr</t>
  </si>
  <si>
    <t>Capital Assets</t>
  </si>
  <si>
    <t>Restricted</t>
  </si>
  <si>
    <t>Unrestricted</t>
  </si>
  <si>
    <t>Value is "0"</t>
  </si>
  <si>
    <t>Hardin</t>
  </si>
  <si>
    <t>Revenues from the Statement of Activities - Governmental Activities</t>
  </si>
  <si>
    <t>Program Revenues - Governmental Activities</t>
  </si>
  <si>
    <t xml:space="preserve"> </t>
  </si>
  <si>
    <t>Operating</t>
  </si>
  <si>
    <t>General</t>
  </si>
  <si>
    <t>Grants,</t>
  </si>
  <si>
    <t>Extra-</t>
  </si>
  <si>
    <t>Payments in</t>
  </si>
  <si>
    <t>Contributions</t>
  </si>
  <si>
    <t>Revenues</t>
  </si>
  <si>
    <t>Charges for</t>
  </si>
  <si>
    <t>Program</t>
  </si>
  <si>
    <t>Property</t>
  </si>
  <si>
    <t>Grants and</t>
  </si>
  <si>
    <t>Investment</t>
  </si>
  <si>
    <t>Tuition</t>
  </si>
  <si>
    <t>curricular</t>
  </si>
  <si>
    <t>Lieu of</t>
  </si>
  <si>
    <t>and</t>
  </si>
  <si>
    <t>Transfers-</t>
  </si>
  <si>
    <t xml:space="preserve">Special </t>
  </si>
  <si>
    <t>Services</t>
  </si>
  <si>
    <t>and Interest</t>
  </si>
  <si>
    <t>Grants</t>
  </si>
  <si>
    <t>Taxes</t>
  </si>
  <si>
    <t>Entitlements</t>
  </si>
  <si>
    <t>Earnings</t>
  </si>
  <si>
    <t>and Fees</t>
  </si>
  <si>
    <t>Activities</t>
  </si>
  <si>
    <t>Donations</t>
  </si>
  <si>
    <t>Items</t>
  </si>
  <si>
    <t>This Column</t>
  </si>
  <si>
    <t>Should not</t>
  </si>
  <si>
    <t>exist</t>
  </si>
  <si>
    <t>Instruction</t>
  </si>
  <si>
    <t>Support Services</t>
  </si>
  <si>
    <t>Operation and</t>
  </si>
  <si>
    <t>outlay and</t>
  </si>
  <si>
    <t>and Activities</t>
  </si>
  <si>
    <t>Instructional</t>
  </si>
  <si>
    <t>Board of</t>
  </si>
  <si>
    <t>Maintenance</t>
  </si>
  <si>
    <t>Pupil</t>
  </si>
  <si>
    <t>Food</t>
  </si>
  <si>
    <t>Extracurricular</t>
  </si>
  <si>
    <t>Transfers</t>
  </si>
  <si>
    <t>debt</t>
  </si>
  <si>
    <t>All Other</t>
  </si>
  <si>
    <t>Beginning</t>
  </si>
  <si>
    <t>End of</t>
  </si>
  <si>
    <t>Balance if</t>
  </si>
  <si>
    <t>Special</t>
  </si>
  <si>
    <t>Vocational</t>
  </si>
  <si>
    <t>Staff</t>
  </si>
  <si>
    <t>Education</t>
  </si>
  <si>
    <t>Administration</t>
  </si>
  <si>
    <t>Fiscal</t>
  </si>
  <si>
    <t>Business</t>
  </si>
  <si>
    <t>of Plant</t>
  </si>
  <si>
    <t>Transportation</t>
  </si>
  <si>
    <t>Central</t>
  </si>
  <si>
    <t>Service</t>
  </si>
  <si>
    <t>Other</t>
  </si>
  <si>
    <t>Interest</t>
  </si>
  <si>
    <t>Out</t>
  </si>
  <si>
    <t>principal</t>
  </si>
  <si>
    <t>Expenses</t>
  </si>
  <si>
    <t>of Year</t>
  </si>
  <si>
    <t>Year</t>
  </si>
  <si>
    <t>Summary Data from the General Fund Balance Sheet</t>
  </si>
  <si>
    <t>Cash and</t>
  </si>
  <si>
    <t>Fund</t>
  </si>
  <si>
    <t>Balances</t>
  </si>
  <si>
    <t>Revenue</t>
  </si>
  <si>
    <t>Fund Balance</t>
  </si>
  <si>
    <t>General Fund Revenues - Modified Accrual Basis of Accounting</t>
  </si>
  <si>
    <t>Other Financing Sources</t>
  </si>
  <si>
    <t>Payments</t>
  </si>
  <si>
    <t>Inter-</t>
  </si>
  <si>
    <t>in Lieu</t>
  </si>
  <si>
    <t>Note</t>
  </si>
  <si>
    <t>Bond</t>
  </si>
  <si>
    <t>Financing</t>
  </si>
  <si>
    <t>governmental</t>
  </si>
  <si>
    <t>of Taxes</t>
  </si>
  <si>
    <t>Transfers in</t>
  </si>
  <si>
    <t>Advances in</t>
  </si>
  <si>
    <t>Proceeds</t>
  </si>
  <si>
    <t>Sources</t>
  </si>
  <si>
    <t>General Fund Expenditures - Modified Accrual Basis of Accounting</t>
  </si>
  <si>
    <t>Debt Service</t>
  </si>
  <si>
    <t>Other Financing Uses</t>
  </si>
  <si>
    <t>Net</t>
  </si>
  <si>
    <t>All</t>
  </si>
  <si>
    <t>Expenditures</t>
  </si>
  <si>
    <t>Change in</t>
  </si>
  <si>
    <t>Balance</t>
  </si>
  <si>
    <t>Principal</t>
  </si>
  <si>
    <t>Advances</t>
  </si>
  <si>
    <t>End</t>
  </si>
  <si>
    <t>Fund Bal.</t>
  </si>
  <si>
    <t>Outlay</t>
  </si>
  <si>
    <t>Uses</t>
  </si>
  <si>
    <t>Other Uses</t>
  </si>
  <si>
    <t>Summary Data from the Governmental Fund Balance Sheet</t>
  </si>
  <si>
    <t>Governmental Fund Revenues - Modified Accrual Basis of Accounting</t>
  </si>
  <si>
    <t>Miscellaneous</t>
  </si>
  <si>
    <t>Long-Term Obligations</t>
  </si>
  <si>
    <t>Due in More</t>
  </si>
  <si>
    <t>Than One Year/Tie</t>
  </si>
  <si>
    <t>Obligation</t>
  </si>
  <si>
    <t>Notes</t>
  </si>
  <si>
    <t>Compensated</t>
  </si>
  <si>
    <t>Due within</t>
  </si>
  <si>
    <t xml:space="preserve">to Statement of </t>
  </si>
  <si>
    <t>Bonds</t>
  </si>
  <si>
    <t>Loans</t>
  </si>
  <si>
    <t>Payables</t>
  </si>
  <si>
    <t>Leases</t>
  </si>
  <si>
    <t>Absences</t>
  </si>
  <si>
    <t>Obligations</t>
  </si>
  <si>
    <t>One Year</t>
  </si>
  <si>
    <t>Lorain</t>
  </si>
  <si>
    <t>Ashland</t>
  </si>
  <si>
    <t>Ashtabula</t>
  </si>
  <si>
    <t>Athens</t>
  </si>
  <si>
    <t>Lake</t>
  </si>
  <si>
    <t>Butler</t>
  </si>
  <si>
    <t>Athens-Meigs Educ Srv Ctr</t>
  </si>
  <si>
    <t>Belmont</t>
  </si>
  <si>
    <t>Brown</t>
  </si>
  <si>
    <t>Champaign</t>
  </si>
  <si>
    <t>Clark</t>
  </si>
  <si>
    <t>Clermont County Educ Srv Ctr</t>
  </si>
  <si>
    <t>Clermont</t>
  </si>
  <si>
    <t>Clinton</t>
  </si>
  <si>
    <t>Columbiana</t>
  </si>
  <si>
    <t>Cuyahoga</t>
  </si>
  <si>
    <t>Darke</t>
  </si>
  <si>
    <t>Delaware</t>
  </si>
  <si>
    <t>Erie</t>
  </si>
  <si>
    <t>Fairfield</t>
  </si>
  <si>
    <t>Franklin</t>
  </si>
  <si>
    <t>Northwest Ohio Educ Srv Ctr</t>
  </si>
  <si>
    <t>Gallia-Vinton Educ Srv Ctr</t>
  </si>
  <si>
    <t>Gallia</t>
  </si>
  <si>
    <t>Geauga</t>
  </si>
  <si>
    <t>Greene</t>
  </si>
  <si>
    <t>Hamilton</t>
  </si>
  <si>
    <t>Hancock</t>
  </si>
  <si>
    <t>Jefferson</t>
  </si>
  <si>
    <t>Knox</t>
  </si>
  <si>
    <t>Lawrence</t>
  </si>
  <si>
    <t>Licking</t>
  </si>
  <si>
    <t>Logan</t>
  </si>
  <si>
    <t>Lucas</t>
  </si>
  <si>
    <t>Mahoning</t>
  </si>
  <si>
    <t>Medina County Educ Srv Ctr</t>
  </si>
  <si>
    <t>Medina</t>
  </si>
  <si>
    <t>Mercer</t>
  </si>
  <si>
    <t>Miami</t>
  </si>
  <si>
    <t>Montgomery</t>
  </si>
  <si>
    <t>Muskingum Valley Educ Srv Ctr</t>
  </si>
  <si>
    <t>Muskingum</t>
  </si>
  <si>
    <t>Perry</t>
  </si>
  <si>
    <t>Pickaway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</si>
  <si>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</si>
  <si>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</si>
  <si>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</si>
  <si>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</si>
  <si>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</si>
  <si>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</si>
  <si>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</si>
  <si>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</si>
  <si>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</si>
  <si>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</si>
  <si>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</si>
  <si>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</si>
  <si>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</si>
  <si>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Western Buckeye Educ Srv Ctr</t>
  </si>
  <si>
    <t>Van Wert</t>
  </si>
  <si>
    <t>Warren</t>
  </si>
  <si>
    <t>Washington</t>
  </si>
  <si>
    <t>Wayne</t>
  </si>
  <si>
    <t>Wood</t>
  </si>
  <si>
    <t>Southern Hills JVSD</t>
  </si>
  <si>
    <t>U S Grant JVSD</t>
  </si>
  <si>
    <t>Coshocton</t>
  </si>
  <si>
    <t>Gallia-Jackson-Vinton JVSD</t>
  </si>
  <si>
    <t>Henry</t>
  </si>
  <si>
    <t>Jefferson County JVSD</t>
  </si>
  <si>
    <t>Lawrence County JVSD</t>
  </si>
  <si>
    <t>Ohio Hi-Point JVSD</t>
  </si>
  <si>
    <t>Lorain County JVSD</t>
  </si>
  <si>
    <t>Madison</t>
  </si>
  <si>
    <t>Tri-Rivers JVSD</t>
  </si>
  <si>
    <t>Marion</t>
  </si>
  <si>
    <t>Medina County JVSD</t>
  </si>
  <si>
    <t>Pike</t>
  </si>
  <si>
    <t>Stark County Area JVSD</t>
  </si>
  <si>
    <t>Buckeye JVSD</t>
  </si>
  <si>
    <t>Proceeds From</t>
  </si>
  <si>
    <t>Lease</t>
  </si>
  <si>
    <t>Sale of</t>
  </si>
  <si>
    <t>Inventory</t>
  </si>
  <si>
    <t>in Reserve for</t>
  </si>
  <si>
    <t>Refund of</t>
  </si>
  <si>
    <t>Prior Year's</t>
  </si>
  <si>
    <t xml:space="preserve">Refund of </t>
  </si>
  <si>
    <t xml:space="preserve">Prior Year's </t>
  </si>
  <si>
    <t>Inception</t>
  </si>
  <si>
    <t>of Capital</t>
  </si>
  <si>
    <t>Inception of</t>
  </si>
  <si>
    <t xml:space="preserve"> Other</t>
  </si>
  <si>
    <t>Receipts</t>
  </si>
  <si>
    <t>(Decrease)</t>
  </si>
  <si>
    <t>Increase or</t>
  </si>
  <si>
    <t>Special Items</t>
  </si>
  <si>
    <t>In / (Out)</t>
  </si>
  <si>
    <t>Ashland County-West Holmes JVSD</t>
  </si>
  <si>
    <t>Delaware Area Career Center</t>
  </si>
  <si>
    <t>Cuyahoga Valley Career Center</t>
  </si>
  <si>
    <t>Ehove Career Center</t>
  </si>
  <si>
    <t>Coshocton County Career Center</t>
  </si>
  <si>
    <t>Four County Career Center</t>
  </si>
  <si>
    <t>Knox County Career Center</t>
  </si>
  <si>
    <t>Maplewood Career Center</t>
  </si>
  <si>
    <t>Pike County JVSD</t>
  </si>
  <si>
    <t>Polaris Career Center</t>
  </si>
  <si>
    <t>Portage Lakes Career Center</t>
  </si>
  <si>
    <t>Vanguard-Sentinel Career Center</t>
  </si>
  <si>
    <t>Vantage Career Center</t>
  </si>
  <si>
    <t>Career Centers/Joint Vocational School Districts</t>
  </si>
  <si>
    <t>Educational Service Centers</t>
  </si>
  <si>
    <t>(Continued)</t>
  </si>
  <si>
    <t>All Career Centers/Joint Vocational School Districts and Educantional Service Centers Reporting Under GAAP</t>
  </si>
  <si>
    <t>Governmental Fund Expenditures - Modified Accrual Basis of Accounting</t>
  </si>
  <si>
    <t>All Career Centers/Joint Vocational School Districts and Educational Service Centers Reporting Under GAAP</t>
  </si>
  <si>
    <t>Paulding</t>
  </si>
  <si>
    <t>Guernsey</t>
  </si>
  <si>
    <t>Allen</t>
  </si>
  <si>
    <t>Auglaize</t>
  </si>
  <si>
    <t>Southern Ohio Educ Srv Ctr</t>
  </si>
  <si>
    <t>South Central Ohio Educ Srv Ctr</t>
  </si>
  <si>
    <t>Washington County Career Center</t>
  </si>
  <si>
    <t>North Central Ohio Educ Srv Ctr</t>
  </si>
  <si>
    <t xml:space="preserve">Expenses from the Statement of Activities - Governmental Activities </t>
  </si>
  <si>
    <t>Total Program</t>
  </si>
  <si>
    <t xml:space="preserve">and General </t>
  </si>
  <si>
    <t>Revenues, Other</t>
  </si>
  <si>
    <t>Financing Sources</t>
  </si>
  <si>
    <t>Central Ohio JVSD- now Tolles Career &amp; Technical Center since 2005</t>
  </si>
  <si>
    <t>Tolles Career and Technical Center</t>
  </si>
  <si>
    <t>Career and Technology Education Centers of Licking County</t>
  </si>
  <si>
    <t>Erie-Huron-Ottawa Educ Srv Ctr-now North Point ESC</t>
  </si>
  <si>
    <t>Mid-Ohio Educ Srv Ctr  (CASH)</t>
  </si>
  <si>
    <t>Clinton Fayette Highland Educ-now Southern Ohio ESC</t>
  </si>
  <si>
    <t>District</t>
  </si>
  <si>
    <t>Non-Instructional Services</t>
  </si>
  <si>
    <t>Nonspendable</t>
  </si>
  <si>
    <t>Committed</t>
  </si>
  <si>
    <t>Assigned</t>
  </si>
  <si>
    <t>Unassigned</t>
  </si>
  <si>
    <t>Apollo Career Center</t>
  </si>
  <si>
    <t>Licking Co Career &amp; Tech Center</t>
  </si>
  <si>
    <t>Tri County Career Center</t>
  </si>
  <si>
    <t>Brown County Educ Srv Ctr</t>
  </si>
  <si>
    <t>Butler County Educ Srv Ctr</t>
  </si>
  <si>
    <t>Clark County Educ Srv Ctr</t>
  </si>
  <si>
    <t>Auburn VSD</t>
  </si>
  <si>
    <t>Belmont-Harrison VSD</t>
  </si>
  <si>
    <t>Greene County Educ Srv Ctr</t>
  </si>
  <si>
    <t>Hamilton County Educ Srv Ctr</t>
  </si>
  <si>
    <t>Hancock County Educ Srv Ctr</t>
  </si>
  <si>
    <t>Jefferson County Educ Srv Ctr</t>
  </si>
  <si>
    <t>Knox County Educ Srv Ctr</t>
  </si>
  <si>
    <t>Lake County Educ Srv Ctr</t>
  </si>
  <si>
    <t>Lawrence County Educ Srv Ctr</t>
  </si>
  <si>
    <t>Logan County Educ Srv Ctr</t>
  </si>
  <si>
    <t>North Point Educ Srv Ctr</t>
  </si>
  <si>
    <t>Sandusky Educ Srv Ctr - merged with two other ESC</t>
  </si>
  <si>
    <t>Tuscarawas-Carroll-Harrison Educ Srv Ctr - now East Ctl OH ESC</t>
  </si>
  <si>
    <t>Washington Educ Srv Ctr - merged with Ohio Valley ESC</t>
  </si>
  <si>
    <t>East Central Ohio Educ Srv Ctr</t>
  </si>
  <si>
    <t>Columbiana County Educ Srv Ctr</t>
  </si>
  <si>
    <t>Delaware-Union Educ Srv Ctr - see note to right</t>
  </si>
  <si>
    <t>Cuyahoga Educ Srv Ctr-now Educ Srv Ctr of Cuyahoga County</t>
  </si>
  <si>
    <t>Within 1 Yr</t>
  </si>
  <si>
    <t>Ohio Valley Educ Srv Ctr</t>
  </si>
  <si>
    <t>Darke County Educ Srv Ctr (CASH)</t>
  </si>
  <si>
    <t xml:space="preserve"> In some instances, numbers were rounded on the financial statements.</t>
  </si>
  <si>
    <t>In some instances, numbers were rounded on the financial statements.</t>
  </si>
  <si>
    <t>Educational Service Center of Central Ohio</t>
  </si>
  <si>
    <t>Geauga County Educ Srv Ctr</t>
  </si>
  <si>
    <t>Fairfield County Educ Srv Ctr</t>
  </si>
  <si>
    <t>Greene County VSD</t>
  </si>
  <si>
    <t>Madison-Champaign Educ Srv Ctr (CASH)</t>
  </si>
  <si>
    <t>Mahoning County Educ Srv Ctr</t>
  </si>
  <si>
    <t>Mercer County Educ Srv Ctr (CASH)</t>
  </si>
  <si>
    <t>Miami County Educ Srv Ctr</t>
  </si>
  <si>
    <t>Montgomery County Educ Srv Ctr</t>
  </si>
  <si>
    <t>Fulton</t>
  </si>
  <si>
    <t>Penta Career Center</t>
  </si>
  <si>
    <t>Portage County Educ Srv Ctr</t>
  </si>
  <si>
    <t>Preble County Educ Srv Ctr (CASH)</t>
  </si>
  <si>
    <t>Putnam County Educ Srv Ctr</t>
  </si>
  <si>
    <t>Ross-Pike Educ Srv District</t>
  </si>
  <si>
    <t>Allen County Educ Srv Ctr (CASH)</t>
  </si>
  <si>
    <t>Ashtabula County Educ Srv Ctr (CASH)</t>
  </si>
  <si>
    <t>Auglaize County Educ Srv Ctr (CASH)</t>
  </si>
  <si>
    <t xml:space="preserve">Stark County Educ Srv Ctr  </t>
  </si>
  <si>
    <t>Summit County Educ Srv Ctr</t>
  </si>
  <si>
    <t>Pickaway County Educ Srv Ctr</t>
  </si>
  <si>
    <t>Trumbull County Educ Srv Ctr</t>
  </si>
  <si>
    <t>Wood County Educ Srv Ctr</t>
  </si>
  <si>
    <t>Warren County Educ Srv Ctr (CASH)</t>
  </si>
  <si>
    <t>Fund Balances</t>
  </si>
  <si>
    <t>General Revenues - Governmental Activities</t>
  </si>
  <si>
    <t>(continued)</t>
  </si>
  <si>
    <t>Support Services (continued)</t>
  </si>
  <si>
    <t>Other Financing Sources (continued)</t>
  </si>
  <si>
    <t>Pupils</t>
  </si>
  <si>
    <t>Regular</t>
  </si>
  <si>
    <t>Retirement</t>
  </si>
  <si>
    <t>Extraordinary /</t>
  </si>
  <si>
    <t>Continuing</t>
  </si>
  <si>
    <t>Adult /</t>
  </si>
  <si>
    <t>and Extraordinary /</t>
  </si>
  <si>
    <t>Ashtabula County Technical and Career Center</t>
  </si>
  <si>
    <t>Hardin County Educ Srv Ctr (CASH)</t>
  </si>
  <si>
    <t>Lucas County Educ Srv Ctr-now Educ Srv Ctr of Lake Erie West</t>
  </si>
  <si>
    <t>Lorain County Educ Srv Ctr-now Educ Svr Ctr of Lorain County</t>
  </si>
  <si>
    <t>Wayne County Schools Career Center</t>
  </si>
  <si>
    <t>Tri-County Educ Srv Ctr (CASH)</t>
  </si>
  <si>
    <t>Upper Valley Career Center</t>
  </si>
  <si>
    <t>Perry-Hocking Educ Srv Ctr -  merged with Muskingum Valley ESC</t>
  </si>
  <si>
    <t>Columbiana County Career and Technical Center</t>
  </si>
  <si>
    <t>Butler Technology and Career Development Schools</t>
  </si>
  <si>
    <t>Eastland-Fairfield Career and Technical Schools</t>
  </si>
  <si>
    <t>Great Oaks Inst of Technology and Career Development</t>
  </si>
  <si>
    <t>Mahoning Co Career and Technical Center</t>
  </si>
  <si>
    <t>Miami Valley Career Technology Center</t>
  </si>
  <si>
    <t>Mid-East Career and Technology Center</t>
  </si>
  <si>
    <t>Pickaway-Ross Career and Technology Center</t>
  </si>
  <si>
    <t>Pioneer Career and Technology Center</t>
  </si>
  <si>
    <t>Springfield-Clark Co Career Technology Center</t>
  </si>
  <si>
    <t>Trumbull Career and Technical Center</t>
  </si>
  <si>
    <t>As of June 30, 2013</t>
  </si>
  <si>
    <t>Assets and Deferred Outflows of Resources</t>
  </si>
  <si>
    <t>Outflows of</t>
  </si>
  <si>
    <t>Resources</t>
  </si>
  <si>
    <t>Total Assets and</t>
  </si>
  <si>
    <t>Deferred Outflows</t>
  </si>
  <si>
    <t>of Resources</t>
  </si>
  <si>
    <t>Liabilities and Deferred Inflows of Resources</t>
  </si>
  <si>
    <t>Summary Data from the Statement of Net Position - Governmental Activities</t>
  </si>
  <si>
    <t>Net Position</t>
  </si>
  <si>
    <t>Inflows of</t>
  </si>
  <si>
    <t>Deferred Inflows</t>
  </si>
  <si>
    <t>Total Liabilities and</t>
  </si>
  <si>
    <t>For the Fiscal Year Ended June 30, 2013</t>
  </si>
  <si>
    <t xml:space="preserve">Outflows of </t>
  </si>
  <si>
    <t xml:space="preserve">Inflows of </t>
  </si>
  <si>
    <t>Scioto County Career Technical Center</t>
  </si>
  <si>
    <t>Shelby County Educ Srv Ctr (CASH)</t>
  </si>
  <si>
    <t>Warren County Career Center</t>
  </si>
  <si>
    <t>Licking County Educ Srv Ctr (CASH)</t>
  </si>
  <si>
    <t xml:space="preserve">and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</si>
</sst>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_);\(0\)"/>
  </numFmts>
  <fonts count="8"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u/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7.5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</borders>
  <cellStyleXfs count="2">
    <xf numFmtId="0" fontId="0" fillId="0" borderId="0"/>
    <xf numFmtId="3" fontId="5" fillId="0" borderId="0" applyFont="0" applyFill="0" applyBorder="0" applyAlignment="0" applyProtection="0"/>
  </cellStyleXfs>
  <cellXfs count="122">
    <xf numFmtId="0" fontId="0" fillId="0" borderId="0" xfId="0"/>
    <xf numFmtId="37" fontId="2" fillId="0" borderId="0" xfId="0" applyNumberFormat="1" applyFont="1" applyFill="1" applyBorder="1"/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/>
    <xf numFmtId="37" fontId="1" fillId="0" borderId="0" xfId="0" applyNumberFormat="1" applyFont="1" applyFill="1" applyBorder="1" applyAlignment="1"/>
    <xf numFmtId="37" fontId="2" fillId="0" borderId="0" xfId="0" applyNumberFormat="1" applyFont="1" applyFill="1" applyBorder="1" applyAlignment="1"/>
    <xf numFmtId="37" fontId="1" fillId="0" borderId="0" xfId="0" applyNumberFormat="1" applyFont="1" applyFill="1" applyAlignment="1">
      <alignment horizontal="left"/>
    </xf>
    <xf numFmtId="37" fontId="1" fillId="0" borderId="0" xfId="0" applyNumberFormat="1" applyFont="1" applyFill="1"/>
    <xf numFmtId="37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7" fontId="2" fillId="0" borderId="2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37" fontId="4" fillId="0" borderId="0" xfId="0" applyNumberFormat="1" applyFont="1" applyFill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7" fontId="2" fillId="0" borderId="0" xfId="0" applyNumberFormat="1" applyFont="1" applyFill="1" applyAlignment="1">
      <alignment horizontal="right"/>
    </xf>
    <xf numFmtId="0" fontId="0" fillId="0" borderId="0" xfId="0" applyFill="1"/>
    <xf numFmtId="0" fontId="1" fillId="0" borderId="0" xfId="0" applyFont="1" applyFill="1"/>
    <xf numFmtId="5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2" fillId="0" borderId="0" xfId="1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 horizontal="right" wrapText="1"/>
    </xf>
    <xf numFmtId="0" fontId="2" fillId="0" borderId="0" xfId="0" applyFont="1" applyFill="1" applyBorder="1"/>
    <xf numFmtId="37" fontId="2" fillId="0" borderId="1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/>
    <xf numFmtId="0" fontId="6" fillId="0" borderId="0" xfId="0" applyFont="1" applyFill="1"/>
    <xf numFmtId="0" fontId="6" fillId="0" borderId="0" xfId="0" applyFont="1" applyFill="1" applyBorder="1"/>
    <xf numFmtId="37" fontId="7" fillId="0" borderId="0" xfId="0" applyNumberFormat="1" applyFont="1" applyFill="1" applyAlignment="1"/>
    <xf numFmtId="37" fontId="6" fillId="0" borderId="0" xfId="0" applyNumberFormat="1" applyFont="1" applyFill="1"/>
    <xf numFmtId="37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37" fontId="2" fillId="0" borderId="0" xfId="0" applyNumberFormat="1" applyFont="1" applyFill="1" applyBorder="1" applyAlignment="1">
      <alignment horizontal="left"/>
    </xf>
    <xf numFmtId="37" fontId="1" fillId="0" borderId="0" xfId="0" applyNumberFormat="1" applyFont="1" applyFill="1" applyBorder="1"/>
    <xf numFmtId="37" fontId="2" fillId="0" borderId="1" xfId="0" applyNumberFormat="1" applyFont="1" applyFill="1" applyBorder="1" applyAlignment="1">
      <alignment horizontal="centerContinuous"/>
    </xf>
    <xf numFmtId="37" fontId="1" fillId="0" borderId="1" xfId="0" applyNumberFormat="1" applyFont="1" applyFill="1" applyBorder="1" applyAlignment="1">
      <alignment horizontal="centerContinuous"/>
    </xf>
    <xf numFmtId="37" fontId="2" fillId="0" borderId="0" xfId="0" applyNumberFormat="1" applyFont="1" applyFill="1" applyAlignment="1">
      <alignment horizontal="left"/>
    </xf>
    <xf numFmtId="37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>
      <alignment horizontal="centerContinuous"/>
    </xf>
    <xf numFmtId="37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7" fontId="2" fillId="0" borderId="0" xfId="0" applyNumberFormat="1" applyFont="1" applyFill="1" applyAlignment="1">
      <alignment horizontal="centerContinuous"/>
    </xf>
    <xf numFmtId="164" fontId="2" fillId="0" borderId="1" xfId="0" applyNumberFormat="1" applyFont="1" applyFill="1" applyBorder="1" applyAlignment="1">
      <alignment horizontal="center"/>
    </xf>
    <xf numFmtId="37" fontId="2" fillId="0" borderId="1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7" fontId="2" fillId="0" borderId="1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 horizontal="left"/>
    </xf>
    <xf numFmtId="37" fontId="2" fillId="2" borderId="0" xfId="0" applyNumberFormat="1" applyFont="1" applyFill="1"/>
    <xf numFmtId="0" fontId="2" fillId="2" borderId="0" xfId="0" applyFont="1" applyFill="1"/>
    <xf numFmtId="37" fontId="2" fillId="2" borderId="0" xfId="0" applyNumberFormat="1" applyFont="1" applyFill="1" applyAlignment="1">
      <alignment horizontal="right"/>
    </xf>
    <xf numFmtId="5" fontId="2" fillId="2" borderId="0" xfId="0" applyNumberFormat="1" applyFont="1" applyFill="1"/>
    <xf numFmtId="37" fontId="2" fillId="2" borderId="0" xfId="0" applyNumberFormat="1" applyFont="1" applyFill="1" applyAlignment="1">
      <alignment horizontal="right" wrapText="1"/>
    </xf>
    <xf numFmtId="37" fontId="2" fillId="2" borderId="0" xfId="0" applyNumberFormat="1" applyFont="1" applyFill="1" applyBorder="1" applyAlignment="1">
      <alignment horizontal="right"/>
    </xf>
    <xf numFmtId="5" fontId="2" fillId="2" borderId="0" xfId="0" applyNumberFormat="1" applyFont="1" applyFill="1" applyBorder="1" applyAlignment="1">
      <alignment horizontal="right"/>
    </xf>
    <xf numFmtId="0" fontId="6" fillId="2" borderId="0" xfId="0" applyFont="1" applyFill="1"/>
    <xf numFmtId="37" fontId="2" fillId="2" borderId="0" xfId="1" applyNumberFormat="1" applyFont="1" applyFill="1" applyBorder="1" applyAlignment="1">
      <alignment horizontal="right"/>
    </xf>
    <xf numFmtId="37" fontId="6" fillId="2" borderId="0" xfId="0" applyNumberFormat="1" applyFont="1" applyFill="1"/>
    <xf numFmtId="37" fontId="2" fillId="2" borderId="0" xfId="0" applyNumberFormat="1" applyFont="1" applyFill="1" applyBorder="1"/>
    <xf numFmtId="164" fontId="2" fillId="2" borderId="0" xfId="0" applyNumberFormat="1" applyFont="1" applyFill="1"/>
    <xf numFmtId="0" fontId="7" fillId="0" borderId="0" xfId="0" applyFont="1" applyFill="1" applyAlignment="1"/>
    <xf numFmtId="5" fontId="2" fillId="0" borderId="0" xfId="0" applyNumberFormat="1" applyFont="1" applyFill="1" applyAlignment="1"/>
    <xf numFmtId="37" fontId="2" fillId="3" borderId="0" xfId="0" applyNumberFormat="1" applyFont="1" applyFill="1" applyAlignment="1"/>
    <xf numFmtId="37" fontId="2" fillId="2" borderId="0" xfId="0" applyNumberFormat="1" applyFont="1" applyFill="1" applyAlignment="1"/>
    <xf numFmtId="0" fontId="2" fillId="0" borderId="0" xfId="0" applyFont="1" applyFill="1" applyAlignment="1"/>
    <xf numFmtId="0" fontId="2" fillId="2" borderId="0" xfId="0" applyNumberFormat="1" applyFont="1" applyFill="1"/>
    <xf numFmtId="5" fontId="2" fillId="2" borderId="0" xfId="0" applyNumberFormat="1" applyFont="1" applyFill="1" applyAlignment="1">
      <alignment horizontal="right"/>
    </xf>
    <xf numFmtId="37" fontId="2" fillId="0" borderId="1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 horizontal="left"/>
    </xf>
    <xf numFmtId="37" fontId="2" fillId="0" borderId="1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Continuous"/>
    </xf>
    <xf numFmtId="37" fontId="2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left"/>
    </xf>
    <xf numFmtId="37" fontId="1" fillId="0" borderId="0" xfId="1" applyNumberFormat="1" applyFont="1" applyFill="1" applyBorder="1" applyAlignment="1">
      <alignment horizontal="left"/>
    </xf>
    <xf numFmtId="37" fontId="2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7" fontId="2" fillId="4" borderId="0" xfId="0" applyNumberFormat="1" applyFont="1" applyFill="1"/>
    <xf numFmtId="37" fontId="2" fillId="5" borderId="0" xfId="0" applyNumberFormat="1" applyFont="1" applyFill="1"/>
    <xf numFmtId="0" fontId="2" fillId="5" borderId="0" xfId="0" applyFont="1" applyFill="1"/>
    <xf numFmtId="37" fontId="2" fillId="5" borderId="0" xfId="0" applyNumberFormat="1" applyFont="1" applyFill="1" applyAlignment="1">
      <alignment horizontal="right"/>
    </xf>
    <xf numFmtId="164" fontId="2" fillId="5" borderId="0" xfId="0" applyNumberFormat="1" applyFont="1" applyFill="1"/>
    <xf numFmtId="0" fontId="6" fillId="5" borderId="0" xfId="0" applyFont="1" applyFill="1"/>
    <xf numFmtId="37" fontId="2" fillId="5" borderId="0" xfId="0" applyNumberFormat="1" applyFont="1" applyFill="1" applyBorder="1"/>
    <xf numFmtId="37" fontId="6" fillId="5" borderId="0" xfId="0" applyNumberFormat="1" applyFont="1" applyFill="1"/>
    <xf numFmtId="37" fontId="2" fillId="5" borderId="0" xfId="0" applyNumberFormat="1" applyFont="1" applyFill="1" applyBorder="1" applyAlignment="1">
      <alignment horizontal="right"/>
    </xf>
    <xf numFmtId="37" fontId="2" fillId="5" borderId="0" xfId="1" applyNumberFormat="1" applyFont="1" applyFill="1" applyBorder="1" applyAlignment="1">
      <alignment horizontal="right"/>
    </xf>
    <xf numFmtId="37" fontId="2" fillId="5" borderId="0" xfId="0" applyNumberFormat="1" applyFont="1" applyFill="1" applyAlignment="1">
      <alignment horizontal="right" wrapText="1"/>
    </xf>
    <xf numFmtId="37" fontId="2" fillId="0" borderId="1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left"/>
    </xf>
    <xf numFmtId="37" fontId="2" fillId="0" borderId="1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0" fontId="6" fillId="0" borderId="0" xfId="0" applyFont="1" applyFill="1"/>
    <xf numFmtId="0" fontId="2" fillId="0" borderId="0" xfId="0" applyFont="1" applyFill="1"/>
    <xf numFmtId="37" fontId="2" fillId="0" borderId="1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5" fontId="2" fillId="0" borderId="0" xfId="0" applyNumberFormat="1" applyFont="1" applyFill="1" applyBorder="1"/>
    <xf numFmtId="5" fontId="6" fillId="0" borderId="0" xfId="0" applyNumberFormat="1" applyFont="1" applyFill="1"/>
    <xf numFmtId="37" fontId="6" fillId="0" borderId="0" xfId="0" applyNumberFormat="1" applyFont="1" applyFill="1" applyBorder="1"/>
    <xf numFmtId="3" fontId="6" fillId="0" borderId="0" xfId="0" applyNumberFormat="1" applyFont="1" applyFill="1"/>
    <xf numFmtId="5" fontId="2" fillId="0" borderId="0" xfId="0" applyNumberFormat="1" applyFont="1" applyFill="1" applyBorder="1" applyAlignment="1">
      <alignment horizontal="right"/>
    </xf>
    <xf numFmtId="5" fontId="2" fillId="0" borderId="0" xfId="1" applyNumberFormat="1" applyFont="1" applyFill="1" applyBorder="1" applyAlignment="1">
      <alignment horizontal="right"/>
    </xf>
    <xf numFmtId="0" fontId="2" fillId="0" borderId="0" xfId="0" applyNumberFormat="1" applyFont="1" applyFill="1"/>
    <xf numFmtId="5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5" fontId="2" fillId="0" borderId="0" xfId="0" applyNumberFormat="1" applyFont="1" applyFill="1" applyAlignment="1">
      <alignment horizontal="right" wrapText="1"/>
    </xf>
    <xf numFmtId="37" fontId="2" fillId="0" borderId="0" xfId="0" applyNumberFormat="1" applyFont="1" applyFill="1" applyAlignment="1">
      <alignment horizontal="center"/>
    </xf>
    <xf numFmtId="37" fontId="2" fillId="0" borderId="1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 horizontal="left"/>
    </xf>
  </cellXfs>
  <cellStyles count="2">
    <cellStyle name="Comma0" xfId="1"/>
    <cellStyle name="Normal" xfId="0" builtinId="0"/>
  </cellStyles>
  <dxfs count="0"/>
  <tableStyles count="0" defaultTableStyle="TableStyleMedium9" defaultPivotStyle="PivotStyleLight16"/>
  <colors>
    <mruColors>
      <color rgb="FF00FFFF"/>
      <color rgb="FFFF66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1"/>
  <sheetViews>
    <sheetView tabSelected="1"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G12" sqref="G12"/>
    </sheetView>
  </sheetViews>
  <sheetFormatPr defaultColWidth="9.140625" defaultRowHeight="12"/>
  <cols>
    <col min="1" max="1" width="45.7109375" style="3" customWidth="1"/>
    <col min="2" max="2" width="1.7109375" style="3" customWidth="1"/>
    <col min="3" max="3" width="10" style="3" customWidth="1"/>
    <col min="4" max="4" width="1.7109375" style="3" hidden="1" customWidth="1"/>
    <col min="5" max="5" width="6.7109375" style="12" hidden="1" customWidth="1"/>
    <col min="6" max="6" width="1.7109375" style="3" customWidth="1"/>
    <col min="7" max="7" width="11.7109375" style="3" customWidth="1"/>
    <col min="8" max="8" width="1.7109375" style="3" customWidth="1"/>
    <col min="9" max="9" width="11.7109375" style="3" customWidth="1"/>
    <col min="10" max="10" width="1.7109375" style="3" customWidth="1"/>
    <col min="11" max="11" width="11.7109375" style="3" customWidth="1"/>
    <col min="12" max="12" width="1.7109375" style="3" customWidth="1"/>
    <col min="13" max="13" width="14.140625" style="3" bestFit="1" customWidth="1"/>
    <col min="14" max="14" width="1.7109375" style="3" customWidth="1"/>
    <col min="15" max="15" width="11.7109375" style="3" customWidth="1"/>
    <col min="16" max="16" width="1.7109375" style="3" customWidth="1"/>
    <col min="17" max="17" width="11.7109375" style="3" customWidth="1"/>
    <col min="18" max="18" width="1.7109375" style="3" customWidth="1"/>
    <col min="19" max="19" width="11.7109375" style="3" customWidth="1"/>
    <col min="20" max="20" width="1.7109375" style="3" customWidth="1"/>
    <col min="21" max="21" width="11.7109375" style="3" customWidth="1"/>
    <col min="22" max="22" width="1.7109375" style="3" customWidth="1"/>
    <col min="23" max="23" width="14.42578125" style="3" bestFit="1" customWidth="1"/>
    <col min="24" max="24" width="1.7109375" style="3" customWidth="1"/>
    <col min="25" max="25" width="11.7109375" style="3" customWidth="1"/>
    <col min="26" max="26" width="1.7109375" style="3" customWidth="1"/>
    <col min="27" max="27" width="11.7109375" style="3" customWidth="1"/>
    <col min="28" max="28" width="1.7109375" style="3" customWidth="1"/>
    <col min="29" max="29" width="11.7109375" style="3" customWidth="1"/>
    <col min="30" max="30" width="1.7109375" style="3" customWidth="1"/>
    <col min="31" max="31" width="11.7109375" style="3" customWidth="1"/>
    <col min="32" max="32" width="1.7109375" style="3" customWidth="1"/>
    <col min="33" max="33" width="11.7109375" style="3" customWidth="1"/>
    <col min="34" max="34" width="1.7109375" style="3" customWidth="1"/>
    <col min="35" max="35" width="11.7109375" style="3" customWidth="1"/>
    <col min="36" max="36" width="5.28515625" style="3" customWidth="1"/>
    <col min="37" max="16384" width="9.140625" style="3"/>
  </cols>
  <sheetData>
    <row r="1" spans="1:36">
      <c r="A1" s="120" t="s">
        <v>375</v>
      </c>
      <c r="B1" s="120"/>
      <c r="C1" s="120"/>
      <c r="D1" s="120"/>
      <c r="E1" s="120"/>
      <c r="F1" s="120"/>
      <c r="G1" s="120"/>
      <c r="H1" s="120"/>
      <c r="I1" s="120"/>
      <c r="J1" s="99"/>
      <c r="K1" s="99"/>
    </row>
    <row r="2" spans="1:36">
      <c r="A2" s="7" t="s">
        <v>367</v>
      </c>
    </row>
    <row r="3" spans="1:36">
      <c r="A3" s="7"/>
      <c r="AG3" s="16"/>
    </row>
    <row r="4" spans="1:36">
      <c r="A4" s="7" t="s">
        <v>257</v>
      </c>
    </row>
    <row r="5" spans="1:36">
      <c r="A5" s="7"/>
    </row>
    <row r="7" spans="1:36">
      <c r="A7" s="29" t="s">
        <v>311</v>
      </c>
    </row>
    <row r="8" spans="1:36">
      <c r="F8" s="1"/>
      <c r="G8" s="119" t="s">
        <v>368</v>
      </c>
      <c r="H8" s="119"/>
      <c r="I8" s="119"/>
      <c r="J8" s="119"/>
      <c r="K8" s="119"/>
      <c r="L8" s="5"/>
      <c r="M8" s="42"/>
      <c r="O8" s="119" t="s">
        <v>374</v>
      </c>
      <c r="P8" s="119"/>
      <c r="Q8" s="119"/>
      <c r="R8" s="119"/>
      <c r="S8" s="119"/>
      <c r="T8" s="119"/>
      <c r="U8" s="119"/>
      <c r="V8" s="42"/>
      <c r="W8" s="42"/>
      <c r="Y8" s="119" t="s">
        <v>376</v>
      </c>
      <c r="Z8" s="119"/>
      <c r="AA8" s="119"/>
      <c r="AB8" s="119"/>
      <c r="AC8" s="119"/>
      <c r="AD8" s="42"/>
      <c r="AE8" s="42"/>
    </row>
    <row r="9" spans="1:36">
      <c r="F9" s="1"/>
      <c r="G9" s="2"/>
      <c r="H9" s="2"/>
      <c r="I9" s="2"/>
      <c r="J9" s="2"/>
      <c r="K9" s="2" t="s">
        <v>5</v>
      </c>
      <c r="L9" s="2"/>
      <c r="M9" s="42" t="s">
        <v>371</v>
      </c>
      <c r="O9" s="2"/>
      <c r="P9" s="2"/>
      <c r="Q9" s="2"/>
      <c r="R9" s="2"/>
      <c r="S9" s="2"/>
      <c r="T9" s="2"/>
      <c r="U9" s="2" t="s">
        <v>5</v>
      </c>
      <c r="V9" s="42"/>
      <c r="W9" s="42" t="s">
        <v>379</v>
      </c>
      <c r="Y9" s="2"/>
      <c r="Z9" s="2"/>
      <c r="AA9" s="2"/>
      <c r="AB9" s="2"/>
      <c r="AC9" s="2"/>
      <c r="AD9" s="42"/>
      <c r="AE9" s="42"/>
      <c r="AG9" s="3" t="s">
        <v>2</v>
      </c>
      <c r="AI9" s="3" t="s">
        <v>2</v>
      </c>
    </row>
    <row r="10" spans="1:36">
      <c r="A10" s="20"/>
      <c r="F10" s="1"/>
      <c r="G10" s="11" t="s">
        <v>3</v>
      </c>
      <c r="H10" s="11"/>
      <c r="I10" s="11" t="s">
        <v>4</v>
      </c>
      <c r="J10" s="11"/>
      <c r="K10" s="11" t="s">
        <v>369</v>
      </c>
      <c r="L10" s="11"/>
      <c r="M10" s="2" t="s">
        <v>372</v>
      </c>
      <c r="O10" s="11" t="s">
        <v>3</v>
      </c>
      <c r="P10" s="11"/>
      <c r="Q10" s="118" t="s">
        <v>7</v>
      </c>
      <c r="R10" s="118"/>
      <c r="S10" s="118"/>
      <c r="T10" s="50"/>
      <c r="U10" s="50" t="s">
        <v>377</v>
      </c>
      <c r="V10" s="2"/>
      <c r="W10" s="2" t="s">
        <v>378</v>
      </c>
      <c r="Y10" s="2" t="s">
        <v>8</v>
      </c>
      <c r="Z10" s="2"/>
      <c r="AA10" s="2"/>
      <c r="AB10" s="2"/>
      <c r="AC10" s="2"/>
      <c r="AD10" s="2"/>
      <c r="AE10" s="2" t="s">
        <v>6</v>
      </c>
      <c r="AG10" s="3" t="s">
        <v>9</v>
      </c>
      <c r="AI10" s="3" t="s">
        <v>9</v>
      </c>
    </row>
    <row r="11" spans="1:36">
      <c r="A11" s="77" t="s">
        <v>277</v>
      </c>
      <c r="B11" s="11"/>
      <c r="C11" s="77" t="s">
        <v>10</v>
      </c>
      <c r="D11" s="11"/>
      <c r="E11" s="51" t="s">
        <v>11</v>
      </c>
      <c r="G11" s="77" t="s">
        <v>1</v>
      </c>
      <c r="H11" s="2"/>
      <c r="I11" s="77" t="s">
        <v>1</v>
      </c>
      <c r="J11" s="2"/>
      <c r="K11" s="104" t="s">
        <v>370</v>
      </c>
      <c r="L11" s="2"/>
      <c r="M11" s="77" t="s">
        <v>373</v>
      </c>
      <c r="N11" s="1"/>
      <c r="O11" s="77" t="s">
        <v>13</v>
      </c>
      <c r="P11" s="2"/>
      <c r="Q11" s="77" t="s">
        <v>307</v>
      </c>
      <c r="R11" s="2"/>
      <c r="S11" s="77" t="s">
        <v>14</v>
      </c>
      <c r="T11" s="2"/>
      <c r="U11" s="104" t="s">
        <v>370</v>
      </c>
      <c r="V11" s="2"/>
      <c r="W11" s="77" t="s">
        <v>373</v>
      </c>
      <c r="X11" s="1"/>
      <c r="Y11" s="77" t="s">
        <v>15</v>
      </c>
      <c r="Z11" s="2"/>
      <c r="AA11" s="77" t="s">
        <v>16</v>
      </c>
      <c r="AB11" s="2"/>
      <c r="AC11" s="77" t="s">
        <v>17</v>
      </c>
      <c r="AD11" s="2"/>
      <c r="AE11" s="77" t="s">
        <v>376</v>
      </c>
      <c r="AG11" s="52" t="s">
        <v>18</v>
      </c>
      <c r="AI11" s="52" t="s">
        <v>18</v>
      </c>
      <c r="AJ11" s="1"/>
    </row>
    <row r="12" spans="1:36">
      <c r="A12" s="2"/>
      <c r="B12" s="11"/>
      <c r="C12" s="2"/>
      <c r="D12" s="11"/>
      <c r="E12" s="53"/>
      <c r="G12" s="2"/>
      <c r="H12" s="2"/>
      <c r="I12" s="2"/>
      <c r="J12" s="2"/>
      <c r="K12" s="2"/>
      <c r="L12" s="2"/>
      <c r="M12" s="2"/>
      <c r="N12" s="1"/>
      <c r="O12" s="2"/>
      <c r="P12" s="2"/>
      <c r="Q12" s="2"/>
      <c r="R12" s="2"/>
      <c r="S12" s="2"/>
      <c r="T12" s="2"/>
      <c r="U12" s="2"/>
      <c r="V12" s="2"/>
      <c r="W12" s="2"/>
      <c r="X12" s="1"/>
      <c r="Y12" s="2"/>
      <c r="Z12" s="2"/>
      <c r="AA12" s="2"/>
      <c r="AB12" s="2"/>
      <c r="AC12" s="2"/>
      <c r="AD12" s="2"/>
      <c r="AE12" s="2"/>
      <c r="AG12" s="1"/>
      <c r="AI12" s="1"/>
      <c r="AJ12" s="1"/>
    </row>
    <row r="13" spans="1:36" ht="11.45" customHeight="1">
      <c r="A13" s="13" t="s">
        <v>252</v>
      </c>
      <c r="G13" s="2"/>
      <c r="H13" s="2"/>
      <c r="I13" s="2"/>
      <c r="J13" s="2"/>
      <c r="K13" s="2"/>
      <c r="L13" s="2"/>
      <c r="M13" s="2"/>
      <c r="N13" s="1"/>
      <c r="O13" s="2"/>
      <c r="P13" s="2"/>
      <c r="Q13" s="2"/>
      <c r="R13" s="2"/>
      <c r="S13" s="2"/>
      <c r="T13" s="2"/>
      <c r="U13" s="2"/>
      <c r="V13" s="2"/>
      <c r="W13" s="2"/>
      <c r="X13" s="1"/>
      <c r="Y13" s="2"/>
      <c r="Z13" s="2"/>
      <c r="AA13" s="2"/>
      <c r="AB13" s="2"/>
      <c r="AC13" s="2"/>
      <c r="AD13" s="2"/>
      <c r="AE13" s="2"/>
    </row>
    <row r="14" spans="1:36" ht="11.45" customHeight="1">
      <c r="A14" s="13"/>
      <c r="G14" s="2"/>
      <c r="H14" s="2"/>
      <c r="I14" s="2"/>
      <c r="J14" s="2"/>
      <c r="K14" s="2"/>
      <c r="L14" s="2"/>
      <c r="M14" s="2"/>
      <c r="N14" s="1"/>
      <c r="O14" s="2"/>
      <c r="P14" s="2"/>
      <c r="Q14" s="2"/>
      <c r="R14" s="2"/>
      <c r="S14" s="2"/>
      <c r="T14" s="2"/>
      <c r="U14" s="2"/>
      <c r="V14" s="2"/>
      <c r="W14" s="2"/>
      <c r="X14" s="1"/>
      <c r="Y14" s="2"/>
      <c r="Z14" s="2"/>
      <c r="AA14" s="2"/>
      <c r="AB14" s="2"/>
      <c r="AC14" s="2"/>
      <c r="AD14" s="2"/>
      <c r="AE14" s="2"/>
    </row>
    <row r="15" spans="1:36">
      <c r="A15" s="3" t="s">
        <v>283</v>
      </c>
      <c r="C15" s="3" t="s">
        <v>260</v>
      </c>
      <c r="E15" s="103">
        <v>50773</v>
      </c>
      <c r="G15" s="19">
        <f>+M15-I15-K15</f>
        <v>13064613</v>
      </c>
      <c r="H15" s="19"/>
      <c r="I15" s="19">
        <f>320294+4341152</f>
        <v>4661446</v>
      </c>
      <c r="J15" s="19"/>
      <c r="K15" s="19">
        <v>0</v>
      </c>
      <c r="L15" s="19"/>
      <c r="M15" s="19">
        <v>17726059</v>
      </c>
      <c r="N15" s="19"/>
      <c r="O15" s="19">
        <f>+W15-Q15-S15-U15</f>
        <v>1180269</v>
      </c>
      <c r="P15" s="19"/>
      <c r="Q15" s="19">
        <v>221387</v>
      </c>
      <c r="R15" s="19"/>
      <c r="S15" s="19">
        <v>578628</v>
      </c>
      <c r="T15" s="19"/>
      <c r="U15" s="19">
        <v>4450908</v>
      </c>
      <c r="V15" s="19"/>
      <c r="W15" s="19">
        <f>1980284+4450908</f>
        <v>6431192</v>
      </c>
      <c r="X15" s="19"/>
      <c r="Y15" s="19">
        <v>4421447</v>
      </c>
      <c r="Z15" s="19"/>
      <c r="AA15" s="19">
        <f>AE15-AC15-Y15</f>
        <v>1799918</v>
      </c>
      <c r="AB15" s="19"/>
      <c r="AC15" s="19">
        <v>5073502</v>
      </c>
      <c r="AD15" s="19"/>
      <c r="AE15" s="19">
        <v>11294867</v>
      </c>
      <c r="AG15" s="3">
        <f>+M15-W15-AE15</f>
        <v>0</v>
      </c>
      <c r="AI15" s="3">
        <f>+G15+I15+K15-O15-Q15-Y15-AA15-AC15-S15-U15</f>
        <v>0</v>
      </c>
    </row>
    <row r="16" spans="1:36">
      <c r="A16" s="3" t="s">
        <v>239</v>
      </c>
      <c r="C16" s="3" t="s">
        <v>143</v>
      </c>
      <c r="E16" s="12">
        <v>62042</v>
      </c>
      <c r="G16" s="3">
        <f>+M16-I16-K16</f>
        <v>9381192</v>
      </c>
      <c r="I16" s="3">
        <v>4784070</v>
      </c>
      <c r="K16" s="3">
        <v>0</v>
      </c>
      <c r="M16" s="3">
        <v>14165262</v>
      </c>
      <c r="O16" s="3">
        <f>+W16-Q16-S16-U16</f>
        <v>702621</v>
      </c>
      <c r="Q16" s="3">
        <v>166033</v>
      </c>
      <c r="S16" s="3">
        <v>975798</v>
      </c>
      <c r="U16" s="3">
        <v>2196764</v>
      </c>
      <c r="W16" s="3">
        <f>1844452+2196764</f>
        <v>4041216</v>
      </c>
      <c r="Y16" s="3">
        <v>4076266</v>
      </c>
      <c r="AA16" s="3">
        <f>AE16-AC16-Y16</f>
        <v>1249680</v>
      </c>
      <c r="AC16" s="3">
        <v>4798100</v>
      </c>
      <c r="AE16" s="3">
        <v>10124046</v>
      </c>
      <c r="AG16" s="3">
        <f>+M16-W16-AE16</f>
        <v>0</v>
      </c>
      <c r="AI16" s="3">
        <f t="shared" ref="AI16:AI65" si="0">+G16+I16+K16-O16-Q16-Y16-AA16-AC16-S16-U16</f>
        <v>0</v>
      </c>
    </row>
    <row r="17" spans="1:35">
      <c r="A17" s="3" t="s">
        <v>348</v>
      </c>
      <c r="C17" s="3" t="s">
        <v>144</v>
      </c>
      <c r="E17" s="12">
        <v>50815</v>
      </c>
      <c r="G17" s="3">
        <f t="shared" ref="G17:G65" si="1">+M17-I17-K17</f>
        <v>14341372</v>
      </c>
      <c r="I17" s="3">
        <f>153226+4903131</f>
        <v>5056357</v>
      </c>
      <c r="K17" s="3">
        <v>0</v>
      </c>
      <c r="M17" s="3">
        <v>19397729</v>
      </c>
      <c r="O17" s="3">
        <f t="shared" ref="O17:O65" si="2">+W17-Q17-S17-U17</f>
        <v>1485076</v>
      </c>
      <c r="Q17" s="3">
        <v>244066</v>
      </c>
      <c r="S17" s="3">
        <v>461412</v>
      </c>
      <c r="U17" s="3">
        <v>2940457</v>
      </c>
      <c r="W17" s="3">
        <f>2190554+2940457</f>
        <v>5131011</v>
      </c>
      <c r="Y17" s="3">
        <v>5056357</v>
      </c>
      <c r="AA17" s="3">
        <f>AE17-AC17-Y17</f>
        <v>3767440</v>
      </c>
      <c r="AC17" s="3">
        <v>5442921</v>
      </c>
      <c r="AE17" s="3">
        <v>14266718</v>
      </c>
      <c r="AG17" s="3">
        <f t="shared" ref="AG17:AG65" si="3">+M17-W17-AE17</f>
        <v>0</v>
      </c>
      <c r="AI17" s="3">
        <f t="shared" si="0"/>
        <v>0</v>
      </c>
    </row>
    <row r="18" spans="1:35">
      <c r="A18" s="3" t="s">
        <v>289</v>
      </c>
      <c r="C18" s="3" t="s">
        <v>146</v>
      </c>
      <c r="E18" s="12">
        <v>51169</v>
      </c>
      <c r="G18" s="3">
        <f t="shared" si="1"/>
        <v>12904240</v>
      </c>
      <c r="I18" s="3">
        <v>16900812</v>
      </c>
      <c r="K18" s="3">
        <v>0</v>
      </c>
      <c r="M18" s="3">
        <v>29805052</v>
      </c>
      <c r="O18" s="3">
        <f t="shared" si="2"/>
        <v>1032906</v>
      </c>
      <c r="Q18" s="3">
        <v>421987</v>
      </c>
      <c r="S18" s="3">
        <v>5571765</v>
      </c>
      <c r="U18" s="3">
        <v>5028389</v>
      </c>
      <c r="W18" s="3">
        <f>7026658+5028389</f>
        <v>12055047</v>
      </c>
      <c r="Y18" s="3">
        <v>12176747</v>
      </c>
      <c r="AA18" s="3">
        <f t="shared" ref="AA18:AA88" si="4">AE18-AC18-Y18</f>
        <v>137160</v>
      </c>
      <c r="AC18" s="3">
        <v>5436098</v>
      </c>
      <c r="AE18" s="3">
        <v>17750005</v>
      </c>
      <c r="AG18" s="3">
        <f t="shared" si="3"/>
        <v>0</v>
      </c>
      <c r="AI18" s="3">
        <f t="shared" si="0"/>
        <v>0</v>
      </c>
    </row>
    <row r="19" spans="1:35">
      <c r="A19" s="3" t="s">
        <v>290</v>
      </c>
      <c r="C19" s="3" t="s">
        <v>149</v>
      </c>
      <c r="E19" s="12">
        <v>50856</v>
      </c>
      <c r="G19" s="3">
        <f t="shared" si="1"/>
        <v>4067901</v>
      </c>
      <c r="I19" s="3">
        <f>1663914+985781</f>
        <v>2649695</v>
      </c>
      <c r="K19" s="3">
        <v>0</v>
      </c>
      <c r="M19" s="3">
        <v>6717596</v>
      </c>
      <c r="O19" s="3">
        <f t="shared" si="2"/>
        <v>911304</v>
      </c>
      <c r="Q19" s="3">
        <v>92480</v>
      </c>
      <c r="S19" s="3">
        <v>1780983</v>
      </c>
      <c r="U19" s="3">
        <v>1715658</v>
      </c>
      <c r="W19" s="3">
        <f>2784767+1715658</f>
        <v>4500425</v>
      </c>
      <c r="Y19" s="3">
        <v>1907733</v>
      </c>
      <c r="AA19" s="3">
        <f t="shared" si="4"/>
        <v>94341</v>
      </c>
      <c r="AC19" s="3">
        <v>215097</v>
      </c>
      <c r="AE19" s="3">
        <v>2217171</v>
      </c>
      <c r="AG19" s="3">
        <f t="shared" si="3"/>
        <v>0</v>
      </c>
      <c r="AI19" s="3">
        <f t="shared" si="0"/>
        <v>0</v>
      </c>
    </row>
    <row r="20" spans="1:35">
      <c r="A20" s="3" t="s">
        <v>220</v>
      </c>
      <c r="C20" s="3" t="s">
        <v>198</v>
      </c>
      <c r="E20" s="12">
        <v>51656</v>
      </c>
      <c r="G20" s="3">
        <f t="shared" si="1"/>
        <v>26597200</v>
      </c>
      <c r="I20" s="3">
        <v>5014014</v>
      </c>
      <c r="K20" s="3">
        <v>0</v>
      </c>
      <c r="M20" s="3">
        <v>31611214</v>
      </c>
      <c r="O20" s="3">
        <f t="shared" si="2"/>
        <v>1592295</v>
      </c>
      <c r="Q20" s="3">
        <v>116600</v>
      </c>
      <c r="S20" s="3">
        <v>441898</v>
      </c>
      <c r="U20" s="3">
        <v>4177162</v>
      </c>
      <c r="W20" s="3">
        <f>2150793+4177162</f>
        <v>6327955</v>
      </c>
      <c r="Y20" s="3">
        <v>4878846</v>
      </c>
      <c r="AA20" s="3">
        <f t="shared" si="4"/>
        <v>6248054</v>
      </c>
      <c r="AC20" s="3">
        <v>14156359</v>
      </c>
      <c r="AE20" s="3">
        <v>25283259</v>
      </c>
      <c r="AG20" s="3">
        <f t="shared" si="3"/>
        <v>0</v>
      </c>
      <c r="AI20" s="3">
        <f t="shared" si="0"/>
        <v>0</v>
      </c>
    </row>
    <row r="21" spans="1:35">
      <c r="A21" s="3" t="s">
        <v>357</v>
      </c>
      <c r="C21" s="3" t="s">
        <v>147</v>
      </c>
      <c r="E21" s="12">
        <v>50880</v>
      </c>
      <c r="G21" s="3">
        <f t="shared" si="1"/>
        <v>38715273</v>
      </c>
      <c r="I21" s="3">
        <f>4810261+38264822</f>
        <v>43075083</v>
      </c>
      <c r="K21" s="3">
        <v>0</v>
      </c>
      <c r="M21" s="3">
        <v>81790356</v>
      </c>
      <c r="O21" s="3">
        <f t="shared" si="2"/>
        <v>22836868</v>
      </c>
      <c r="Q21" s="3">
        <v>206212</v>
      </c>
      <c r="S21" s="3">
        <v>1310990</v>
      </c>
      <c r="U21" s="3">
        <v>0</v>
      </c>
      <c r="W21" s="3">
        <v>24354070</v>
      </c>
      <c r="Y21" s="3">
        <v>40712239</v>
      </c>
      <c r="AA21" s="3">
        <f t="shared" si="4"/>
        <v>1285378</v>
      </c>
      <c r="AC21" s="3">
        <v>15438669</v>
      </c>
      <c r="AE21" s="3">
        <v>57436286</v>
      </c>
      <c r="AG21" s="3">
        <f>+M21-W21-AE21</f>
        <v>0</v>
      </c>
      <c r="AI21" s="3">
        <f t="shared" si="0"/>
        <v>0</v>
      </c>
    </row>
    <row r="22" spans="1:35">
      <c r="A22" s="3" t="s">
        <v>273</v>
      </c>
      <c r="C22" s="3" t="s">
        <v>173</v>
      </c>
      <c r="E22" s="12">
        <v>51201</v>
      </c>
      <c r="G22" s="3">
        <f t="shared" si="1"/>
        <v>18672285</v>
      </c>
      <c r="I22" s="3">
        <f>198827+35525501</f>
        <v>35724328</v>
      </c>
      <c r="K22" s="3">
        <v>0</v>
      </c>
      <c r="M22" s="3">
        <v>54396613</v>
      </c>
      <c r="O22" s="3">
        <f t="shared" si="2"/>
        <v>1273513</v>
      </c>
      <c r="Q22" s="3">
        <v>1555886</v>
      </c>
      <c r="S22" s="3">
        <v>25495789</v>
      </c>
      <c r="U22" s="3">
        <v>7824273</v>
      </c>
      <c r="W22" s="3">
        <f>28325188+7824273</f>
        <v>36149461</v>
      </c>
      <c r="Y22" s="3">
        <v>9963866</v>
      </c>
      <c r="AA22" s="3">
        <f>AE22-AC22-Y22</f>
        <v>1202427</v>
      </c>
      <c r="AC22" s="3">
        <v>7080859</v>
      </c>
      <c r="AE22" s="3">
        <v>18247152</v>
      </c>
      <c r="AG22" s="3">
        <f>+M22-W22-AE22</f>
        <v>0</v>
      </c>
      <c r="AI22" s="3">
        <f t="shared" si="0"/>
        <v>0</v>
      </c>
    </row>
    <row r="23" spans="1:35" s="88" customFormat="1" hidden="1">
      <c r="A23" s="88" t="s">
        <v>271</v>
      </c>
      <c r="C23" s="88" t="s">
        <v>214</v>
      </c>
      <c r="E23" s="91">
        <v>63511</v>
      </c>
      <c r="G23" s="88">
        <f t="shared" si="1"/>
        <v>0</v>
      </c>
      <c r="I23" s="88">
        <v>0</v>
      </c>
      <c r="K23" s="88">
        <v>0</v>
      </c>
      <c r="M23" s="88">
        <v>0</v>
      </c>
      <c r="O23" s="88">
        <f t="shared" si="2"/>
        <v>0</v>
      </c>
      <c r="Q23" s="88">
        <v>0</v>
      </c>
      <c r="S23" s="88">
        <v>0</v>
      </c>
      <c r="U23" s="88">
        <v>0</v>
      </c>
      <c r="W23" s="88">
        <v>0</v>
      </c>
      <c r="Y23" s="88">
        <v>0</v>
      </c>
      <c r="AA23" s="88">
        <f t="shared" si="4"/>
        <v>0</v>
      </c>
      <c r="AC23" s="88">
        <v>0</v>
      </c>
      <c r="AE23" s="88">
        <v>0</v>
      </c>
      <c r="AG23" s="88">
        <f t="shared" si="3"/>
        <v>0</v>
      </c>
      <c r="AI23" s="3">
        <f t="shared" si="0"/>
        <v>0</v>
      </c>
    </row>
    <row r="24" spans="1:35">
      <c r="A24" s="3" t="s">
        <v>356</v>
      </c>
      <c r="C24" s="3" t="s">
        <v>156</v>
      </c>
      <c r="E24" s="12">
        <v>50906</v>
      </c>
      <c r="G24" s="3">
        <f t="shared" si="1"/>
        <v>9249755</v>
      </c>
      <c r="I24" s="3">
        <v>9635713</v>
      </c>
      <c r="K24" s="3">
        <v>0</v>
      </c>
      <c r="M24" s="3">
        <v>18885468</v>
      </c>
      <c r="O24" s="3">
        <f t="shared" si="2"/>
        <v>390314</v>
      </c>
      <c r="Q24" s="3">
        <v>56221</v>
      </c>
      <c r="S24" s="3">
        <v>179358</v>
      </c>
      <c r="U24" s="3">
        <v>1710933</v>
      </c>
      <c r="W24" s="3">
        <f>625893+1710933</f>
        <v>2336826</v>
      </c>
      <c r="Y24" s="3">
        <v>9635713</v>
      </c>
      <c r="AA24" s="3">
        <f t="shared" si="4"/>
        <v>3638470</v>
      </c>
      <c r="AC24" s="3">
        <v>3274459</v>
      </c>
      <c r="AE24" s="3">
        <v>16548642</v>
      </c>
      <c r="AG24" s="3">
        <f>+M24-W24-AE24</f>
        <v>0</v>
      </c>
      <c r="AI24" s="3">
        <f t="shared" si="0"/>
        <v>0</v>
      </c>
    </row>
    <row r="25" spans="1:35" ht="12.75" customHeight="1">
      <c r="A25" s="3" t="s">
        <v>243</v>
      </c>
      <c r="C25" s="3" t="s">
        <v>207</v>
      </c>
      <c r="E25" s="12">
        <v>65227</v>
      </c>
      <c r="G25" s="3">
        <f t="shared" si="1"/>
        <v>2297256</v>
      </c>
      <c r="I25" s="3">
        <f>926839+433891</f>
        <v>1360730</v>
      </c>
      <c r="K25" s="3">
        <v>0</v>
      </c>
      <c r="M25" s="3">
        <v>3657986</v>
      </c>
      <c r="O25" s="3">
        <f t="shared" si="2"/>
        <v>1770703</v>
      </c>
      <c r="Q25" s="3">
        <v>47847</v>
      </c>
      <c r="S25" s="3">
        <v>504830</v>
      </c>
      <c r="U25" s="3">
        <v>0</v>
      </c>
      <c r="W25" s="3">
        <v>2323380</v>
      </c>
      <c r="Y25" s="3">
        <v>866632</v>
      </c>
      <c r="AA25" s="3">
        <f t="shared" si="4"/>
        <v>52327</v>
      </c>
      <c r="AC25" s="3">
        <v>415647</v>
      </c>
      <c r="AE25" s="3">
        <v>1334606</v>
      </c>
      <c r="AG25" s="3">
        <f t="shared" si="3"/>
        <v>0</v>
      </c>
      <c r="AI25" s="3">
        <f t="shared" si="0"/>
        <v>0</v>
      </c>
    </row>
    <row r="26" spans="1:35">
      <c r="A26" s="3" t="s">
        <v>241</v>
      </c>
      <c r="C26" s="3" t="s">
        <v>157</v>
      </c>
      <c r="E26" s="12">
        <v>50922</v>
      </c>
      <c r="G26" s="3">
        <f t="shared" si="1"/>
        <v>24043470</v>
      </c>
      <c r="I26" s="3">
        <v>16308329</v>
      </c>
      <c r="K26" s="3">
        <v>0</v>
      </c>
      <c r="M26" s="3">
        <v>40351799</v>
      </c>
      <c r="O26" s="3">
        <f t="shared" si="2"/>
        <v>1527825</v>
      </c>
      <c r="Q26" s="3">
        <v>271763</v>
      </c>
      <c r="S26" s="3">
        <v>1651831</v>
      </c>
      <c r="U26" s="3">
        <v>8618161</v>
      </c>
      <c r="W26" s="3">
        <f>3451419+8618161</f>
        <v>12069580</v>
      </c>
      <c r="Y26" s="3">
        <v>16147242</v>
      </c>
      <c r="AA26" s="3">
        <f t="shared" si="4"/>
        <v>19244</v>
      </c>
      <c r="AC26" s="3">
        <v>12115733</v>
      </c>
      <c r="AE26" s="3">
        <v>28282219</v>
      </c>
      <c r="AG26" s="3">
        <f t="shared" si="3"/>
        <v>0</v>
      </c>
      <c r="AI26" s="3">
        <f t="shared" si="0"/>
        <v>0</v>
      </c>
    </row>
    <row r="27" spans="1:35">
      <c r="A27" s="3" t="s">
        <v>240</v>
      </c>
      <c r="C27" s="3" t="s">
        <v>159</v>
      </c>
      <c r="E27" s="12">
        <v>50989</v>
      </c>
      <c r="G27" s="3">
        <f t="shared" si="1"/>
        <v>40050696</v>
      </c>
      <c r="I27" s="3">
        <v>14569418</v>
      </c>
      <c r="K27" s="3">
        <v>0</v>
      </c>
      <c r="M27" s="3">
        <v>54620114</v>
      </c>
      <c r="O27" s="3">
        <f t="shared" si="2"/>
        <v>984544</v>
      </c>
      <c r="Q27" s="3">
        <v>216990</v>
      </c>
      <c r="S27" s="3">
        <v>1195873</v>
      </c>
      <c r="U27" s="3">
        <v>8418383</v>
      </c>
      <c r="W27" s="3">
        <f>2397407+8418383</f>
        <v>10815790</v>
      </c>
      <c r="Y27" s="3">
        <v>14443781</v>
      </c>
      <c r="AA27" s="3">
        <f t="shared" si="4"/>
        <v>5625246</v>
      </c>
      <c r="AC27" s="3">
        <v>23735297</v>
      </c>
      <c r="AE27" s="3">
        <v>43804324</v>
      </c>
      <c r="AG27" s="3">
        <f t="shared" si="3"/>
        <v>0</v>
      </c>
      <c r="AI27" s="3">
        <f t="shared" si="0"/>
        <v>0</v>
      </c>
    </row>
    <row r="28" spans="1:35">
      <c r="A28" s="3" t="s">
        <v>358</v>
      </c>
      <c r="C28" s="3" t="s">
        <v>162</v>
      </c>
      <c r="E28" s="12">
        <v>51003</v>
      </c>
      <c r="G28" s="3">
        <f t="shared" si="1"/>
        <v>34212793</v>
      </c>
      <c r="I28" s="3">
        <v>22820466</v>
      </c>
      <c r="K28" s="3">
        <v>0</v>
      </c>
      <c r="M28" s="3">
        <v>57033259</v>
      </c>
      <c r="O28" s="3">
        <f t="shared" si="2"/>
        <v>2601303</v>
      </c>
      <c r="Q28" s="3">
        <v>876998</v>
      </c>
      <c r="S28" s="3">
        <v>3523193</v>
      </c>
      <c r="U28" s="3">
        <v>9551712</v>
      </c>
      <c r="W28" s="3">
        <v>16553206</v>
      </c>
      <c r="Y28" s="3">
        <v>20177915</v>
      </c>
      <c r="AA28" s="3">
        <f t="shared" si="4"/>
        <v>2631457</v>
      </c>
      <c r="AC28" s="3">
        <v>17670681</v>
      </c>
      <c r="AE28" s="3">
        <v>40480053</v>
      </c>
      <c r="AG28" s="3">
        <f>+M28-W28-AE28</f>
        <v>0</v>
      </c>
      <c r="AI28" s="3">
        <f t="shared" si="0"/>
        <v>0</v>
      </c>
    </row>
    <row r="29" spans="1:35">
      <c r="A29" s="3" t="s">
        <v>242</v>
      </c>
      <c r="C29" s="3" t="s">
        <v>160</v>
      </c>
      <c r="E29" s="12">
        <v>51029</v>
      </c>
      <c r="G29" s="3">
        <f t="shared" si="1"/>
        <v>21265258</v>
      </c>
      <c r="I29" s="3">
        <v>1957856</v>
      </c>
      <c r="K29" s="3">
        <v>0</v>
      </c>
      <c r="M29" s="3">
        <v>23223114</v>
      </c>
      <c r="O29" s="3">
        <f t="shared" si="2"/>
        <v>1188384</v>
      </c>
      <c r="Q29" s="3">
        <v>589513</v>
      </c>
      <c r="S29" s="3">
        <v>10493929</v>
      </c>
      <c r="U29" s="3">
        <v>6107854</v>
      </c>
      <c r="W29" s="3">
        <f>12271826+6107854</f>
        <v>18379680</v>
      </c>
      <c r="Y29" s="3">
        <v>16227</v>
      </c>
      <c r="AA29" s="3">
        <f t="shared" si="4"/>
        <v>124216</v>
      </c>
      <c r="AC29" s="3">
        <v>4702991</v>
      </c>
      <c r="AE29" s="3">
        <v>4843434</v>
      </c>
      <c r="AG29" s="3">
        <f t="shared" si="3"/>
        <v>0</v>
      </c>
      <c r="AI29" s="3">
        <f t="shared" si="0"/>
        <v>0</v>
      </c>
    </row>
    <row r="30" spans="1:35">
      <c r="A30" s="3" t="s">
        <v>244</v>
      </c>
      <c r="C30" s="3" t="s">
        <v>209</v>
      </c>
      <c r="E30" s="12">
        <v>50963</v>
      </c>
      <c r="G30" s="3">
        <f t="shared" si="1"/>
        <v>18933542</v>
      </c>
      <c r="I30" s="3">
        <f>859159+8455157</f>
        <v>9314316</v>
      </c>
      <c r="K30" s="3">
        <v>0</v>
      </c>
      <c r="M30" s="3">
        <v>28247858</v>
      </c>
      <c r="O30" s="3">
        <f t="shared" si="2"/>
        <v>7883530</v>
      </c>
      <c r="Q30" s="3">
        <v>204400</v>
      </c>
      <c r="S30" s="3">
        <v>4665267</v>
      </c>
      <c r="U30" s="3">
        <v>0</v>
      </c>
      <c r="W30" s="3">
        <v>12753197</v>
      </c>
      <c r="Y30" s="3">
        <v>5379316</v>
      </c>
      <c r="AA30" s="3">
        <f t="shared" si="4"/>
        <v>6001589</v>
      </c>
      <c r="AC30" s="3">
        <v>4113756</v>
      </c>
      <c r="AE30" s="3">
        <v>15494661</v>
      </c>
      <c r="AG30" s="3">
        <f t="shared" si="3"/>
        <v>0</v>
      </c>
      <c r="AI30" s="3">
        <f t="shared" si="0"/>
        <v>0</v>
      </c>
    </row>
    <row r="31" spans="1:35" ht="13.5" customHeight="1">
      <c r="A31" s="3" t="s">
        <v>208</v>
      </c>
      <c r="C31" s="3" t="s">
        <v>165</v>
      </c>
      <c r="E31" s="12">
        <v>62067</v>
      </c>
      <c r="G31" s="3">
        <f t="shared" si="1"/>
        <v>10011790</v>
      </c>
      <c r="I31" s="3">
        <v>19534722</v>
      </c>
      <c r="K31" s="3">
        <v>0</v>
      </c>
      <c r="M31" s="3">
        <v>29546512</v>
      </c>
      <c r="O31" s="3">
        <f t="shared" si="2"/>
        <v>802248</v>
      </c>
      <c r="Q31" s="3">
        <v>204000</v>
      </c>
      <c r="S31" s="3">
        <v>2326811</v>
      </c>
      <c r="U31" s="3">
        <v>2279808</v>
      </c>
      <c r="W31" s="3">
        <v>5612867</v>
      </c>
      <c r="Y31" s="3">
        <v>17494722</v>
      </c>
      <c r="AA31" s="3">
        <f t="shared" si="4"/>
        <v>2054592</v>
      </c>
      <c r="AC31" s="3">
        <v>4384331</v>
      </c>
      <c r="AE31" s="3">
        <v>23933645</v>
      </c>
      <c r="AG31" s="3">
        <f t="shared" si="3"/>
        <v>0</v>
      </c>
      <c r="AI31" s="3">
        <f t="shared" si="0"/>
        <v>0</v>
      </c>
    </row>
    <row r="32" spans="1:35">
      <c r="A32" s="3" t="s">
        <v>359</v>
      </c>
      <c r="C32" s="3" t="s">
        <v>168</v>
      </c>
      <c r="E32" s="12">
        <v>51060</v>
      </c>
      <c r="G32" s="3">
        <f t="shared" si="1"/>
        <v>75162705</v>
      </c>
      <c r="I32" s="3">
        <f>2965614+104501878</f>
        <v>107467492</v>
      </c>
      <c r="K32" s="3">
        <v>0</v>
      </c>
      <c r="M32" s="3">
        <v>182630197</v>
      </c>
      <c r="O32" s="3">
        <f t="shared" si="2"/>
        <v>33242624</v>
      </c>
      <c r="Q32" s="3">
        <v>2453203</v>
      </c>
      <c r="S32" s="3">
        <f>20370287-2453203</f>
        <v>17917084</v>
      </c>
      <c r="U32" s="3">
        <v>0</v>
      </c>
      <c r="W32" s="3">
        <v>53612911</v>
      </c>
      <c r="Y32" s="3">
        <v>91102941</v>
      </c>
      <c r="AA32" s="3">
        <f t="shared" si="4"/>
        <v>439563</v>
      </c>
      <c r="AC32" s="3">
        <v>37474782</v>
      </c>
      <c r="AE32" s="3">
        <v>129017286</v>
      </c>
      <c r="AG32" s="3">
        <f t="shared" si="3"/>
        <v>0</v>
      </c>
      <c r="AI32" s="3">
        <f t="shared" si="0"/>
        <v>0</v>
      </c>
    </row>
    <row r="33" spans="1:35">
      <c r="A33" s="3" t="s">
        <v>315</v>
      </c>
      <c r="C33" s="3" t="s">
        <v>167</v>
      </c>
      <c r="E33" s="12">
        <v>51045</v>
      </c>
      <c r="G33" s="3">
        <f t="shared" si="1"/>
        <v>16777751</v>
      </c>
      <c r="I33" s="3">
        <f>315028+14747242</f>
        <v>15062270</v>
      </c>
      <c r="K33" s="3">
        <v>0</v>
      </c>
      <c r="M33" s="3">
        <v>31840021</v>
      </c>
      <c r="O33" s="3">
        <f t="shared" si="2"/>
        <v>1687679</v>
      </c>
      <c r="Q33" s="3">
        <v>181986</v>
      </c>
      <c r="S33" s="3">
        <v>353959</v>
      </c>
      <c r="U33" s="3">
        <v>8108686</v>
      </c>
      <c r="W33" s="3">
        <f>2223624+8108686</f>
        <v>10332310</v>
      </c>
      <c r="Y33" s="3">
        <v>14978934</v>
      </c>
      <c r="AA33" s="3">
        <f t="shared" si="4"/>
        <v>3091779</v>
      </c>
      <c r="AC33" s="3">
        <v>3436998</v>
      </c>
      <c r="AE33" s="3">
        <v>21507711</v>
      </c>
      <c r="AG33" s="3">
        <f t="shared" si="3"/>
        <v>0</v>
      </c>
      <c r="AI33" s="3">
        <f t="shared" si="0"/>
        <v>0</v>
      </c>
    </row>
    <row r="34" spans="1:35">
      <c r="A34" s="3" t="s">
        <v>210</v>
      </c>
      <c r="C34" s="3" t="s">
        <v>170</v>
      </c>
      <c r="E34" s="12">
        <v>51128</v>
      </c>
      <c r="G34" s="3">
        <f t="shared" si="1"/>
        <v>4388212</v>
      </c>
      <c r="I34" s="3">
        <f>88229+2487182</f>
        <v>2575411</v>
      </c>
      <c r="K34" s="3">
        <v>0</v>
      </c>
      <c r="M34" s="3">
        <v>6963623</v>
      </c>
      <c r="O34" s="3">
        <f t="shared" si="2"/>
        <v>513432</v>
      </c>
      <c r="Q34" s="3">
        <v>86290</v>
      </c>
      <c r="S34" s="3">
        <v>1084560</v>
      </c>
      <c r="U34" s="3">
        <v>2020748</v>
      </c>
      <c r="W34" s="3">
        <f>1684282+2020748</f>
        <v>3705030</v>
      </c>
      <c r="Y34" s="3">
        <v>1695155</v>
      </c>
      <c r="AA34" s="3">
        <f t="shared" si="4"/>
        <v>224967</v>
      </c>
      <c r="AC34" s="3">
        <v>1338471</v>
      </c>
      <c r="AE34" s="3">
        <v>3258593</v>
      </c>
      <c r="AG34" s="3">
        <f t="shared" si="3"/>
        <v>0</v>
      </c>
      <c r="AI34" s="3">
        <f t="shared" si="0"/>
        <v>0</v>
      </c>
    </row>
    <row r="35" spans="1:35">
      <c r="A35" s="3" t="s">
        <v>245</v>
      </c>
      <c r="C35" s="3" t="s">
        <v>171</v>
      </c>
      <c r="E35" s="12">
        <v>51144</v>
      </c>
      <c r="G35" s="3">
        <v>14365467</v>
      </c>
      <c r="I35" s="3">
        <v>21551279</v>
      </c>
      <c r="K35" s="3">
        <v>0</v>
      </c>
      <c r="M35" s="3">
        <v>35916746</v>
      </c>
      <c r="O35" s="3">
        <v>847869</v>
      </c>
      <c r="Q35" s="3">
        <v>363480</v>
      </c>
      <c r="S35" s="3">
        <v>4136096</v>
      </c>
      <c r="U35" s="3">
        <v>1845808</v>
      </c>
      <c r="W35" s="3">
        <v>7193253</v>
      </c>
      <c r="Y35" s="3">
        <v>17753461</v>
      </c>
      <c r="AA35" s="3">
        <v>1018745</v>
      </c>
      <c r="AC35" s="3">
        <v>9951287</v>
      </c>
      <c r="AE35" s="3">
        <v>28723493</v>
      </c>
      <c r="AG35" s="3">
        <v>0</v>
      </c>
      <c r="AI35" s="3">
        <v>0</v>
      </c>
    </row>
    <row r="36" spans="1:35">
      <c r="A36" s="3" t="s">
        <v>211</v>
      </c>
      <c r="C36" s="3" t="s">
        <v>172</v>
      </c>
      <c r="E36" s="12">
        <v>51185</v>
      </c>
      <c r="G36" s="3">
        <f t="shared" si="1"/>
        <v>12613653</v>
      </c>
      <c r="I36" s="3">
        <f>20708357+1733854</f>
        <v>22442211</v>
      </c>
      <c r="K36" s="3">
        <v>0</v>
      </c>
      <c r="M36" s="3">
        <v>35055864</v>
      </c>
      <c r="O36" s="3">
        <f t="shared" si="2"/>
        <v>2973163</v>
      </c>
      <c r="Q36" s="3">
        <v>431219</v>
      </c>
      <c r="S36" s="3">
        <v>6174567</v>
      </c>
      <c r="U36" s="3">
        <v>2087060</v>
      </c>
      <c r="W36" s="3">
        <f>9578949+2087060</f>
        <v>11666009</v>
      </c>
      <c r="Y36" s="3">
        <v>20117731</v>
      </c>
      <c r="AA36" s="3">
        <f t="shared" si="4"/>
        <v>1866780</v>
      </c>
      <c r="AC36" s="3">
        <v>1405344</v>
      </c>
      <c r="AE36" s="3">
        <v>23389855</v>
      </c>
      <c r="AG36" s="3">
        <f t="shared" si="3"/>
        <v>0</v>
      </c>
      <c r="AI36" s="3">
        <f t="shared" si="0"/>
        <v>0</v>
      </c>
    </row>
    <row r="37" spans="1:35" s="88" customFormat="1" hidden="1">
      <c r="A37" s="88" t="s">
        <v>284</v>
      </c>
      <c r="C37" s="88" t="s">
        <v>173</v>
      </c>
      <c r="E37" s="91">
        <v>47977</v>
      </c>
      <c r="G37" s="88">
        <f t="shared" si="1"/>
        <v>0</v>
      </c>
      <c r="I37" s="88">
        <v>0</v>
      </c>
      <c r="K37" s="88">
        <v>0</v>
      </c>
      <c r="M37" s="88">
        <v>0</v>
      </c>
      <c r="O37" s="88">
        <f t="shared" si="2"/>
        <v>0</v>
      </c>
      <c r="Q37" s="88">
        <v>0</v>
      </c>
      <c r="S37" s="88">
        <v>0</v>
      </c>
      <c r="U37" s="88">
        <v>0</v>
      </c>
      <c r="W37" s="88">
        <v>0</v>
      </c>
      <c r="Y37" s="88">
        <v>0</v>
      </c>
      <c r="AA37" s="88">
        <f t="shared" si="4"/>
        <v>0</v>
      </c>
      <c r="AC37" s="88">
        <v>0</v>
      </c>
      <c r="AE37" s="88">
        <v>0</v>
      </c>
      <c r="AG37" s="88">
        <f t="shared" si="3"/>
        <v>0</v>
      </c>
      <c r="AI37" s="3">
        <f t="shared" si="0"/>
        <v>0</v>
      </c>
    </row>
    <row r="38" spans="1:35">
      <c r="A38" s="3" t="s">
        <v>213</v>
      </c>
      <c r="C38" s="3" t="s">
        <v>142</v>
      </c>
      <c r="E38" s="12">
        <v>51227</v>
      </c>
      <c r="G38" s="3">
        <f t="shared" si="1"/>
        <v>22039950</v>
      </c>
      <c r="I38" s="3">
        <f>3862521+10990121</f>
        <v>14852642</v>
      </c>
      <c r="K38" s="3">
        <v>0</v>
      </c>
      <c r="M38" s="3">
        <v>36892592</v>
      </c>
      <c r="O38" s="3">
        <f t="shared" si="2"/>
        <v>2875968</v>
      </c>
      <c r="Q38" s="3">
        <v>759210</v>
      </c>
      <c r="S38" s="3">
        <v>6488801</v>
      </c>
      <c r="U38" s="3">
        <v>9871627</v>
      </c>
      <c r="W38" s="3">
        <f>10123979+9871627</f>
        <v>19995606</v>
      </c>
      <c r="Y38" s="3">
        <v>11899195</v>
      </c>
      <c r="AA38" s="3">
        <f t="shared" si="4"/>
        <v>3220274</v>
      </c>
      <c r="AC38" s="3">
        <v>1777517</v>
      </c>
      <c r="AE38" s="3">
        <v>16896986</v>
      </c>
      <c r="AG38" s="3">
        <f t="shared" si="3"/>
        <v>0</v>
      </c>
      <c r="AI38" s="3">
        <f t="shared" si="0"/>
        <v>0</v>
      </c>
    </row>
    <row r="39" spans="1:35">
      <c r="A39" s="3" t="s">
        <v>360</v>
      </c>
      <c r="C39" s="3" t="s">
        <v>176</v>
      </c>
      <c r="E39" s="12">
        <v>51243</v>
      </c>
      <c r="G39" s="3">
        <f t="shared" si="1"/>
        <v>29428794</v>
      </c>
      <c r="I39" s="3">
        <f>125000+26314110</f>
        <v>26439110</v>
      </c>
      <c r="K39" s="3">
        <v>1606321</v>
      </c>
      <c r="M39" s="3">
        <f>55867904+1606321</f>
        <v>57474225</v>
      </c>
      <c r="O39" s="3">
        <f t="shared" si="2"/>
        <v>1038118</v>
      </c>
      <c r="Q39" s="3">
        <v>466059</v>
      </c>
      <c r="S39" s="3">
        <v>15919755</v>
      </c>
      <c r="U39" s="3">
        <v>6269687</v>
      </c>
      <c r="W39" s="3">
        <f>17423932+6269687</f>
        <v>23693619</v>
      </c>
      <c r="Y39" s="3">
        <v>12831266</v>
      </c>
      <c r="AA39" s="3">
        <f t="shared" si="4"/>
        <v>15501575</v>
      </c>
      <c r="AC39" s="3">
        <v>5447765</v>
      </c>
      <c r="AE39" s="3">
        <v>33780606</v>
      </c>
      <c r="AG39" s="3">
        <f>+M39-W39-AE39</f>
        <v>0</v>
      </c>
      <c r="AI39" s="3">
        <f t="shared" si="0"/>
        <v>0</v>
      </c>
    </row>
    <row r="40" spans="1:35">
      <c r="A40" s="3" t="s">
        <v>246</v>
      </c>
      <c r="C40" s="3" t="s">
        <v>186</v>
      </c>
      <c r="E40" s="12">
        <v>51391</v>
      </c>
      <c r="G40" s="3">
        <f t="shared" si="1"/>
        <v>29322808</v>
      </c>
      <c r="I40" s="3">
        <f>140600+12470537</f>
        <v>12611137</v>
      </c>
      <c r="K40" s="3">
        <v>0</v>
      </c>
      <c r="M40" s="3">
        <v>41933945</v>
      </c>
      <c r="O40" s="3">
        <f t="shared" si="2"/>
        <v>927100</v>
      </c>
      <c r="Q40" s="3">
        <v>86266</v>
      </c>
      <c r="S40" s="3">
        <v>1027091</v>
      </c>
      <c r="U40" s="3">
        <v>5763854</v>
      </c>
      <c r="W40" s="3">
        <f>2040457+5763854</f>
        <v>7804311</v>
      </c>
      <c r="Y40" s="3">
        <v>12611137</v>
      </c>
      <c r="AA40" s="3">
        <f t="shared" si="4"/>
        <v>7860</v>
      </c>
      <c r="AC40" s="3">
        <v>21510637</v>
      </c>
      <c r="AE40" s="3">
        <v>34129634</v>
      </c>
      <c r="AG40" s="3">
        <f>+M40-W40-AE40</f>
        <v>0</v>
      </c>
      <c r="AI40" s="3">
        <f t="shared" si="0"/>
        <v>0</v>
      </c>
    </row>
    <row r="41" spans="1:35">
      <c r="A41" s="3" t="s">
        <v>217</v>
      </c>
      <c r="C41" s="3" t="s">
        <v>178</v>
      </c>
      <c r="E41" s="12">
        <v>62109</v>
      </c>
      <c r="G41" s="3">
        <f t="shared" si="1"/>
        <v>18519690</v>
      </c>
      <c r="I41" s="3">
        <f>794096+8998584</f>
        <v>9792680</v>
      </c>
      <c r="K41" s="3">
        <v>0</v>
      </c>
      <c r="M41" s="3">
        <v>28312370</v>
      </c>
      <c r="O41" s="3">
        <f t="shared" si="2"/>
        <v>8302001</v>
      </c>
      <c r="Q41" s="3">
        <v>194678</v>
      </c>
      <c r="S41" s="3">
        <v>1475104</v>
      </c>
      <c r="U41" s="3">
        <v>0</v>
      </c>
      <c r="W41" s="3">
        <v>9971783</v>
      </c>
      <c r="Y41" s="3">
        <v>9792680</v>
      </c>
      <c r="AA41" s="3">
        <f t="shared" si="4"/>
        <v>332423</v>
      </c>
      <c r="AC41" s="3">
        <v>8215484</v>
      </c>
      <c r="AE41" s="3">
        <v>18340587</v>
      </c>
      <c r="AG41" s="3">
        <f>+M41-W41-AE41</f>
        <v>0</v>
      </c>
      <c r="AI41" s="3">
        <f t="shared" si="0"/>
        <v>0</v>
      </c>
    </row>
    <row r="42" spans="1:35">
      <c r="A42" s="3" t="s">
        <v>361</v>
      </c>
      <c r="C42" s="3" t="s">
        <v>181</v>
      </c>
      <c r="E42" s="12">
        <v>51284</v>
      </c>
      <c r="G42" s="3">
        <f t="shared" si="1"/>
        <v>19875310</v>
      </c>
      <c r="I42" s="3">
        <f>440000+21494034</f>
        <v>21934034</v>
      </c>
      <c r="K42" s="3">
        <v>0</v>
      </c>
      <c r="M42" s="3">
        <v>41809344</v>
      </c>
      <c r="O42" s="3">
        <f t="shared" si="2"/>
        <v>13738276</v>
      </c>
      <c r="Q42" s="3">
        <v>718146</v>
      </c>
      <c r="S42" s="3">
        <v>8468211</v>
      </c>
      <c r="U42" s="3">
        <v>0</v>
      </c>
      <c r="W42" s="3">
        <v>22924633</v>
      </c>
      <c r="Y42" s="3">
        <v>15252039</v>
      </c>
      <c r="AA42" s="3">
        <f t="shared" si="4"/>
        <v>1117809</v>
      </c>
      <c r="AC42" s="3">
        <v>2514863</v>
      </c>
      <c r="AE42" s="3">
        <v>18884711</v>
      </c>
      <c r="AG42" s="3">
        <f t="shared" si="3"/>
        <v>0</v>
      </c>
      <c r="AI42" s="3">
        <f t="shared" si="0"/>
        <v>0</v>
      </c>
    </row>
    <row r="43" spans="1:35">
      <c r="A43" s="3" t="s">
        <v>362</v>
      </c>
      <c r="C43" s="3" t="s">
        <v>183</v>
      </c>
      <c r="E43" s="12">
        <v>51300</v>
      </c>
      <c r="G43" s="3">
        <f t="shared" si="1"/>
        <v>54387303</v>
      </c>
      <c r="I43" s="3">
        <f>32520480+5903061</f>
        <v>38423541</v>
      </c>
      <c r="K43" s="3">
        <v>0</v>
      </c>
      <c r="M43" s="3">
        <v>92810844</v>
      </c>
      <c r="O43" s="3">
        <f t="shared" si="2"/>
        <v>4949778</v>
      </c>
      <c r="Q43" s="3">
        <v>2097683</v>
      </c>
      <c r="S43" s="3">
        <v>14189612</v>
      </c>
      <c r="U43" s="3">
        <v>7018778</v>
      </c>
      <c r="W43" s="3">
        <f>21237073+7018778</f>
        <v>28255851</v>
      </c>
      <c r="Y43" s="3">
        <v>20021204</v>
      </c>
      <c r="AA43" s="3">
        <f t="shared" si="4"/>
        <v>27071173</v>
      </c>
      <c r="AC43" s="3">
        <v>17462616</v>
      </c>
      <c r="AE43" s="3">
        <v>64554993</v>
      </c>
      <c r="AG43" s="3">
        <f t="shared" si="3"/>
        <v>0</v>
      </c>
      <c r="AI43" s="3">
        <f t="shared" si="0"/>
        <v>0</v>
      </c>
    </row>
    <row r="44" spans="1:35">
      <c r="A44" s="3" t="s">
        <v>212</v>
      </c>
      <c r="C44" s="3" t="s">
        <v>174</v>
      </c>
      <c r="E44" s="12">
        <v>51334</v>
      </c>
      <c r="G44" s="3">
        <f t="shared" si="1"/>
        <v>15773275</v>
      </c>
      <c r="I44" s="3">
        <f>412076+6108922</f>
        <v>6520998</v>
      </c>
      <c r="K44" s="3">
        <v>0</v>
      </c>
      <c r="M44" s="3">
        <v>22294273</v>
      </c>
      <c r="O44" s="3">
        <f t="shared" si="2"/>
        <v>5820715</v>
      </c>
      <c r="Q44" s="3">
        <v>278693</v>
      </c>
      <c r="S44" s="3">
        <v>1177752</v>
      </c>
      <c r="U44" s="3">
        <v>0</v>
      </c>
      <c r="W44" s="3">
        <v>7277160</v>
      </c>
      <c r="Y44" s="3">
        <v>5911211</v>
      </c>
      <c r="AA44" s="3">
        <f t="shared" si="4"/>
        <v>266270</v>
      </c>
      <c r="AC44" s="3">
        <v>8839632</v>
      </c>
      <c r="AE44" s="3">
        <v>15017113</v>
      </c>
      <c r="AG44" s="3">
        <f t="shared" si="3"/>
        <v>0</v>
      </c>
      <c r="AI44" s="3">
        <f t="shared" si="0"/>
        <v>0</v>
      </c>
    </row>
    <row r="45" spans="1:35">
      <c r="A45" s="3" t="s">
        <v>322</v>
      </c>
      <c r="C45" s="3" t="s">
        <v>204</v>
      </c>
      <c r="E45" s="12">
        <v>51359</v>
      </c>
      <c r="G45" s="3">
        <f t="shared" si="1"/>
        <v>31615133</v>
      </c>
      <c r="I45" s="3">
        <v>85010448</v>
      </c>
      <c r="K45" s="3">
        <v>4866897</v>
      </c>
      <c r="M45" s="3">
        <f>116625581+4866897</f>
        <v>121492478</v>
      </c>
      <c r="O45" s="3">
        <f t="shared" si="2"/>
        <v>3002839</v>
      </c>
      <c r="Q45" s="3">
        <v>2593566</v>
      </c>
      <c r="S45" s="3">
        <v>45474973</v>
      </c>
      <c r="U45" s="3">
        <v>13065834</v>
      </c>
      <c r="W45" s="3">
        <f>51071378+13065834</f>
        <v>64137212</v>
      </c>
      <c r="Y45" s="3">
        <v>44336034</v>
      </c>
      <c r="AA45" s="3">
        <f t="shared" si="4"/>
        <v>6691722</v>
      </c>
      <c r="AC45" s="3">
        <v>6327510</v>
      </c>
      <c r="AE45" s="3">
        <v>57355266</v>
      </c>
      <c r="AG45" s="3">
        <f t="shared" si="3"/>
        <v>0</v>
      </c>
      <c r="AI45" s="3">
        <f t="shared" si="0"/>
        <v>0</v>
      </c>
    </row>
    <row r="46" spans="1:35">
      <c r="A46" s="3" t="s">
        <v>363</v>
      </c>
      <c r="C46" s="3" t="s">
        <v>190</v>
      </c>
      <c r="E46" s="12">
        <v>51433</v>
      </c>
      <c r="G46" s="3">
        <f t="shared" si="1"/>
        <v>18460471</v>
      </c>
      <c r="I46" s="3">
        <f>186368+19158623</f>
        <v>19344991</v>
      </c>
      <c r="K46" s="3">
        <v>0</v>
      </c>
      <c r="M46" s="3">
        <v>37805462</v>
      </c>
      <c r="O46" s="3">
        <f t="shared" si="2"/>
        <v>1708802</v>
      </c>
      <c r="Q46" s="3">
        <v>616334</v>
      </c>
      <c r="S46" s="3">
        <v>3626674</v>
      </c>
      <c r="U46" s="3">
        <v>4380810</v>
      </c>
      <c r="W46" s="3">
        <f>5951810+4380810</f>
        <v>10332620</v>
      </c>
      <c r="Y46" s="3">
        <v>16752214</v>
      </c>
      <c r="AA46" s="3">
        <f t="shared" si="4"/>
        <v>3585949</v>
      </c>
      <c r="AC46" s="3">
        <v>7134679</v>
      </c>
      <c r="AE46" s="3">
        <v>27472842</v>
      </c>
      <c r="AG46" s="3">
        <f t="shared" si="3"/>
        <v>0</v>
      </c>
      <c r="AI46" s="3">
        <f t="shared" si="0"/>
        <v>0</v>
      </c>
    </row>
    <row r="47" spans="1:35">
      <c r="A47" s="3" t="s">
        <v>247</v>
      </c>
      <c r="C47" s="3" t="s">
        <v>218</v>
      </c>
      <c r="E47" s="12">
        <v>51375</v>
      </c>
      <c r="G47" s="3">
        <f t="shared" si="1"/>
        <v>6588735</v>
      </c>
      <c r="I47" s="3">
        <f>157560+17221375</f>
        <v>17378935</v>
      </c>
      <c r="K47" s="3">
        <v>0</v>
      </c>
      <c r="M47" s="3">
        <v>23967670</v>
      </c>
      <c r="O47" s="3">
        <f t="shared" si="2"/>
        <v>520064</v>
      </c>
      <c r="Q47" s="3">
        <v>174529</v>
      </c>
      <c r="S47" s="3">
        <v>3206094</v>
      </c>
      <c r="U47" s="3">
        <v>1154112</v>
      </c>
      <c r="W47" s="3">
        <f>3900687+1154112</f>
        <v>5054799</v>
      </c>
      <c r="Y47" s="3">
        <v>14419935</v>
      </c>
      <c r="AA47" s="3">
        <f t="shared" si="4"/>
        <v>1027683</v>
      </c>
      <c r="AC47" s="3">
        <v>3465253</v>
      </c>
      <c r="AE47" s="3">
        <v>18912871</v>
      </c>
      <c r="AG47" s="3">
        <f t="shared" si="3"/>
        <v>0</v>
      </c>
      <c r="AI47" s="3">
        <f t="shared" si="0"/>
        <v>0</v>
      </c>
    </row>
    <row r="48" spans="1:35">
      <c r="A48" s="3" t="s">
        <v>364</v>
      </c>
      <c r="C48" s="3" t="s">
        <v>189</v>
      </c>
      <c r="E48" s="12">
        <v>51417</v>
      </c>
      <c r="G48" s="3">
        <f t="shared" si="1"/>
        <v>22515285</v>
      </c>
      <c r="I48" s="3">
        <v>32188365</v>
      </c>
      <c r="K48" s="3">
        <v>0</v>
      </c>
      <c r="M48" s="3">
        <v>54703650</v>
      </c>
      <c r="O48" s="3">
        <f t="shared" si="2"/>
        <v>1945690</v>
      </c>
      <c r="Q48" s="3">
        <v>672452</v>
      </c>
      <c r="S48" s="3">
        <v>11599314</v>
      </c>
      <c r="U48" s="3">
        <v>2744581</v>
      </c>
      <c r="W48" s="3">
        <f>14217456+2744581</f>
        <v>16962037</v>
      </c>
      <c r="Y48" s="3">
        <v>20812777</v>
      </c>
      <c r="AA48" s="3">
        <f t="shared" si="4"/>
        <v>4423642</v>
      </c>
      <c r="AC48" s="3">
        <v>12505194</v>
      </c>
      <c r="AE48" s="3">
        <v>37741613</v>
      </c>
      <c r="AG48" s="3">
        <f t="shared" si="3"/>
        <v>0</v>
      </c>
      <c r="AI48" s="3">
        <f t="shared" si="0"/>
        <v>0</v>
      </c>
    </row>
    <row r="49" spans="1:35">
      <c r="A49" s="3" t="s">
        <v>248</v>
      </c>
      <c r="C49" s="3" t="s">
        <v>157</v>
      </c>
      <c r="E49" s="12">
        <v>50948</v>
      </c>
      <c r="G49" s="3">
        <f t="shared" si="1"/>
        <v>18932146</v>
      </c>
      <c r="I49" s="3">
        <f>261490+6370195</f>
        <v>6631685</v>
      </c>
      <c r="K49" s="3">
        <v>0</v>
      </c>
      <c r="M49" s="3">
        <v>25563831</v>
      </c>
      <c r="O49" s="3">
        <f t="shared" si="2"/>
        <v>1353970</v>
      </c>
      <c r="Q49" s="3">
        <v>1268405</v>
      </c>
      <c r="S49" s="3">
        <v>3371404</v>
      </c>
      <c r="U49" s="3">
        <v>7496062</v>
      </c>
      <c r="W49" s="3">
        <f>5993779+7496062</f>
        <v>13489841</v>
      </c>
      <c r="Y49" s="3">
        <v>3684605</v>
      </c>
      <c r="AA49" s="3">
        <f t="shared" si="4"/>
        <v>346269</v>
      </c>
      <c r="AC49" s="3">
        <v>8043116</v>
      </c>
      <c r="AE49" s="3">
        <v>12073990</v>
      </c>
      <c r="AG49" s="3">
        <f t="shared" si="3"/>
        <v>0</v>
      </c>
      <c r="AI49" s="3">
        <f t="shared" si="0"/>
        <v>0</v>
      </c>
    </row>
    <row r="50" spans="1:35">
      <c r="A50" s="3" t="s">
        <v>249</v>
      </c>
      <c r="C50" s="3" t="s">
        <v>196</v>
      </c>
      <c r="E50" s="12">
        <v>63495</v>
      </c>
      <c r="G50" s="3">
        <f t="shared" si="1"/>
        <v>14718560</v>
      </c>
      <c r="I50" s="3">
        <f>1591712+3919767</f>
        <v>5511479</v>
      </c>
      <c r="K50" s="3">
        <v>0</v>
      </c>
      <c r="M50" s="3">
        <v>20230039</v>
      </c>
      <c r="O50" s="3">
        <f t="shared" si="2"/>
        <v>4263614</v>
      </c>
      <c r="Q50" s="3">
        <v>109294</v>
      </c>
      <c r="S50" s="3">
        <v>539274</v>
      </c>
      <c r="U50" s="3">
        <v>0</v>
      </c>
      <c r="W50" s="3">
        <v>4912182</v>
      </c>
      <c r="Y50" s="3">
        <v>4788940</v>
      </c>
      <c r="AA50" s="3">
        <f t="shared" si="4"/>
        <v>633098</v>
      </c>
      <c r="AC50" s="3">
        <v>9895819</v>
      </c>
      <c r="AE50" s="3">
        <v>15317857</v>
      </c>
      <c r="AG50" s="3">
        <f t="shared" si="3"/>
        <v>0</v>
      </c>
      <c r="AI50" s="3">
        <f t="shared" si="0"/>
        <v>0</v>
      </c>
    </row>
    <row r="51" spans="1:35">
      <c r="A51" s="3" t="s">
        <v>383</v>
      </c>
      <c r="C51" s="3" t="s">
        <v>192</v>
      </c>
      <c r="E51" s="12">
        <v>51490</v>
      </c>
      <c r="G51" s="3">
        <f t="shared" si="1"/>
        <v>10912095</v>
      </c>
      <c r="I51" s="3">
        <f>20867254+33852</f>
        <v>20901106</v>
      </c>
      <c r="K51" s="3">
        <v>0</v>
      </c>
      <c r="M51" s="3">
        <v>31813201</v>
      </c>
      <c r="O51" s="3">
        <f t="shared" si="2"/>
        <v>620233</v>
      </c>
      <c r="Q51" s="3">
        <v>129571</v>
      </c>
      <c r="S51" s="3">
        <v>3615124</v>
      </c>
      <c r="U51" s="3">
        <v>2247561</v>
      </c>
      <c r="W51" s="3">
        <f>4364928+2247561</f>
        <v>6612489</v>
      </c>
      <c r="Y51" s="3">
        <v>17670806</v>
      </c>
      <c r="AA51" s="3">
        <f t="shared" si="4"/>
        <v>5143050</v>
      </c>
      <c r="AC51" s="3">
        <v>2386856</v>
      </c>
      <c r="AE51" s="3">
        <v>25200712</v>
      </c>
      <c r="AG51" s="3">
        <f t="shared" si="3"/>
        <v>0</v>
      </c>
      <c r="AI51" s="3">
        <f t="shared" si="0"/>
        <v>0</v>
      </c>
    </row>
    <row r="52" spans="1:35">
      <c r="A52" s="3" t="s">
        <v>205</v>
      </c>
      <c r="C52" s="3" t="s">
        <v>150</v>
      </c>
      <c r="E52" s="12">
        <v>50799</v>
      </c>
      <c r="G52" s="3">
        <f t="shared" si="1"/>
        <v>10987986</v>
      </c>
      <c r="I52" s="3">
        <f>339053+12977371</f>
        <v>13316424</v>
      </c>
      <c r="K52" s="3">
        <v>0</v>
      </c>
      <c r="M52" s="3">
        <v>24304410</v>
      </c>
      <c r="O52" s="3">
        <f t="shared" si="2"/>
        <v>515081</v>
      </c>
      <c r="Q52" s="3">
        <v>250026</v>
      </c>
      <c r="S52" s="3">
        <v>2908110</v>
      </c>
      <c r="U52" s="3">
        <v>1777264</v>
      </c>
      <c r="W52" s="3">
        <f>3673217+1777264</f>
        <v>5450481</v>
      </c>
      <c r="Y52" s="3">
        <v>10920884</v>
      </c>
      <c r="AA52" s="3">
        <f t="shared" si="4"/>
        <v>3928768</v>
      </c>
      <c r="AC52" s="3">
        <v>4004277</v>
      </c>
      <c r="AE52" s="3">
        <v>18853929</v>
      </c>
      <c r="AG52" s="3">
        <f t="shared" si="3"/>
        <v>0</v>
      </c>
      <c r="AI52" s="3">
        <f t="shared" si="0"/>
        <v>0</v>
      </c>
    </row>
    <row r="53" spans="1:35">
      <c r="A53" s="3" t="s">
        <v>365</v>
      </c>
      <c r="C53" s="3" t="s">
        <v>152</v>
      </c>
      <c r="E53" s="12">
        <v>51532</v>
      </c>
      <c r="G53" s="3">
        <f t="shared" si="1"/>
        <v>14051884</v>
      </c>
      <c r="I53" s="3">
        <f>647488+3783023</f>
        <v>4430511</v>
      </c>
      <c r="K53" s="3">
        <v>0</v>
      </c>
      <c r="M53" s="3">
        <v>18482395</v>
      </c>
      <c r="O53" s="3">
        <f t="shared" si="2"/>
        <v>952047</v>
      </c>
      <c r="Q53" s="3">
        <v>536781</v>
      </c>
      <c r="S53" s="3">
        <f>3241009-536781</f>
        <v>2704228</v>
      </c>
      <c r="U53" s="3">
        <v>3960600</v>
      </c>
      <c r="W53" s="3">
        <v>8153656</v>
      </c>
      <c r="Y53" s="3">
        <v>1928112</v>
      </c>
      <c r="AA53" s="3">
        <f t="shared" si="4"/>
        <v>126765</v>
      </c>
      <c r="AC53" s="3">
        <v>8273862</v>
      </c>
      <c r="AE53" s="3">
        <v>10328739</v>
      </c>
      <c r="AG53" s="3">
        <f>+M53-W53-AE53</f>
        <v>0</v>
      </c>
      <c r="AI53" s="3">
        <f t="shared" si="0"/>
        <v>0</v>
      </c>
    </row>
    <row r="54" spans="1:35">
      <c r="A54" s="3" t="s">
        <v>219</v>
      </c>
      <c r="C54" s="3" t="s">
        <v>195</v>
      </c>
      <c r="E54" s="12">
        <v>62026</v>
      </c>
      <c r="G54" s="3">
        <f t="shared" si="1"/>
        <v>12612759</v>
      </c>
      <c r="I54" s="3">
        <v>5584054</v>
      </c>
      <c r="K54" s="3">
        <v>0</v>
      </c>
      <c r="M54" s="3">
        <v>18196813</v>
      </c>
      <c r="O54" s="3">
        <f t="shared" si="2"/>
        <v>888303</v>
      </c>
      <c r="Q54" s="3">
        <v>88760</v>
      </c>
      <c r="S54" s="3">
        <f>840881-88760</f>
        <v>752121</v>
      </c>
      <c r="U54" s="3">
        <v>1929732</v>
      </c>
      <c r="W54" s="3">
        <f>1729184+1929732</f>
        <v>3658916</v>
      </c>
      <c r="Y54" s="3">
        <v>5584054</v>
      </c>
      <c r="AA54" s="3">
        <f t="shared" si="4"/>
        <v>23519</v>
      </c>
      <c r="AC54" s="3">
        <v>8930324</v>
      </c>
      <c r="AE54" s="3">
        <v>14537897</v>
      </c>
      <c r="AG54" s="3">
        <f>+M54-W54-AE54</f>
        <v>0</v>
      </c>
      <c r="AI54" s="3">
        <f t="shared" si="0"/>
        <v>0</v>
      </c>
    </row>
    <row r="55" spans="1:35">
      <c r="A55" s="3" t="s">
        <v>272</v>
      </c>
      <c r="B55" s="103"/>
      <c r="C55" s="103" t="s">
        <v>214</v>
      </c>
      <c r="E55" s="103">
        <v>63511</v>
      </c>
      <c r="G55" s="3">
        <f t="shared" si="1"/>
        <v>17200816</v>
      </c>
      <c r="I55" s="3">
        <f>150000+15910620</f>
        <v>16060620</v>
      </c>
      <c r="K55" s="3">
        <v>0</v>
      </c>
      <c r="M55" s="3">
        <v>33261436</v>
      </c>
      <c r="O55" s="3">
        <f t="shared" si="2"/>
        <v>1141093</v>
      </c>
      <c r="Q55" s="3">
        <v>893734</v>
      </c>
      <c r="S55" s="3">
        <f>4072201-893734</f>
        <v>3178467</v>
      </c>
      <c r="U55" s="3">
        <v>6542328</v>
      </c>
      <c r="W55" s="3">
        <f>5213294+6542328</f>
        <v>11755622</v>
      </c>
      <c r="Y55" s="3">
        <v>12387040</v>
      </c>
      <c r="AA55" s="3">
        <f t="shared" si="4"/>
        <v>348297</v>
      </c>
      <c r="AC55" s="3">
        <v>8770477</v>
      </c>
      <c r="AE55" s="3">
        <v>21505814</v>
      </c>
      <c r="AG55" s="3">
        <f t="shared" ref="AG55:AG56" si="5">+M55-W55-AE55</f>
        <v>0</v>
      </c>
      <c r="AI55" s="3">
        <f t="shared" si="0"/>
        <v>0</v>
      </c>
    </row>
    <row r="56" spans="1:35">
      <c r="A56" s="3" t="s">
        <v>285</v>
      </c>
      <c r="C56" s="3" t="s">
        <v>145</v>
      </c>
      <c r="E56" s="12">
        <v>51607</v>
      </c>
      <c r="G56" s="3">
        <f t="shared" si="1"/>
        <v>7457798</v>
      </c>
      <c r="I56" s="3">
        <f>317615+1217501</f>
        <v>1535116</v>
      </c>
      <c r="K56" s="3">
        <v>0</v>
      </c>
      <c r="M56" s="3">
        <v>8992914</v>
      </c>
      <c r="O56" s="3">
        <f t="shared" si="2"/>
        <v>583572</v>
      </c>
      <c r="Q56" s="3">
        <v>97720</v>
      </c>
      <c r="S56" s="3">
        <f>447015-97720</f>
        <v>349295</v>
      </c>
      <c r="U56" s="3">
        <v>2592590</v>
      </c>
      <c r="W56" s="3">
        <f>1030587+2592590</f>
        <v>3623177</v>
      </c>
      <c r="Y56" s="3">
        <v>1535116</v>
      </c>
      <c r="AA56" s="3">
        <f t="shared" si="4"/>
        <v>374602</v>
      </c>
      <c r="AC56" s="3">
        <v>3460019</v>
      </c>
      <c r="AE56" s="3">
        <v>5369737</v>
      </c>
      <c r="AG56" s="3">
        <f t="shared" si="5"/>
        <v>0</v>
      </c>
      <c r="AI56" s="3">
        <f t="shared" si="0"/>
        <v>0</v>
      </c>
    </row>
    <row r="57" spans="1:35">
      <c r="A57" s="3" t="s">
        <v>215</v>
      </c>
      <c r="C57" s="3" t="s">
        <v>216</v>
      </c>
      <c r="E57" s="12">
        <v>65268</v>
      </c>
      <c r="G57" s="3">
        <f t="shared" si="1"/>
        <v>7788718</v>
      </c>
      <c r="I57" s="3">
        <f>1643963+5814657</f>
        <v>7458620</v>
      </c>
      <c r="K57" s="3">
        <v>0</v>
      </c>
      <c r="M57" s="3">
        <v>15247338</v>
      </c>
      <c r="O57" s="3">
        <f t="shared" si="2"/>
        <v>939467</v>
      </c>
      <c r="Q57" s="3">
        <v>304908</v>
      </c>
      <c r="S57" s="3">
        <f>2448956-304908</f>
        <v>2144048</v>
      </c>
      <c r="U57" s="3">
        <v>2455573</v>
      </c>
      <c r="W57" s="3">
        <f>3388423+2455573</f>
        <v>5843996</v>
      </c>
      <c r="Y57" s="3">
        <v>6628723</v>
      </c>
      <c r="AA57" s="3">
        <f t="shared" si="4"/>
        <v>27148</v>
      </c>
      <c r="AC57" s="3">
        <v>2747471</v>
      </c>
      <c r="AE57" s="3">
        <v>9403342</v>
      </c>
      <c r="AG57" s="3">
        <f t="shared" si="3"/>
        <v>0</v>
      </c>
      <c r="AI57" s="3">
        <f t="shared" si="0"/>
        <v>0</v>
      </c>
    </row>
    <row r="58" spans="1:35">
      <c r="A58" s="3" t="s">
        <v>366</v>
      </c>
      <c r="C58" s="3" t="s">
        <v>197</v>
      </c>
      <c r="E58" s="12">
        <v>51631</v>
      </c>
      <c r="G58" s="3">
        <f t="shared" si="1"/>
        <v>16284623</v>
      </c>
      <c r="I58" s="3">
        <v>8556739</v>
      </c>
      <c r="K58" s="3">
        <v>0</v>
      </c>
      <c r="M58" s="3">
        <v>24841362</v>
      </c>
      <c r="O58" s="3">
        <f t="shared" si="2"/>
        <v>1610143</v>
      </c>
      <c r="Q58" s="3">
        <v>557364</v>
      </c>
      <c r="S58" s="3">
        <f>7033441-557364</f>
        <v>6476077</v>
      </c>
      <c r="U58" s="3">
        <v>5002398</v>
      </c>
      <c r="W58" s="3">
        <f>8643584+5002398</f>
        <v>13645982</v>
      </c>
      <c r="Y58" s="3">
        <v>3307739</v>
      </c>
      <c r="AA58" s="3">
        <f t="shared" si="4"/>
        <v>63952</v>
      </c>
      <c r="AC58" s="3">
        <v>7823689</v>
      </c>
      <c r="AE58" s="3">
        <v>11195380</v>
      </c>
      <c r="AG58" s="3">
        <f t="shared" si="3"/>
        <v>0</v>
      </c>
      <c r="AI58" s="3">
        <f t="shared" si="0"/>
        <v>0</v>
      </c>
    </row>
    <row r="59" spans="1:35">
      <c r="A59" s="3" t="s">
        <v>206</v>
      </c>
      <c r="C59" s="3" t="s">
        <v>154</v>
      </c>
      <c r="E59" s="12">
        <v>62802</v>
      </c>
      <c r="G59" s="3">
        <f t="shared" si="1"/>
        <v>15426994</v>
      </c>
      <c r="I59" s="3">
        <f>106498+2248054</f>
        <v>2354552</v>
      </c>
      <c r="K59" s="3">
        <v>0</v>
      </c>
      <c r="M59" s="3">
        <v>17781546</v>
      </c>
      <c r="O59" s="3">
        <f t="shared" si="2"/>
        <v>669981</v>
      </c>
      <c r="Q59" s="3">
        <v>180184</v>
      </c>
      <c r="S59" s="3">
        <f>624067-180184</f>
        <v>443883</v>
      </c>
      <c r="U59" s="3">
        <v>2872949</v>
      </c>
      <c r="W59" s="3">
        <v>4166997</v>
      </c>
      <c r="Y59" s="3">
        <v>2354552</v>
      </c>
      <c r="AA59" s="3">
        <f t="shared" si="4"/>
        <v>271374</v>
      </c>
      <c r="AC59" s="3">
        <v>10988623</v>
      </c>
      <c r="AE59" s="3">
        <v>13614549</v>
      </c>
      <c r="AG59" s="3">
        <f t="shared" si="3"/>
        <v>0</v>
      </c>
      <c r="AI59" s="3">
        <f t="shared" si="0"/>
        <v>0</v>
      </c>
    </row>
    <row r="60" spans="1:35">
      <c r="A60" s="3" t="s">
        <v>354</v>
      </c>
      <c r="C60" s="3" t="s">
        <v>180</v>
      </c>
      <c r="E60" s="12">
        <v>62125</v>
      </c>
      <c r="G60" s="3">
        <f t="shared" si="1"/>
        <v>14721301</v>
      </c>
      <c r="I60" s="3">
        <v>37038632</v>
      </c>
      <c r="K60" s="3">
        <v>0</v>
      </c>
      <c r="M60" s="3">
        <v>51759933</v>
      </c>
      <c r="O60" s="3">
        <f t="shared" si="2"/>
        <v>1639669</v>
      </c>
      <c r="Q60" s="3">
        <v>1449243</v>
      </c>
      <c r="S60" s="3">
        <f>6978503-1449243</f>
        <v>5529260</v>
      </c>
      <c r="U60" s="3">
        <v>5535909</v>
      </c>
      <c r="W60" s="3">
        <f>8618172+5535909</f>
        <v>14154081</v>
      </c>
      <c r="Y60" s="3">
        <v>31934000</v>
      </c>
      <c r="AA60" s="3">
        <f t="shared" si="4"/>
        <v>2863797</v>
      </c>
      <c r="AC60" s="3">
        <v>2808055</v>
      </c>
      <c r="AE60" s="3">
        <v>37605852</v>
      </c>
      <c r="AG60" s="3">
        <f t="shared" si="3"/>
        <v>0</v>
      </c>
      <c r="AI60" s="3">
        <f t="shared" si="0"/>
        <v>0</v>
      </c>
    </row>
    <row r="61" spans="1:35">
      <c r="A61" s="3" t="s">
        <v>250</v>
      </c>
      <c r="C61" s="3" t="s">
        <v>191</v>
      </c>
      <c r="E61" s="12">
        <v>51458</v>
      </c>
      <c r="G61" s="3">
        <f t="shared" si="1"/>
        <v>19826810</v>
      </c>
      <c r="I61" s="3">
        <v>38474598</v>
      </c>
      <c r="K61" s="3">
        <v>0</v>
      </c>
      <c r="M61" s="3">
        <v>58301408</v>
      </c>
      <c r="O61" s="3">
        <f t="shared" si="2"/>
        <v>1407474</v>
      </c>
      <c r="Q61" s="3">
        <v>471670</v>
      </c>
      <c r="S61" s="3">
        <f>5889971-471670</f>
        <v>5418301</v>
      </c>
      <c r="U61" s="3">
        <v>3389858</v>
      </c>
      <c r="W61" s="3">
        <f>7297445+3389858</f>
        <v>10687303</v>
      </c>
      <c r="Y61" s="3">
        <v>33657662</v>
      </c>
      <c r="AA61" s="3">
        <f t="shared" si="4"/>
        <v>2320054</v>
      </c>
      <c r="AC61" s="3">
        <v>11636389</v>
      </c>
      <c r="AE61" s="3">
        <v>47614105</v>
      </c>
      <c r="AG61" s="3">
        <f>+M61-W61-AE61</f>
        <v>0</v>
      </c>
      <c r="AI61" s="3">
        <f t="shared" si="0"/>
        <v>0</v>
      </c>
    </row>
    <row r="62" spans="1:35">
      <c r="A62" s="3" t="s">
        <v>251</v>
      </c>
      <c r="C62" s="3" t="s">
        <v>200</v>
      </c>
      <c r="E62" s="12">
        <v>51672</v>
      </c>
      <c r="G62" s="3">
        <f t="shared" si="1"/>
        <v>13585902</v>
      </c>
      <c r="I62" s="3">
        <v>36921464</v>
      </c>
      <c r="K62" s="3">
        <v>0</v>
      </c>
      <c r="M62" s="3">
        <v>50507366</v>
      </c>
      <c r="O62" s="3">
        <f t="shared" si="2"/>
        <v>886612</v>
      </c>
      <c r="Q62" s="3">
        <v>548083</v>
      </c>
      <c r="S62" s="3">
        <f>17066498-548083</f>
        <v>16518415</v>
      </c>
      <c r="U62" s="3">
        <v>3695316</v>
      </c>
      <c r="W62" s="3">
        <f>17953110+3695316</f>
        <v>21648426</v>
      </c>
      <c r="Y62" s="3">
        <v>20560934</v>
      </c>
      <c r="AA62" s="3">
        <f t="shared" si="4"/>
        <v>3213344</v>
      </c>
      <c r="AC62" s="3">
        <v>5084662</v>
      </c>
      <c r="AE62" s="3">
        <v>28858940</v>
      </c>
      <c r="AG62" s="3">
        <f t="shared" si="3"/>
        <v>0</v>
      </c>
      <c r="AI62" s="3">
        <f t="shared" si="0"/>
        <v>0</v>
      </c>
    </row>
    <row r="63" spans="1:35">
      <c r="A63" s="3" t="s">
        <v>385</v>
      </c>
      <c r="C63" s="3" t="s">
        <v>201</v>
      </c>
      <c r="E63" s="12">
        <v>51474</v>
      </c>
      <c r="G63" s="3">
        <f t="shared" si="1"/>
        <v>26747209</v>
      </c>
      <c r="I63" s="3">
        <f>456000+9547403</f>
        <v>10003403</v>
      </c>
      <c r="K63" s="3">
        <v>0</v>
      </c>
      <c r="M63" s="3">
        <v>36750612</v>
      </c>
      <c r="O63" s="3">
        <f t="shared" si="2"/>
        <v>1097050</v>
      </c>
      <c r="Q63" s="3">
        <v>692513</v>
      </c>
      <c r="S63" s="3">
        <f>6597647-692513</f>
        <v>5905134</v>
      </c>
      <c r="U63" s="3">
        <v>7154140</v>
      </c>
      <c r="W63" s="3">
        <f>7694697+7154140</f>
        <v>14848837</v>
      </c>
      <c r="Y63" s="3">
        <v>3732963</v>
      </c>
      <c r="AA63" s="3">
        <f t="shared" si="4"/>
        <v>7708073</v>
      </c>
      <c r="AC63" s="3">
        <v>10460739</v>
      </c>
      <c r="AE63" s="3">
        <v>21901775</v>
      </c>
      <c r="AG63" s="3">
        <f t="shared" si="3"/>
        <v>0</v>
      </c>
      <c r="AI63" s="3">
        <f t="shared" si="0"/>
        <v>0</v>
      </c>
    </row>
    <row r="64" spans="1:35">
      <c r="A64" s="3" t="s">
        <v>264</v>
      </c>
      <c r="C64" s="3" t="s">
        <v>202</v>
      </c>
      <c r="E64" s="12">
        <v>51698</v>
      </c>
      <c r="G64" s="3">
        <f t="shared" si="1"/>
        <v>6461520</v>
      </c>
      <c r="I64" s="3">
        <f>48000+6966058</f>
        <v>7014058</v>
      </c>
      <c r="K64" s="3">
        <v>0</v>
      </c>
      <c r="M64" s="3">
        <v>13475578</v>
      </c>
      <c r="O64" s="3">
        <f t="shared" si="2"/>
        <v>543967</v>
      </c>
      <c r="Q64" s="3">
        <v>126786</v>
      </c>
      <c r="S64" s="3">
        <f>2754520-126786</f>
        <v>2627734</v>
      </c>
      <c r="U64" s="3">
        <v>2016502</v>
      </c>
      <c r="W64" s="3">
        <f>3298487+2016502</f>
        <v>5314989</v>
      </c>
      <c r="Y64" s="3">
        <v>4741140</v>
      </c>
      <c r="AA64" s="3">
        <f t="shared" si="4"/>
        <v>711381</v>
      </c>
      <c r="AC64" s="3">
        <v>2708068</v>
      </c>
      <c r="AE64" s="3">
        <v>8160589</v>
      </c>
      <c r="AG64" s="3">
        <f>+M64-W64-AE64</f>
        <v>0</v>
      </c>
      <c r="AI64" s="3">
        <f t="shared" si="0"/>
        <v>0</v>
      </c>
    </row>
    <row r="65" spans="1:35">
      <c r="A65" s="3" t="s">
        <v>352</v>
      </c>
      <c r="C65" s="3" t="s">
        <v>203</v>
      </c>
      <c r="E65" s="12">
        <v>51714</v>
      </c>
      <c r="G65" s="3">
        <f t="shared" si="1"/>
        <v>18099363</v>
      </c>
      <c r="I65" s="3">
        <f>612773+27322317</f>
        <v>27935090</v>
      </c>
      <c r="K65" s="3">
        <v>0</v>
      </c>
      <c r="M65" s="3">
        <v>46034453</v>
      </c>
      <c r="O65" s="3">
        <f t="shared" si="2"/>
        <v>1189731</v>
      </c>
      <c r="Q65" s="3">
        <v>1089655</v>
      </c>
      <c r="S65" s="3">
        <f>6079140-1089655</f>
        <v>4989485</v>
      </c>
      <c r="U65" s="3">
        <v>5102648</v>
      </c>
      <c r="W65" s="3">
        <v>12371519</v>
      </c>
      <c r="Y65" s="3">
        <v>22475090</v>
      </c>
      <c r="AA65" s="3">
        <f t="shared" si="4"/>
        <v>4685556</v>
      </c>
      <c r="AC65" s="3">
        <v>6502288</v>
      </c>
      <c r="AE65" s="3">
        <v>33662934</v>
      </c>
      <c r="AG65" s="3">
        <f t="shared" si="3"/>
        <v>0</v>
      </c>
      <c r="AI65" s="3">
        <f t="shared" si="0"/>
        <v>0</v>
      </c>
    </row>
    <row r="67" spans="1:35">
      <c r="AE67" s="16"/>
    </row>
    <row r="68" spans="1:35">
      <c r="A68" s="13" t="s">
        <v>253</v>
      </c>
    </row>
    <row r="69" spans="1:35">
      <c r="A69" s="13"/>
    </row>
    <row r="70" spans="1:35" s="58" customFormat="1" hidden="1">
      <c r="A70" s="58" t="s">
        <v>327</v>
      </c>
      <c r="C70" s="58" t="s">
        <v>260</v>
      </c>
      <c r="E70" s="75">
        <v>45740</v>
      </c>
      <c r="G70" s="58">
        <f>+M70-I70-K70</f>
        <v>0</v>
      </c>
      <c r="I70" s="58">
        <v>0</v>
      </c>
      <c r="K70" s="58">
        <v>0</v>
      </c>
      <c r="M70" s="58">
        <v>0</v>
      </c>
      <c r="O70" s="58">
        <f>+W70-Q70-S70-U70</f>
        <v>0</v>
      </c>
      <c r="AA70" s="58">
        <f t="shared" si="4"/>
        <v>0</v>
      </c>
      <c r="AG70" s="58">
        <f t="shared" ref="AG70:AG75" si="6">+M70-W70-AE70</f>
        <v>0</v>
      </c>
      <c r="AI70" s="58">
        <f>+G70+I70+K70-O70-Q70-Y70-AA70-AC70-S70-U70</f>
        <v>0</v>
      </c>
    </row>
    <row r="71" spans="1:35" s="58" customFormat="1" hidden="1">
      <c r="A71" s="58" t="s">
        <v>328</v>
      </c>
      <c r="C71" s="58" t="s">
        <v>144</v>
      </c>
      <c r="E71" s="75">
        <v>45849</v>
      </c>
      <c r="G71" s="58">
        <f>+M71-I71-K71</f>
        <v>0</v>
      </c>
      <c r="O71" s="58">
        <f>+W71-Q71-S71-U71</f>
        <v>0</v>
      </c>
      <c r="AA71" s="58">
        <f t="shared" si="4"/>
        <v>0</v>
      </c>
      <c r="AG71" s="58">
        <f t="shared" si="6"/>
        <v>0</v>
      </c>
      <c r="AI71" s="58">
        <f t="shared" ref="AI71:AI131" si="7">+G71+I71+K71-O71-Q71-Y71-AA71-AC71-S71-U71</f>
        <v>0</v>
      </c>
    </row>
    <row r="72" spans="1:35">
      <c r="A72" s="3" t="s">
        <v>148</v>
      </c>
      <c r="C72" s="3" t="s">
        <v>145</v>
      </c>
      <c r="E72" s="103">
        <v>135145</v>
      </c>
      <c r="G72" s="19">
        <f>+M72-I72-K72</f>
        <v>2012734</v>
      </c>
      <c r="H72" s="19"/>
      <c r="I72" s="19">
        <f>8230+2353786</f>
        <v>2362016</v>
      </c>
      <c r="J72" s="19"/>
      <c r="K72" s="19">
        <v>0</v>
      </c>
      <c r="L72" s="19"/>
      <c r="M72" s="19">
        <v>4374750</v>
      </c>
      <c r="N72" s="19"/>
      <c r="O72" s="19">
        <f>+W72-Q72-S72-U72</f>
        <v>941362</v>
      </c>
      <c r="P72" s="19"/>
      <c r="Q72" s="19">
        <v>6933</v>
      </c>
      <c r="R72" s="19"/>
      <c r="S72" s="19">
        <v>135549</v>
      </c>
      <c r="T72" s="19"/>
      <c r="U72" s="19">
        <v>0</v>
      </c>
      <c r="V72" s="19"/>
      <c r="W72" s="19">
        <v>1083844</v>
      </c>
      <c r="X72" s="19"/>
      <c r="Y72" s="19">
        <v>2362016</v>
      </c>
      <c r="Z72" s="19"/>
      <c r="AA72" s="19">
        <f t="shared" si="4"/>
        <v>450519</v>
      </c>
      <c r="AB72" s="19"/>
      <c r="AC72" s="19">
        <v>478371</v>
      </c>
      <c r="AD72" s="19"/>
      <c r="AE72" s="19">
        <v>3290906</v>
      </c>
      <c r="AG72" s="3">
        <f>+M72-W72-AE72</f>
        <v>0</v>
      </c>
      <c r="AI72" s="3">
        <f t="shared" si="7"/>
        <v>0</v>
      </c>
    </row>
    <row r="73" spans="1:35" s="58" customFormat="1" hidden="1">
      <c r="A73" s="58" t="s">
        <v>329</v>
      </c>
      <c r="C73" s="58" t="s">
        <v>261</v>
      </c>
      <c r="E73" s="59">
        <v>45930</v>
      </c>
      <c r="G73" s="58">
        <f>+M73-I73-K73</f>
        <v>0</v>
      </c>
      <c r="O73" s="58">
        <f>+W73-Q73-S73-U73</f>
        <v>0</v>
      </c>
      <c r="AA73" s="58">
        <f t="shared" si="4"/>
        <v>0</v>
      </c>
      <c r="AG73" s="58">
        <f t="shared" si="6"/>
        <v>0</v>
      </c>
      <c r="AI73" s="58">
        <f t="shared" si="7"/>
        <v>0</v>
      </c>
    </row>
    <row r="74" spans="1:35">
      <c r="A74" s="103" t="s">
        <v>286</v>
      </c>
      <c r="C74" s="3" t="s">
        <v>150</v>
      </c>
      <c r="E74" s="103">
        <v>46029</v>
      </c>
      <c r="G74" s="3">
        <f t="shared" ref="G74:G131" si="8">+M74-I74-K74</f>
        <v>2157411</v>
      </c>
      <c r="I74" s="3">
        <v>22973</v>
      </c>
      <c r="K74" s="3">
        <v>0</v>
      </c>
      <c r="M74" s="3">
        <v>2180384</v>
      </c>
      <c r="O74" s="3">
        <f>+W74-Q74-S74-U74</f>
        <v>520670</v>
      </c>
      <c r="Q74" s="3">
        <v>42498</v>
      </c>
      <c r="S74" s="3">
        <v>135878</v>
      </c>
      <c r="U74" s="3">
        <v>0</v>
      </c>
      <c r="W74" s="3">
        <v>699046</v>
      </c>
      <c r="Y74" s="3">
        <v>22973</v>
      </c>
      <c r="AA74" s="3">
        <f t="shared" si="4"/>
        <v>0</v>
      </c>
      <c r="AC74" s="3">
        <v>1458365</v>
      </c>
      <c r="AE74" s="3">
        <v>1481338</v>
      </c>
      <c r="AG74" s="3">
        <f t="shared" si="6"/>
        <v>0</v>
      </c>
      <c r="AI74" s="3">
        <f t="shared" si="7"/>
        <v>0</v>
      </c>
    </row>
    <row r="75" spans="1:35">
      <c r="A75" s="103" t="s">
        <v>287</v>
      </c>
      <c r="C75" s="3" t="s">
        <v>147</v>
      </c>
      <c r="E75" s="103">
        <v>46086</v>
      </c>
      <c r="G75" s="3">
        <f t="shared" si="8"/>
        <v>6401907</v>
      </c>
      <c r="I75" s="3">
        <f>477184+2398509</f>
        <v>2875693</v>
      </c>
      <c r="K75" s="3">
        <v>0</v>
      </c>
      <c r="M75" s="3">
        <v>9277600</v>
      </c>
      <c r="O75" s="3">
        <f t="shared" ref="O75:O131" si="9">+W75-Q75-S75-U75</f>
        <v>1517385</v>
      </c>
      <c r="Q75" s="3">
        <v>204305</v>
      </c>
      <c r="S75" s="3">
        <v>2975682</v>
      </c>
      <c r="U75" s="3">
        <v>0</v>
      </c>
      <c r="W75" s="3">
        <v>4697372</v>
      </c>
      <c r="Y75" s="3">
        <v>180693</v>
      </c>
      <c r="AA75" s="3">
        <f t="shared" si="4"/>
        <v>3115271</v>
      </c>
      <c r="AC75" s="3">
        <v>1284264</v>
      </c>
      <c r="AE75" s="3">
        <v>4580228</v>
      </c>
      <c r="AG75" s="3">
        <f t="shared" si="6"/>
        <v>0</v>
      </c>
      <c r="AI75" s="3">
        <f t="shared" si="7"/>
        <v>0</v>
      </c>
    </row>
    <row r="76" spans="1:35">
      <c r="A76" s="103" t="s">
        <v>288</v>
      </c>
      <c r="C76" s="3" t="s">
        <v>152</v>
      </c>
      <c r="E76" s="103">
        <v>46227</v>
      </c>
      <c r="G76" s="3">
        <f t="shared" si="8"/>
        <v>2028789</v>
      </c>
      <c r="I76" s="3">
        <v>415883</v>
      </c>
      <c r="K76" s="3">
        <v>0</v>
      </c>
      <c r="M76" s="3">
        <v>2444672</v>
      </c>
      <c r="O76" s="3">
        <f t="shared" si="9"/>
        <v>864678</v>
      </c>
      <c r="Q76" s="3">
        <v>79048</v>
      </c>
      <c r="S76" s="3">
        <v>112203</v>
      </c>
      <c r="U76" s="3">
        <v>0</v>
      </c>
      <c r="W76" s="3">
        <v>1055929</v>
      </c>
      <c r="Y76" s="3">
        <v>343394</v>
      </c>
      <c r="AA76" s="3">
        <f t="shared" si="4"/>
        <v>498984</v>
      </c>
      <c r="AC76" s="3">
        <v>546365</v>
      </c>
      <c r="AE76" s="3">
        <v>1388743</v>
      </c>
      <c r="AG76" s="3">
        <f t="shared" ref="AG76:AG131" si="10">+M76-W76-AE76</f>
        <v>0</v>
      </c>
      <c r="AI76" s="3">
        <f t="shared" si="7"/>
        <v>0</v>
      </c>
    </row>
    <row r="77" spans="1:35">
      <c r="A77" s="3" t="s">
        <v>153</v>
      </c>
      <c r="C77" s="3" t="s">
        <v>154</v>
      </c>
      <c r="E77" s="103">
        <v>46292</v>
      </c>
      <c r="G77" s="3">
        <f t="shared" si="8"/>
        <v>7143510</v>
      </c>
      <c r="I77" s="3">
        <v>91044</v>
      </c>
      <c r="K77" s="3">
        <v>0</v>
      </c>
      <c r="M77" s="3">
        <v>7234554</v>
      </c>
      <c r="O77" s="3">
        <f t="shared" si="9"/>
        <v>1614672</v>
      </c>
      <c r="Q77" s="3">
        <v>45997</v>
      </c>
      <c r="S77" s="3">
        <v>340398</v>
      </c>
      <c r="U77" s="3">
        <v>0</v>
      </c>
      <c r="W77" s="3">
        <v>2001067</v>
      </c>
      <c r="Y77" s="3">
        <v>91044</v>
      </c>
      <c r="AA77" s="3">
        <f t="shared" si="4"/>
        <v>41739</v>
      </c>
      <c r="AC77" s="3">
        <v>5100704</v>
      </c>
      <c r="AE77" s="3">
        <v>5233487</v>
      </c>
      <c r="AG77" s="3">
        <f>+M77-W77-AE77</f>
        <v>0</v>
      </c>
      <c r="AI77" s="3">
        <f t="shared" si="7"/>
        <v>0</v>
      </c>
    </row>
    <row r="78" spans="1:35" s="88" customFormat="1" hidden="1">
      <c r="A78" s="89" t="s">
        <v>276</v>
      </c>
      <c r="C78" s="88" t="s">
        <v>155</v>
      </c>
      <c r="E78" s="89">
        <v>46375</v>
      </c>
      <c r="G78" s="88">
        <f t="shared" si="8"/>
        <v>0</v>
      </c>
      <c r="I78" s="88">
        <v>0</v>
      </c>
      <c r="K78" s="88">
        <v>0</v>
      </c>
      <c r="M78" s="88">
        <v>0</v>
      </c>
      <c r="O78" s="88">
        <f t="shared" si="9"/>
        <v>0</v>
      </c>
      <c r="Q78" s="88">
        <v>0</v>
      </c>
      <c r="S78" s="88">
        <v>0</v>
      </c>
      <c r="U78" s="88">
        <v>0</v>
      </c>
      <c r="W78" s="88">
        <v>0</v>
      </c>
      <c r="Y78" s="88">
        <v>0</v>
      </c>
      <c r="AA78" s="88">
        <f t="shared" si="4"/>
        <v>0</v>
      </c>
      <c r="AC78" s="88">
        <v>0</v>
      </c>
      <c r="AE78" s="88">
        <v>0</v>
      </c>
      <c r="AG78" s="88">
        <f t="shared" si="10"/>
        <v>0</v>
      </c>
      <c r="AI78" s="58">
        <f t="shared" si="7"/>
        <v>0</v>
      </c>
    </row>
    <row r="79" spans="1:35">
      <c r="A79" s="103" t="s">
        <v>304</v>
      </c>
      <c r="C79" s="3" t="s">
        <v>156</v>
      </c>
      <c r="E79" s="103">
        <v>46417</v>
      </c>
      <c r="G79" s="3">
        <f t="shared" si="8"/>
        <v>1279504</v>
      </c>
      <c r="I79" s="3">
        <v>532435</v>
      </c>
      <c r="K79" s="3">
        <v>0</v>
      </c>
      <c r="M79" s="3">
        <v>1811939</v>
      </c>
      <c r="O79" s="3">
        <f t="shared" si="9"/>
        <v>951586</v>
      </c>
      <c r="Q79" s="3">
        <v>206921</v>
      </c>
      <c r="S79" s="3">
        <v>801128</v>
      </c>
      <c r="U79" s="3">
        <v>0</v>
      </c>
      <c r="W79" s="3">
        <v>1959635</v>
      </c>
      <c r="Y79" s="3">
        <v>110193</v>
      </c>
      <c r="AA79" s="3">
        <f t="shared" si="4"/>
        <v>9302</v>
      </c>
      <c r="AC79" s="3">
        <v>-267191</v>
      </c>
      <c r="AE79" s="3">
        <v>-147696</v>
      </c>
      <c r="AG79" s="3">
        <f t="shared" si="10"/>
        <v>0</v>
      </c>
      <c r="AI79" s="3">
        <f t="shared" si="7"/>
        <v>0</v>
      </c>
    </row>
    <row r="80" spans="1:35">
      <c r="A80" s="3" t="s">
        <v>306</v>
      </c>
      <c r="C80" s="3" t="s">
        <v>157</v>
      </c>
      <c r="E80" s="103">
        <v>46532</v>
      </c>
      <c r="G80" s="3">
        <f t="shared" si="8"/>
        <v>23129729</v>
      </c>
      <c r="I80" s="3">
        <f>536778+10846324</f>
        <v>11383102</v>
      </c>
      <c r="K80" s="3">
        <v>0</v>
      </c>
      <c r="M80" s="3">
        <v>34512831</v>
      </c>
      <c r="O80" s="3">
        <f t="shared" si="9"/>
        <v>5063238</v>
      </c>
      <c r="Q80" s="3">
        <v>1670976</v>
      </c>
      <c r="S80" s="3">
        <v>2759390</v>
      </c>
      <c r="U80" s="3">
        <v>0</v>
      </c>
      <c r="W80" s="3">
        <v>9493604</v>
      </c>
      <c r="Y80" s="3">
        <v>11350820</v>
      </c>
      <c r="AA80" s="3">
        <f t="shared" si="4"/>
        <v>176370</v>
      </c>
      <c r="AC80" s="3">
        <v>13492037</v>
      </c>
      <c r="AE80" s="3">
        <v>25019227</v>
      </c>
      <c r="AG80" s="3">
        <f t="shared" si="10"/>
        <v>0</v>
      </c>
      <c r="AI80" s="3">
        <f t="shared" si="7"/>
        <v>0</v>
      </c>
    </row>
    <row r="81" spans="1:35" s="58" customFormat="1" hidden="1">
      <c r="A81" s="58" t="s">
        <v>309</v>
      </c>
      <c r="C81" s="58" t="s">
        <v>158</v>
      </c>
      <c r="E81" s="59">
        <v>46615</v>
      </c>
      <c r="G81" s="58">
        <f t="shared" si="8"/>
        <v>0</v>
      </c>
      <c r="I81" s="58">
        <v>0</v>
      </c>
      <c r="K81" s="58">
        <v>0</v>
      </c>
      <c r="M81" s="58">
        <v>0</v>
      </c>
      <c r="O81" s="58">
        <f t="shared" si="9"/>
        <v>0</v>
      </c>
      <c r="Q81" s="58">
        <v>0</v>
      </c>
      <c r="S81" s="58">
        <v>0</v>
      </c>
      <c r="U81" s="58">
        <v>0</v>
      </c>
      <c r="W81" s="58">
        <v>0</v>
      </c>
      <c r="Y81" s="58">
        <v>0</v>
      </c>
      <c r="AA81" s="58">
        <f t="shared" si="4"/>
        <v>0</v>
      </c>
      <c r="AC81" s="58">
        <v>0</v>
      </c>
      <c r="AE81" s="58">
        <v>0</v>
      </c>
      <c r="AG81" s="58">
        <f t="shared" si="10"/>
        <v>0</v>
      </c>
      <c r="AI81" s="58">
        <f t="shared" si="7"/>
        <v>0</v>
      </c>
    </row>
    <row r="82" spans="1:35" s="88" customFormat="1" hidden="1">
      <c r="A82" s="88" t="s">
        <v>305</v>
      </c>
      <c r="C82" s="88" t="s">
        <v>159</v>
      </c>
      <c r="E82" s="89">
        <v>46730</v>
      </c>
      <c r="G82" s="88">
        <f t="shared" si="8"/>
        <v>0</v>
      </c>
      <c r="I82" s="88">
        <v>0</v>
      </c>
      <c r="K82" s="88">
        <v>0</v>
      </c>
      <c r="M82" s="88">
        <v>0</v>
      </c>
      <c r="O82" s="88">
        <f t="shared" si="9"/>
        <v>0</v>
      </c>
      <c r="Q82" s="88">
        <v>0</v>
      </c>
      <c r="S82" s="88">
        <v>0</v>
      </c>
      <c r="U82" s="88">
        <v>0</v>
      </c>
      <c r="W82" s="88">
        <v>0</v>
      </c>
      <c r="Y82" s="88">
        <v>0</v>
      </c>
      <c r="AA82" s="88">
        <f t="shared" si="4"/>
        <v>0</v>
      </c>
      <c r="AC82" s="88">
        <v>0</v>
      </c>
      <c r="AE82" s="88">
        <v>0</v>
      </c>
      <c r="AG82" s="88">
        <f t="shared" si="10"/>
        <v>0</v>
      </c>
      <c r="AI82" s="58">
        <f t="shared" si="7"/>
        <v>0</v>
      </c>
    </row>
    <row r="83" spans="1:35">
      <c r="A83" s="3" t="s">
        <v>303</v>
      </c>
      <c r="C83" s="3" t="s">
        <v>198</v>
      </c>
      <c r="E83" s="103">
        <v>50260</v>
      </c>
      <c r="G83" s="3">
        <f t="shared" si="8"/>
        <v>2411881</v>
      </c>
      <c r="I83" s="3">
        <v>1615402</v>
      </c>
      <c r="K83" s="3">
        <v>0</v>
      </c>
      <c r="M83" s="3">
        <v>4027283</v>
      </c>
      <c r="O83" s="3">
        <f t="shared" si="9"/>
        <v>1071433</v>
      </c>
      <c r="Q83" s="3">
        <v>245856</v>
      </c>
      <c r="S83" s="3">
        <v>504932</v>
      </c>
      <c r="U83" s="3">
        <v>0</v>
      </c>
      <c r="W83" s="3">
        <v>1822221</v>
      </c>
      <c r="Y83" s="3">
        <v>1145156</v>
      </c>
      <c r="AA83" s="3">
        <f t="shared" si="4"/>
        <v>107785</v>
      </c>
      <c r="AC83" s="3">
        <v>952121</v>
      </c>
      <c r="AE83" s="3">
        <v>2205062</v>
      </c>
      <c r="AG83" s="3">
        <f t="shared" si="10"/>
        <v>0</v>
      </c>
      <c r="AI83" s="3">
        <f t="shared" si="7"/>
        <v>0</v>
      </c>
    </row>
    <row r="84" spans="1:35">
      <c r="A84" s="3" t="s">
        <v>312</v>
      </c>
      <c r="C84" s="3" t="s">
        <v>162</v>
      </c>
      <c r="E84" s="12">
        <v>46938</v>
      </c>
      <c r="G84" s="3">
        <f t="shared" si="8"/>
        <v>20624410</v>
      </c>
      <c r="I84" s="3">
        <v>4810540</v>
      </c>
      <c r="K84" s="3">
        <v>0</v>
      </c>
      <c r="M84" s="3">
        <v>25434950</v>
      </c>
      <c r="O84" s="3">
        <f t="shared" si="9"/>
        <v>9395714</v>
      </c>
      <c r="Q84" s="3">
        <v>872173</v>
      </c>
      <c r="S84" s="3">
        <v>3586963</v>
      </c>
      <c r="U84" s="3">
        <v>0</v>
      </c>
      <c r="W84" s="3">
        <v>13854850</v>
      </c>
      <c r="Y84" s="3">
        <v>2439699</v>
      </c>
      <c r="AA84" s="3">
        <f>AE84-AC84-Y84</f>
        <v>398069</v>
      </c>
      <c r="AC84" s="3">
        <v>8742332</v>
      </c>
      <c r="AE84" s="3">
        <v>11580100</v>
      </c>
      <c r="AG84" s="3">
        <f>+M84-W84-AE84</f>
        <v>0</v>
      </c>
      <c r="AI84" s="3">
        <f t="shared" si="7"/>
        <v>0</v>
      </c>
    </row>
    <row r="85" spans="1:35" s="88" customFormat="1" hidden="1">
      <c r="A85" s="89" t="s">
        <v>274</v>
      </c>
      <c r="C85" s="88" t="s">
        <v>160</v>
      </c>
      <c r="E85" s="91">
        <v>125690</v>
      </c>
      <c r="G85" s="88">
        <f t="shared" si="8"/>
        <v>0</v>
      </c>
      <c r="I85" s="88">
        <v>0</v>
      </c>
      <c r="K85" s="88">
        <v>0</v>
      </c>
      <c r="M85" s="88">
        <v>0</v>
      </c>
      <c r="O85" s="88">
        <f t="shared" si="9"/>
        <v>0</v>
      </c>
      <c r="Q85" s="88">
        <v>0</v>
      </c>
      <c r="S85" s="88">
        <v>0</v>
      </c>
      <c r="U85" s="88">
        <v>0</v>
      </c>
      <c r="W85" s="88">
        <v>0</v>
      </c>
      <c r="Y85" s="88">
        <v>0</v>
      </c>
      <c r="AA85" s="88">
        <f t="shared" si="4"/>
        <v>0</v>
      </c>
      <c r="AC85" s="88">
        <v>0</v>
      </c>
      <c r="AE85" s="88">
        <v>0</v>
      </c>
      <c r="AG85" s="88">
        <f t="shared" si="10"/>
        <v>0</v>
      </c>
      <c r="AI85" s="58">
        <f t="shared" si="7"/>
        <v>0</v>
      </c>
    </row>
    <row r="86" spans="1:35">
      <c r="A86" s="3" t="s">
        <v>314</v>
      </c>
      <c r="C86" s="3" t="s">
        <v>161</v>
      </c>
      <c r="E86" s="12">
        <v>46839</v>
      </c>
      <c r="G86" s="3">
        <f t="shared" si="8"/>
        <v>2638159</v>
      </c>
      <c r="I86" s="3">
        <v>55958</v>
      </c>
      <c r="K86" s="3">
        <v>0</v>
      </c>
      <c r="M86" s="3">
        <v>2694117</v>
      </c>
      <c r="O86" s="3">
        <f t="shared" si="9"/>
        <v>1182469</v>
      </c>
      <c r="Q86" s="3">
        <v>74955</v>
      </c>
      <c r="S86" s="3">
        <v>192883</v>
      </c>
      <c r="U86" s="3">
        <v>0</v>
      </c>
      <c r="W86" s="3">
        <v>1450307</v>
      </c>
      <c r="Y86" s="3">
        <v>52080</v>
      </c>
      <c r="AA86" s="3">
        <f t="shared" si="4"/>
        <v>400000</v>
      </c>
      <c r="AC86" s="3">
        <v>791730</v>
      </c>
      <c r="AE86" s="3">
        <v>1243810</v>
      </c>
      <c r="AG86" s="3">
        <f>+M86-W86-AE86</f>
        <v>0</v>
      </c>
      <c r="AI86" s="3">
        <f t="shared" si="7"/>
        <v>0</v>
      </c>
    </row>
    <row r="87" spans="1:35">
      <c r="A87" s="3" t="s">
        <v>164</v>
      </c>
      <c r="C87" s="3" t="s">
        <v>165</v>
      </c>
      <c r="E87" s="12">
        <v>125682</v>
      </c>
      <c r="G87" s="3">
        <f t="shared" si="8"/>
        <v>1198467</v>
      </c>
      <c r="I87" s="3">
        <v>42646</v>
      </c>
      <c r="K87" s="3">
        <v>0</v>
      </c>
      <c r="M87" s="3">
        <v>1241113</v>
      </c>
      <c r="O87" s="3">
        <f t="shared" si="9"/>
        <v>82114</v>
      </c>
      <c r="Q87" s="3">
        <v>2297</v>
      </c>
      <c r="S87" s="3">
        <v>38544</v>
      </c>
      <c r="U87" s="3">
        <v>0</v>
      </c>
      <c r="W87" s="3">
        <v>122955</v>
      </c>
      <c r="Y87" s="3">
        <v>42646</v>
      </c>
      <c r="AA87" s="3">
        <f t="shared" si="4"/>
        <v>333</v>
      </c>
      <c r="AC87" s="3">
        <v>1075179</v>
      </c>
      <c r="AE87" s="3">
        <v>1118158</v>
      </c>
      <c r="AG87" s="3">
        <f t="shared" si="10"/>
        <v>0</v>
      </c>
      <c r="AI87" s="3">
        <f t="shared" si="7"/>
        <v>0</v>
      </c>
    </row>
    <row r="88" spans="1:35">
      <c r="A88" s="107" t="s">
        <v>313</v>
      </c>
      <c r="C88" s="3" t="s">
        <v>166</v>
      </c>
      <c r="E88" s="12">
        <v>47159</v>
      </c>
      <c r="G88" s="3">
        <f t="shared" si="8"/>
        <v>2431591</v>
      </c>
      <c r="I88" s="3">
        <v>25465</v>
      </c>
      <c r="K88" s="3">
        <v>0</v>
      </c>
      <c r="M88" s="3">
        <v>2457056</v>
      </c>
      <c r="O88" s="3">
        <f t="shared" si="9"/>
        <v>1217119</v>
      </c>
      <c r="Q88" s="3">
        <v>68944</v>
      </c>
      <c r="S88" s="3">
        <v>299848</v>
      </c>
      <c r="U88" s="3">
        <v>0</v>
      </c>
      <c r="W88" s="3">
        <v>1585911</v>
      </c>
      <c r="Y88" s="3">
        <v>25465</v>
      </c>
      <c r="AA88" s="3">
        <f t="shared" si="4"/>
        <v>27611</v>
      </c>
      <c r="AC88" s="3">
        <v>818069</v>
      </c>
      <c r="AE88" s="3">
        <v>871145</v>
      </c>
      <c r="AG88" s="3">
        <f t="shared" si="10"/>
        <v>0</v>
      </c>
      <c r="AI88" s="3">
        <f t="shared" si="7"/>
        <v>0</v>
      </c>
    </row>
    <row r="89" spans="1:35">
      <c r="A89" s="103" t="s">
        <v>291</v>
      </c>
      <c r="C89" s="3" t="s">
        <v>167</v>
      </c>
      <c r="E89" s="12">
        <v>47233</v>
      </c>
      <c r="G89" s="3">
        <f t="shared" si="8"/>
        <v>3401935</v>
      </c>
      <c r="I89" s="3">
        <f>161360+499397</f>
        <v>660757</v>
      </c>
      <c r="K89" s="3">
        <v>0</v>
      </c>
      <c r="M89" s="3">
        <v>4062692</v>
      </c>
      <c r="O89" s="3">
        <f t="shared" si="9"/>
        <v>1891686</v>
      </c>
      <c r="Q89" s="3">
        <v>58093</v>
      </c>
      <c r="S89" s="3">
        <v>864365</v>
      </c>
      <c r="U89" s="3">
        <v>0</v>
      </c>
      <c r="W89" s="3">
        <v>2814144</v>
      </c>
      <c r="Y89" s="3">
        <v>660757</v>
      </c>
      <c r="AA89" s="3">
        <f t="shared" ref="AA89:AA131" si="11">AE89-AC89-Y89</f>
        <v>110879</v>
      </c>
      <c r="AC89" s="3">
        <v>476912</v>
      </c>
      <c r="AE89" s="3">
        <v>1248548</v>
      </c>
      <c r="AG89" s="3">
        <f t="shared" si="10"/>
        <v>0</v>
      </c>
      <c r="AI89" s="3">
        <f t="shared" si="7"/>
        <v>0</v>
      </c>
    </row>
    <row r="90" spans="1:35">
      <c r="A90" s="103" t="s">
        <v>292</v>
      </c>
      <c r="C90" s="3" t="s">
        <v>168</v>
      </c>
      <c r="E90" s="12">
        <v>47324</v>
      </c>
      <c r="G90" s="3">
        <f t="shared" si="8"/>
        <v>16726621</v>
      </c>
      <c r="I90" s="3">
        <f>1398750+1083305</f>
        <v>2482055</v>
      </c>
      <c r="K90" s="3">
        <v>0</v>
      </c>
      <c r="M90" s="3">
        <v>19208676</v>
      </c>
      <c r="O90" s="3">
        <f t="shared" si="9"/>
        <v>4728366</v>
      </c>
      <c r="Q90" s="3">
        <v>569168</v>
      </c>
      <c r="S90" s="3">
        <v>5374109</v>
      </c>
      <c r="U90" s="3">
        <v>0</v>
      </c>
      <c r="W90" s="3">
        <v>10671643</v>
      </c>
      <c r="Y90" s="3">
        <v>393055</v>
      </c>
      <c r="AA90" s="3">
        <f t="shared" si="11"/>
        <v>2749809</v>
      </c>
      <c r="AC90" s="3">
        <v>5394169</v>
      </c>
      <c r="AE90" s="3">
        <v>8537033</v>
      </c>
      <c r="AG90" s="3">
        <f t="shared" si="10"/>
        <v>0</v>
      </c>
      <c r="AI90" s="3">
        <f t="shared" si="7"/>
        <v>0</v>
      </c>
    </row>
    <row r="91" spans="1:35">
      <c r="A91" s="103" t="s">
        <v>293</v>
      </c>
      <c r="C91" s="3" t="s">
        <v>169</v>
      </c>
      <c r="E91" s="12">
        <v>47407</v>
      </c>
      <c r="G91" s="3">
        <f t="shared" si="8"/>
        <v>1118808</v>
      </c>
      <c r="I91" s="3">
        <v>30462</v>
      </c>
      <c r="K91" s="3">
        <v>0</v>
      </c>
      <c r="M91" s="3">
        <v>1149270</v>
      </c>
      <c r="O91" s="3">
        <f t="shared" si="9"/>
        <v>676700</v>
      </c>
      <c r="Q91" s="3">
        <v>19817</v>
      </c>
      <c r="S91" s="3">
        <v>340362</v>
      </c>
      <c r="U91" s="3">
        <v>0</v>
      </c>
      <c r="W91" s="3">
        <v>1036879</v>
      </c>
      <c r="Y91" s="3">
        <v>30642</v>
      </c>
      <c r="AA91" s="3">
        <f t="shared" si="11"/>
        <v>642</v>
      </c>
      <c r="AC91" s="3">
        <v>81107</v>
      </c>
      <c r="AE91" s="3">
        <v>112391</v>
      </c>
      <c r="AG91" s="3">
        <f t="shared" si="10"/>
        <v>0</v>
      </c>
      <c r="AI91" s="3">
        <f t="shared" si="7"/>
        <v>0</v>
      </c>
    </row>
    <row r="92" spans="1:35" s="58" customFormat="1" hidden="1">
      <c r="A92" s="59" t="s">
        <v>349</v>
      </c>
      <c r="C92" s="58" t="s">
        <v>19</v>
      </c>
      <c r="E92" s="69">
        <v>47480</v>
      </c>
      <c r="G92" s="58">
        <f t="shared" si="8"/>
        <v>0</v>
      </c>
      <c r="I92" s="58">
        <v>0</v>
      </c>
      <c r="K92" s="58">
        <v>0</v>
      </c>
      <c r="M92" s="58">
        <v>0</v>
      </c>
      <c r="O92" s="58">
        <f t="shared" si="9"/>
        <v>0</v>
      </c>
      <c r="Q92" s="58">
        <v>0</v>
      </c>
      <c r="S92" s="58">
        <v>0</v>
      </c>
      <c r="U92" s="58">
        <v>0</v>
      </c>
      <c r="W92" s="58">
        <v>0</v>
      </c>
      <c r="Y92" s="58">
        <v>0</v>
      </c>
      <c r="AA92" s="58">
        <f t="shared" si="11"/>
        <v>0</v>
      </c>
      <c r="AC92" s="58">
        <v>0</v>
      </c>
      <c r="AE92" s="58">
        <v>0</v>
      </c>
      <c r="AG92" s="58">
        <f t="shared" si="10"/>
        <v>0</v>
      </c>
      <c r="AI92" s="58">
        <f t="shared" si="7"/>
        <v>0</v>
      </c>
    </row>
    <row r="93" spans="1:35">
      <c r="A93" s="103" t="s">
        <v>294</v>
      </c>
      <c r="C93" s="3" t="s">
        <v>170</v>
      </c>
      <c r="E93" s="12">
        <v>47779</v>
      </c>
      <c r="G93" s="3">
        <f t="shared" si="8"/>
        <v>3709218</v>
      </c>
      <c r="I93" s="3">
        <v>235715</v>
      </c>
      <c r="K93" s="3">
        <v>0</v>
      </c>
      <c r="M93" s="3">
        <v>3944933</v>
      </c>
      <c r="O93" s="3">
        <f t="shared" si="9"/>
        <v>293626</v>
      </c>
      <c r="Q93" s="3">
        <v>173564</v>
      </c>
      <c r="S93" s="3">
        <v>109062</v>
      </c>
      <c r="U93" s="3">
        <v>0</v>
      </c>
      <c r="W93" s="3">
        <v>576252</v>
      </c>
      <c r="Y93" s="3">
        <v>231294</v>
      </c>
      <c r="AA93" s="3">
        <f t="shared" si="11"/>
        <v>0</v>
      </c>
      <c r="AC93" s="3">
        <v>3137387</v>
      </c>
      <c r="AE93" s="3">
        <v>3368681</v>
      </c>
      <c r="AG93" s="3">
        <f t="shared" si="10"/>
        <v>0</v>
      </c>
      <c r="AI93" s="3">
        <f t="shared" si="7"/>
        <v>0</v>
      </c>
    </row>
    <row r="94" spans="1:35">
      <c r="A94" s="103" t="s">
        <v>295</v>
      </c>
      <c r="C94" s="3" t="s">
        <v>171</v>
      </c>
      <c r="E94" s="12">
        <v>47811</v>
      </c>
      <c r="G94" s="3">
        <v>666586</v>
      </c>
      <c r="I94" s="3">
        <v>147138</v>
      </c>
      <c r="K94" s="3">
        <v>0</v>
      </c>
      <c r="M94" s="3">
        <v>813724</v>
      </c>
      <c r="O94" s="3">
        <v>358207</v>
      </c>
      <c r="Q94" s="3">
        <v>17732</v>
      </c>
      <c r="S94" s="3">
        <v>70928</v>
      </c>
      <c r="U94" s="3">
        <v>0</v>
      </c>
      <c r="W94" s="3">
        <v>446867</v>
      </c>
      <c r="Y94" s="3">
        <v>147138</v>
      </c>
      <c r="AA94" s="3">
        <v>53938</v>
      </c>
      <c r="AC94" s="3">
        <v>165781</v>
      </c>
      <c r="AE94" s="3">
        <v>366857</v>
      </c>
      <c r="AG94" s="3">
        <v>0</v>
      </c>
      <c r="AI94" s="3">
        <v>0</v>
      </c>
    </row>
    <row r="95" spans="1:35">
      <c r="A95" s="103" t="s">
        <v>296</v>
      </c>
      <c r="C95" s="3" t="s">
        <v>146</v>
      </c>
      <c r="E95" s="12">
        <v>47860</v>
      </c>
      <c r="G95" s="3">
        <v>7990937</v>
      </c>
      <c r="I95" s="3">
        <v>25030</v>
      </c>
      <c r="K95" s="3">
        <v>0</v>
      </c>
      <c r="M95" s="3">
        <v>8015967</v>
      </c>
      <c r="O95" s="3">
        <v>6123946</v>
      </c>
      <c r="Q95" s="3">
        <v>76484</v>
      </c>
      <c r="S95" s="3">
        <v>48678</v>
      </c>
      <c r="U95" s="3">
        <v>0</v>
      </c>
      <c r="W95" s="3">
        <v>6249108</v>
      </c>
      <c r="Y95" s="3">
        <v>25030</v>
      </c>
      <c r="AA95" s="3">
        <v>851298</v>
      </c>
      <c r="AC95" s="3">
        <v>890531</v>
      </c>
      <c r="AE95" s="3">
        <v>1766859</v>
      </c>
      <c r="AG95" s="3">
        <v>0</v>
      </c>
      <c r="AI95" s="3">
        <v>0</v>
      </c>
    </row>
    <row r="96" spans="1:35">
      <c r="A96" s="103" t="s">
        <v>297</v>
      </c>
      <c r="C96" s="3" t="s">
        <v>172</v>
      </c>
      <c r="E96" s="12">
        <v>47910</v>
      </c>
      <c r="G96" s="3">
        <f t="shared" si="8"/>
        <v>1380009</v>
      </c>
      <c r="I96" s="3">
        <v>42053</v>
      </c>
      <c r="K96" s="3">
        <v>0</v>
      </c>
      <c r="M96" s="3">
        <v>1422062</v>
      </c>
      <c r="O96" s="3">
        <f t="shared" si="9"/>
        <v>117657</v>
      </c>
      <c r="Q96" s="3">
        <v>50719</v>
      </c>
      <c r="S96" s="3">
        <v>95334</v>
      </c>
      <c r="U96" s="3">
        <v>0</v>
      </c>
      <c r="W96" s="3">
        <v>263710</v>
      </c>
      <c r="Y96" s="3">
        <v>42053</v>
      </c>
      <c r="AA96" s="3">
        <f t="shared" si="11"/>
        <v>26232</v>
      </c>
      <c r="AC96" s="3">
        <v>1090067</v>
      </c>
      <c r="AE96" s="3">
        <v>1158352</v>
      </c>
      <c r="AG96" s="3">
        <f t="shared" si="10"/>
        <v>0</v>
      </c>
      <c r="AI96" s="3">
        <f t="shared" si="7"/>
        <v>0</v>
      </c>
    </row>
    <row r="97" spans="1:35" s="58" customFormat="1" hidden="1">
      <c r="A97" s="58" t="s">
        <v>386</v>
      </c>
      <c r="C97" s="58" t="s">
        <v>173</v>
      </c>
      <c r="E97" s="59">
        <v>47977</v>
      </c>
      <c r="G97" s="58">
        <f t="shared" si="8"/>
        <v>0</v>
      </c>
      <c r="I97" s="58">
        <v>0</v>
      </c>
      <c r="K97" s="58">
        <v>0</v>
      </c>
      <c r="M97" s="58">
        <v>0</v>
      </c>
      <c r="O97" s="58">
        <f t="shared" si="9"/>
        <v>0</v>
      </c>
      <c r="Q97" s="58">
        <v>0</v>
      </c>
      <c r="S97" s="58">
        <v>0</v>
      </c>
      <c r="U97" s="58">
        <v>0</v>
      </c>
      <c r="W97" s="58">
        <v>0</v>
      </c>
      <c r="Y97" s="58">
        <v>0</v>
      </c>
      <c r="AA97" s="58">
        <f>AE97-AC97-Y97</f>
        <v>0</v>
      </c>
      <c r="AC97" s="58">
        <v>0</v>
      </c>
      <c r="AE97" s="58">
        <v>0</v>
      </c>
      <c r="AG97" s="58">
        <f>+M97-W97-AE97</f>
        <v>0</v>
      </c>
      <c r="AI97" s="58">
        <f t="shared" si="7"/>
        <v>0</v>
      </c>
    </row>
    <row r="98" spans="1:35">
      <c r="A98" s="103" t="s">
        <v>298</v>
      </c>
      <c r="C98" s="3" t="s">
        <v>174</v>
      </c>
      <c r="E98" s="103">
        <v>48058</v>
      </c>
      <c r="G98" s="3">
        <f t="shared" si="8"/>
        <v>1515313</v>
      </c>
      <c r="I98" s="3">
        <v>31363</v>
      </c>
      <c r="K98" s="3">
        <v>0</v>
      </c>
      <c r="M98" s="3">
        <v>1546676</v>
      </c>
      <c r="O98" s="3">
        <f t="shared" si="9"/>
        <v>425771</v>
      </c>
      <c r="Q98" s="3">
        <v>28648</v>
      </c>
      <c r="S98" s="3">
        <v>65969</v>
      </c>
      <c r="U98" s="3">
        <v>0</v>
      </c>
      <c r="W98" s="3">
        <v>520388</v>
      </c>
      <c r="Y98" s="3">
        <v>31363</v>
      </c>
      <c r="AA98" s="3">
        <f t="shared" si="11"/>
        <v>534167</v>
      </c>
      <c r="AC98" s="3">
        <v>460758</v>
      </c>
      <c r="AE98" s="3">
        <v>1026288</v>
      </c>
      <c r="AG98" s="3">
        <f t="shared" si="10"/>
        <v>0</v>
      </c>
      <c r="AI98" s="3">
        <f t="shared" si="7"/>
        <v>0</v>
      </c>
    </row>
    <row r="99" spans="1:35" s="88" customFormat="1" hidden="1">
      <c r="A99" s="89" t="s">
        <v>351</v>
      </c>
      <c r="C99" s="88" t="s">
        <v>142</v>
      </c>
      <c r="E99" s="89">
        <v>48108</v>
      </c>
      <c r="G99" s="88">
        <f t="shared" si="8"/>
        <v>0</v>
      </c>
      <c r="I99" s="88">
        <v>0</v>
      </c>
      <c r="K99" s="88">
        <v>0</v>
      </c>
      <c r="M99" s="88">
        <v>0</v>
      </c>
      <c r="O99" s="88">
        <f t="shared" si="9"/>
        <v>0</v>
      </c>
      <c r="Q99" s="88">
        <v>0</v>
      </c>
      <c r="S99" s="88">
        <v>0</v>
      </c>
      <c r="U99" s="88">
        <v>0</v>
      </c>
      <c r="W99" s="88">
        <v>0</v>
      </c>
      <c r="Y99" s="88">
        <v>0</v>
      </c>
      <c r="AA99" s="88">
        <f t="shared" si="11"/>
        <v>0</v>
      </c>
      <c r="AC99" s="88">
        <v>0</v>
      </c>
      <c r="AE99" s="88">
        <v>0</v>
      </c>
      <c r="AG99" s="88">
        <f t="shared" si="10"/>
        <v>0</v>
      </c>
      <c r="AI99" s="88">
        <f t="shared" si="7"/>
        <v>0</v>
      </c>
    </row>
    <row r="100" spans="1:35">
      <c r="A100" s="103" t="s">
        <v>350</v>
      </c>
      <c r="C100" s="3" t="s">
        <v>175</v>
      </c>
      <c r="E100" s="103">
        <v>48199</v>
      </c>
      <c r="G100" s="3">
        <f t="shared" si="8"/>
        <v>5371645</v>
      </c>
      <c r="I100" s="3">
        <v>4887948</v>
      </c>
      <c r="K100" s="3">
        <v>0</v>
      </c>
      <c r="M100" s="3">
        <v>10259593</v>
      </c>
      <c r="O100" s="3">
        <f t="shared" si="9"/>
        <v>1922386</v>
      </c>
      <c r="Q100" s="3">
        <v>486859</v>
      </c>
      <c r="S100" s="3">
        <v>1355178</v>
      </c>
      <c r="U100" s="3">
        <v>0</v>
      </c>
      <c r="W100" s="3">
        <v>3764423</v>
      </c>
      <c r="Y100" s="3">
        <v>4884360</v>
      </c>
      <c r="AA100" s="3">
        <f t="shared" si="11"/>
        <v>401930</v>
      </c>
      <c r="AC100" s="3">
        <v>1208880</v>
      </c>
      <c r="AE100" s="3">
        <v>6495170</v>
      </c>
      <c r="AG100" s="3">
        <f t="shared" si="10"/>
        <v>0</v>
      </c>
      <c r="AI100" s="3">
        <f t="shared" si="7"/>
        <v>0</v>
      </c>
    </row>
    <row r="101" spans="1:35" s="58" customFormat="1" hidden="1">
      <c r="A101" s="58" t="s">
        <v>316</v>
      </c>
      <c r="C101" s="58" t="s">
        <v>151</v>
      </c>
      <c r="E101" s="59">
        <v>137364</v>
      </c>
      <c r="G101" s="58">
        <f t="shared" si="8"/>
        <v>0</v>
      </c>
      <c r="I101" s="58">
        <v>0</v>
      </c>
      <c r="K101" s="58">
        <v>0</v>
      </c>
      <c r="M101" s="58">
        <v>0</v>
      </c>
      <c r="O101" s="58">
        <f t="shared" si="9"/>
        <v>0</v>
      </c>
      <c r="Q101" s="58">
        <v>0</v>
      </c>
      <c r="S101" s="58">
        <v>0</v>
      </c>
      <c r="U101" s="58">
        <v>0</v>
      </c>
      <c r="W101" s="58">
        <v>0</v>
      </c>
      <c r="Y101" s="58">
        <v>0</v>
      </c>
      <c r="AA101" s="58">
        <f t="shared" si="11"/>
        <v>0</v>
      </c>
      <c r="AC101" s="58">
        <v>0</v>
      </c>
      <c r="AE101" s="58">
        <v>0</v>
      </c>
      <c r="AG101" s="58">
        <f t="shared" si="10"/>
        <v>0</v>
      </c>
      <c r="AI101" s="58">
        <f t="shared" si="7"/>
        <v>0</v>
      </c>
    </row>
    <row r="102" spans="1:35">
      <c r="A102" s="3" t="s">
        <v>317</v>
      </c>
      <c r="C102" s="3" t="s">
        <v>176</v>
      </c>
      <c r="E102" s="103">
        <v>48280</v>
      </c>
      <c r="G102" s="3">
        <f t="shared" si="8"/>
        <v>5346662</v>
      </c>
      <c r="I102" s="3">
        <v>137890</v>
      </c>
      <c r="K102" s="3">
        <v>0</v>
      </c>
      <c r="M102" s="3">
        <v>5484552</v>
      </c>
      <c r="O102" s="3">
        <f t="shared" si="9"/>
        <v>2874090</v>
      </c>
      <c r="Q102" s="3">
        <v>272460</v>
      </c>
      <c r="S102" s="3">
        <v>510338</v>
      </c>
      <c r="U102" s="3">
        <v>0</v>
      </c>
      <c r="W102" s="3">
        <v>3656888</v>
      </c>
      <c r="Y102" s="3">
        <v>100777</v>
      </c>
      <c r="AA102" s="3">
        <f t="shared" si="11"/>
        <v>700546</v>
      </c>
      <c r="AC102" s="3">
        <v>1026341</v>
      </c>
      <c r="AE102" s="3">
        <v>1827664</v>
      </c>
      <c r="AG102" s="3">
        <f t="shared" si="10"/>
        <v>0</v>
      </c>
      <c r="AI102" s="3">
        <f t="shared" si="7"/>
        <v>0</v>
      </c>
    </row>
    <row r="103" spans="1:35">
      <c r="A103" s="3" t="s">
        <v>177</v>
      </c>
      <c r="C103" s="3" t="s">
        <v>178</v>
      </c>
      <c r="E103" s="103">
        <v>48454</v>
      </c>
      <c r="G103" s="3">
        <f t="shared" si="8"/>
        <v>1249810</v>
      </c>
      <c r="I103" s="3">
        <v>131519</v>
      </c>
      <c r="K103" s="3">
        <v>0</v>
      </c>
      <c r="M103" s="3">
        <v>1381329</v>
      </c>
      <c r="O103" s="3">
        <f t="shared" si="9"/>
        <v>169982</v>
      </c>
      <c r="Q103" s="3">
        <v>36770</v>
      </c>
      <c r="S103" s="3">
        <v>46553</v>
      </c>
      <c r="U103" s="3">
        <v>0</v>
      </c>
      <c r="W103" s="3">
        <v>253305</v>
      </c>
      <c r="Y103" s="3">
        <v>131519</v>
      </c>
      <c r="AA103" s="3">
        <f t="shared" si="11"/>
        <v>444797</v>
      </c>
      <c r="AC103" s="3">
        <v>551708</v>
      </c>
      <c r="AE103" s="3">
        <v>1128024</v>
      </c>
      <c r="AG103" s="3">
        <f t="shared" si="10"/>
        <v>0</v>
      </c>
      <c r="AI103" s="3">
        <f t="shared" si="7"/>
        <v>0</v>
      </c>
    </row>
    <row r="104" spans="1:35" s="58" customFormat="1" hidden="1">
      <c r="A104" s="58" t="s">
        <v>318</v>
      </c>
      <c r="C104" s="58" t="s">
        <v>179</v>
      </c>
      <c r="E104" s="59">
        <v>48546</v>
      </c>
      <c r="G104" s="58">
        <f t="shared" si="8"/>
        <v>0</v>
      </c>
      <c r="I104" s="58">
        <v>0</v>
      </c>
      <c r="K104" s="58">
        <v>0</v>
      </c>
      <c r="M104" s="58">
        <v>0</v>
      </c>
      <c r="O104" s="58">
        <f t="shared" si="9"/>
        <v>0</v>
      </c>
      <c r="Q104" s="58">
        <v>0</v>
      </c>
      <c r="S104" s="58">
        <v>0</v>
      </c>
      <c r="U104" s="58">
        <v>0</v>
      </c>
      <c r="W104" s="58">
        <v>0</v>
      </c>
      <c r="Y104" s="58">
        <v>0</v>
      </c>
      <c r="AA104" s="58">
        <f t="shared" si="11"/>
        <v>0</v>
      </c>
      <c r="AC104" s="58">
        <v>0</v>
      </c>
      <c r="AE104" s="58">
        <v>0</v>
      </c>
      <c r="AG104" s="58">
        <f>+M104-W104-AE104</f>
        <v>0</v>
      </c>
      <c r="AI104" s="58">
        <f t="shared" si="7"/>
        <v>0</v>
      </c>
    </row>
    <row r="105" spans="1:35">
      <c r="A105" s="3" t="s">
        <v>319</v>
      </c>
      <c r="C105" s="3" t="s">
        <v>180</v>
      </c>
      <c r="E105" s="103">
        <v>48603</v>
      </c>
      <c r="G105" s="3">
        <f t="shared" si="8"/>
        <v>4486435</v>
      </c>
      <c r="I105" s="3">
        <f>119608+1086830</f>
        <v>1206438</v>
      </c>
      <c r="K105" s="3">
        <v>0</v>
      </c>
      <c r="M105" s="3">
        <v>5692873</v>
      </c>
      <c r="O105" s="3">
        <f t="shared" si="9"/>
        <v>1648040</v>
      </c>
      <c r="Q105" s="3">
        <v>93680</v>
      </c>
      <c r="S105" s="3">
        <v>408583</v>
      </c>
      <c r="U105" s="3">
        <v>0</v>
      </c>
      <c r="W105" s="3">
        <v>2150303</v>
      </c>
      <c r="Y105" s="3">
        <v>1182730</v>
      </c>
      <c r="AA105" s="3">
        <f t="shared" si="11"/>
        <v>1973</v>
      </c>
      <c r="AC105" s="3">
        <v>2357867</v>
      </c>
      <c r="AE105" s="3">
        <v>3542570</v>
      </c>
      <c r="AG105" s="3">
        <f t="shared" si="10"/>
        <v>0</v>
      </c>
      <c r="AI105" s="3">
        <f t="shared" si="7"/>
        <v>0</v>
      </c>
    </row>
    <row r="106" spans="1:35" s="58" customFormat="1" hidden="1">
      <c r="A106" s="58" t="s">
        <v>275</v>
      </c>
      <c r="C106" s="58" t="s">
        <v>189</v>
      </c>
      <c r="E106" s="59">
        <v>12351</v>
      </c>
      <c r="G106" s="58">
        <f t="shared" si="8"/>
        <v>0</v>
      </c>
      <c r="I106" s="58">
        <v>0</v>
      </c>
      <c r="K106" s="58">
        <v>0</v>
      </c>
      <c r="M106" s="58">
        <v>0</v>
      </c>
      <c r="O106" s="58">
        <f t="shared" si="9"/>
        <v>0</v>
      </c>
      <c r="Q106" s="58">
        <v>0</v>
      </c>
      <c r="S106" s="58">
        <v>0</v>
      </c>
      <c r="U106" s="58">
        <v>0</v>
      </c>
      <c r="W106" s="58">
        <v>0</v>
      </c>
      <c r="Y106" s="58">
        <v>0</v>
      </c>
      <c r="AA106" s="58">
        <f>AE106-AC106-Y106</f>
        <v>0</v>
      </c>
      <c r="AC106" s="58">
        <v>0</v>
      </c>
      <c r="AE106" s="58">
        <v>0</v>
      </c>
      <c r="AG106" s="58">
        <f>+M106-W106-AE106</f>
        <v>0</v>
      </c>
      <c r="AI106" s="58">
        <f t="shared" si="7"/>
        <v>0</v>
      </c>
    </row>
    <row r="107" spans="1:35">
      <c r="A107" s="3" t="s">
        <v>320</v>
      </c>
      <c r="C107" s="3" t="s">
        <v>181</v>
      </c>
      <c r="E107" s="12">
        <v>48660</v>
      </c>
      <c r="G107" s="3">
        <f t="shared" si="8"/>
        <v>19054129</v>
      </c>
      <c r="I107" s="3">
        <f>182098+6193381</f>
        <v>6375479</v>
      </c>
      <c r="K107" s="3">
        <v>0</v>
      </c>
      <c r="M107" s="3">
        <v>25429608</v>
      </c>
      <c r="O107" s="3">
        <f t="shared" si="9"/>
        <v>2880388</v>
      </c>
      <c r="Q107" s="3">
        <v>188444</v>
      </c>
      <c r="S107" s="3">
        <v>762592</v>
      </c>
      <c r="U107" s="3">
        <v>0</v>
      </c>
      <c r="W107" s="3">
        <v>3831424</v>
      </c>
      <c r="Y107" s="3">
        <v>6375479</v>
      </c>
      <c r="AA107" s="3">
        <f t="shared" si="11"/>
        <v>1713778</v>
      </c>
      <c r="AC107" s="3">
        <v>13508927</v>
      </c>
      <c r="AE107" s="3">
        <v>21598184</v>
      </c>
      <c r="AG107" s="3">
        <f t="shared" si="10"/>
        <v>0</v>
      </c>
      <c r="AI107" s="3">
        <f t="shared" si="7"/>
        <v>0</v>
      </c>
    </row>
    <row r="108" spans="1:35">
      <c r="A108" s="3" t="s">
        <v>182</v>
      </c>
      <c r="C108" s="3" t="s">
        <v>183</v>
      </c>
      <c r="E108" s="12">
        <v>125252</v>
      </c>
      <c r="G108" s="3">
        <f t="shared" si="8"/>
        <v>6154627</v>
      </c>
      <c r="I108" s="3">
        <f>21155+253503</f>
        <v>274658</v>
      </c>
      <c r="K108" s="3">
        <v>0</v>
      </c>
      <c r="M108" s="3">
        <v>6429285</v>
      </c>
      <c r="O108" s="3">
        <f t="shared" si="9"/>
        <v>2272283</v>
      </c>
      <c r="Q108" s="3">
        <v>61559</v>
      </c>
      <c r="S108" s="3">
        <v>855846</v>
      </c>
      <c r="U108" s="3">
        <v>0</v>
      </c>
      <c r="W108" s="3">
        <v>3189688</v>
      </c>
      <c r="Y108" s="3">
        <v>274658</v>
      </c>
      <c r="AA108" s="3">
        <f t="shared" si="11"/>
        <v>388255</v>
      </c>
      <c r="AC108" s="3">
        <v>2576684</v>
      </c>
      <c r="AE108" s="3">
        <v>3239597</v>
      </c>
      <c r="AG108" s="3">
        <f t="shared" si="10"/>
        <v>0</v>
      </c>
      <c r="AI108" s="3">
        <f t="shared" si="7"/>
        <v>0</v>
      </c>
    </row>
    <row r="109" spans="1:35">
      <c r="A109" s="3" t="s">
        <v>265</v>
      </c>
      <c r="C109" s="3" t="s">
        <v>193</v>
      </c>
      <c r="E109" s="12">
        <v>123257</v>
      </c>
      <c r="G109" s="3">
        <f t="shared" si="8"/>
        <v>1424570</v>
      </c>
      <c r="I109" s="3">
        <v>4023099</v>
      </c>
      <c r="K109" s="3">
        <v>0</v>
      </c>
      <c r="M109" s="3">
        <v>5447669</v>
      </c>
      <c r="O109" s="3">
        <f t="shared" si="9"/>
        <v>1948894</v>
      </c>
      <c r="Q109" s="3">
        <v>222884</v>
      </c>
      <c r="S109" s="3">
        <v>3978615</v>
      </c>
      <c r="U109" s="3">
        <v>0</v>
      </c>
      <c r="W109" s="3">
        <v>6150393</v>
      </c>
      <c r="Y109" s="3">
        <v>618099</v>
      </c>
      <c r="AA109" s="3">
        <f t="shared" si="11"/>
        <v>28325</v>
      </c>
      <c r="AC109" s="3">
        <v>-1349148</v>
      </c>
      <c r="AE109" s="3">
        <v>-702724</v>
      </c>
      <c r="AG109" s="3">
        <f t="shared" si="10"/>
        <v>0</v>
      </c>
      <c r="AI109" s="3">
        <f t="shared" si="7"/>
        <v>0</v>
      </c>
    </row>
    <row r="110" spans="1:35">
      <c r="A110" s="103" t="s">
        <v>299</v>
      </c>
      <c r="B110" s="103"/>
      <c r="C110" s="103" t="s">
        <v>160</v>
      </c>
      <c r="E110" s="12">
        <v>125690</v>
      </c>
      <c r="G110" s="3">
        <f t="shared" si="8"/>
        <v>8302749</v>
      </c>
      <c r="I110" s="3">
        <v>140730</v>
      </c>
      <c r="K110" s="3">
        <v>0</v>
      </c>
      <c r="M110" s="3">
        <v>8443479</v>
      </c>
      <c r="O110" s="3">
        <f t="shared" si="9"/>
        <v>2167396</v>
      </c>
      <c r="Q110" s="3">
        <v>173695</v>
      </c>
      <c r="S110" s="3">
        <v>1106025</v>
      </c>
      <c r="U110" s="3">
        <v>0</v>
      </c>
      <c r="W110" s="3">
        <v>3447116</v>
      </c>
      <c r="Y110" s="3">
        <v>140730</v>
      </c>
      <c r="AA110" s="3">
        <f t="shared" ref="AA110" si="12">AE110-AC110-Y110</f>
        <v>59195</v>
      </c>
      <c r="AC110" s="3">
        <v>4796438</v>
      </c>
      <c r="AE110" s="3">
        <v>4996363</v>
      </c>
      <c r="AG110" s="3">
        <f t="shared" ref="AG110" si="13">+M110-W110-AE110</f>
        <v>0</v>
      </c>
      <c r="AI110" s="3">
        <f t="shared" si="7"/>
        <v>0</v>
      </c>
    </row>
    <row r="111" spans="1:35">
      <c r="A111" s="3" t="s">
        <v>163</v>
      </c>
      <c r="C111" s="3" t="s">
        <v>321</v>
      </c>
      <c r="E111" s="12">
        <v>124297</v>
      </c>
      <c r="G111" s="3">
        <f t="shared" si="8"/>
        <v>4202902</v>
      </c>
      <c r="I111" s="3">
        <f>215200+6215305</f>
        <v>6430505</v>
      </c>
      <c r="K111" s="3">
        <v>0</v>
      </c>
      <c r="M111" s="3">
        <v>10633407</v>
      </c>
      <c r="O111" s="3">
        <f t="shared" si="9"/>
        <v>2392445</v>
      </c>
      <c r="Q111" s="3">
        <v>243004</v>
      </c>
      <c r="S111" s="3">
        <v>1646710</v>
      </c>
      <c r="U111" s="3">
        <v>0</v>
      </c>
      <c r="W111" s="3">
        <v>4282159</v>
      </c>
      <c r="Y111" s="3">
        <v>5604943</v>
      </c>
      <c r="AA111" s="3">
        <f t="shared" si="11"/>
        <v>323297</v>
      </c>
      <c r="AC111" s="3">
        <v>423008</v>
      </c>
      <c r="AE111" s="3">
        <v>6351248</v>
      </c>
      <c r="AG111" s="3">
        <f t="shared" si="10"/>
        <v>0</v>
      </c>
      <c r="AI111" s="3">
        <f t="shared" si="7"/>
        <v>0</v>
      </c>
    </row>
    <row r="112" spans="1:35">
      <c r="A112" s="3" t="s">
        <v>308</v>
      </c>
      <c r="C112" s="3" t="s">
        <v>259</v>
      </c>
      <c r="E112" s="103">
        <v>123281</v>
      </c>
      <c r="G112" s="3">
        <f t="shared" si="8"/>
        <v>2799535</v>
      </c>
      <c r="I112" s="3">
        <f>100344+315660</f>
        <v>416004</v>
      </c>
      <c r="K112" s="3">
        <v>0</v>
      </c>
      <c r="M112" s="3">
        <v>3215539</v>
      </c>
      <c r="O112" s="3">
        <f t="shared" si="9"/>
        <v>890172</v>
      </c>
      <c r="Q112" s="3">
        <v>118225</v>
      </c>
      <c r="S112" s="3">
        <v>274929</v>
      </c>
      <c r="U112" s="3">
        <v>0</v>
      </c>
      <c r="W112" s="3">
        <v>1283326</v>
      </c>
      <c r="Y112" s="3">
        <v>414312</v>
      </c>
      <c r="AA112" s="3">
        <f t="shared" si="11"/>
        <v>309766</v>
      </c>
      <c r="AC112" s="3">
        <v>1208135</v>
      </c>
      <c r="AE112" s="3">
        <v>1932213</v>
      </c>
      <c r="AG112" s="3">
        <f>+M112-W112-AE112</f>
        <v>0</v>
      </c>
      <c r="AI112" s="3">
        <f t="shared" si="7"/>
        <v>0</v>
      </c>
    </row>
    <row r="113" spans="1:35" s="88" customFormat="1" hidden="1">
      <c r="A113" s="88" t="s">
        <v>355</v>
      </c>
      <c r="C113" s="88" t="s">
        <v>184</v>
      </c>
      <c r="E113" s="89">
        <v>125674</v>
      </c>
      <c r="G113" s="88">
        <f t="shared" si="8"/>
        <v>0</v>
      </c>
      <c r="I113" s="88">
        <v>0</v>
      </c>
      <c r="K113" s="88">
        <v>0</v>
      </c>
      <c r="M113" s="88">
        <v>0</v>
      </c>
      <c r="O113" s="88">
        <f t="shared" si="9"/>
        <v>0</v>
      </c>
      <c r="Q113" s="88">
        <v>0</v>
      </c>
      <c r="S113" s="88">
        <v>0</v>
      </c>
      <c r="U113" s="88">
        <v>0</v>
      </c>
      <c r="W113" s="88">
        <v>0</v>
      </c>
      <c r="Y113" s="88">
        <v>0</v>
      </c>
      <c r="AA113" s="88">
        <f t="shared" si="11"/>
        <v>0</v>
      </c>
      <c r="AC113" s="88">
        <v>0</v>
      </c>
      <c r="AE113" s="88">
        <v>0</v>
      </c>
      <c r="AG113" s="88">
        <f t="shared" si="10"/>
        <v>0</v>
      </c>
      <c r="AI113" s="58">
        <f t="shared" si="7"/>
        <v>0</v>
      </c>
    </row>
    <row r="114" spans="1:35">
      <c r="A114" s="3" t="s">
        <v>332</v>
      </c>
      <c r="C114" s="3" t="s">
        <v>185</v>
      </c>
      <c r="E114" s="103">
        <v>49072</v>
      </c>
      <c r="G114" s="3">
        <f t="shared" si="8"/>
        <v>915094</v>
      </c>
      <c r="I114" s="3">
        <f>66900+529321</f>
        <v>596221</v>
      </c>
      <c r="K114" s="3">
        <v>0</v>
      </c>
      <c r="M114" s="3">
        <v>1511315</v>
      </c>
      <c r="O114" s="3">
        <f t="shared" si="9"/>
        <v>401150</v>
      </c>
      <c r="Q114" s="3">
        <v>17355</v>
      </c>
      <c r="S114" s="3">
        <v>179050</v>
      </c>
      <c r="U114" s="3">
        <v>0</v>
      </c>
      <c r="W114" s="3">
        <v>597555</v>
      </c>
      <c r="Y114" s="3">
        <v>596221</v>
      </c>
      <c r="AA114" s="3">
        <f t="shared" si="11"/>
        <v>55067</v>
      </c>
      <c r="AC114" s="3">
        <v>262472</v>
      </c>
      <c r="AE114" s="3">
        <v>913760</v>
      </c>
      <c r="AG114" s="3">
        <f t="shared" si="10"/>
        <v>0</v>
      </c>
      <c r="AI114" s="3">
        <f t="shared" si="7"/>
        <v>0</v>
      </c>
    </row>
    <row r="115" spans="1:35">
      <c r="A115" s="3" t="s">
        <v>323</v>
      </c>
      <c r="C115" s="3" t="s">
        <v>186</v>
      </c>
      <c r="E115" s="103">
        <v>49163</v>
      </c>
      <c r="G115" s="3">
        <f t="shared" si="8"/>
        <v>1156073</v>
      </c>
      <c r="I115" s="3">
        <v>79372</v>
      </c>
      <c r="K115" s="3">
        <v>0</v>
      </c>
      <c r="M115" s="3">
        <v>1235445</v>
      </c>
      <c r="O115" s="3">
        <f t="shared" si="9"/>
        <v>1002414</v>
      </c>
      <c r="Q115" s="3">
        <v>19013</v>
      </c>
      <c r="S115" s="3">
        <v>76732</v>
      </c>
      <c r="U115" s="3">
        <v>0</v>
      </c>
      <c r="W115" s="3">
        <v>1098159</v>
      </c>
      <c r="Y115" s="3">
        <v>55378</v>
      </c>
      <c r="AA115" s="3">
        <f t="shared" si="11"/>
        <v>156497</v>
      </c>
      <c r="AC115" s="3">
        <v>-74589</v>
      </c>
      <c r="AE115" s="3">
        <v>137286</v>
      </c>
      <c r="AG115" s="3">
        <f t="shared" si="10"/>
        <v>0</v>
      </c>
      <c r="AI115" s="3">
        <f t="shared" si="7"/>
        <v>0</v>
      </c>
    </row>
    <row r="116" spans="1:35" s="58" customFormat="1" hidden="1">
      <c r="A116" s="59" t="s">
        <v>324</v>
      </c>
      <c r="C116" s="58" t="s">
        <v>187</v>
      </c>
      <c r="E116" s="59">
        <v>49254</v>
      </c>
      <c r="G116" s="58">
        <f t="shared" si="8"/>
        <v>0</v>
      </c>
      <c r="I116" s="58">
        <v>0</v>
      </c>
      <c r="K116" s="58">
        <v>0</v>
      </c>
      <c r="M116" s="58">
        <v>0</v>
      </c>
      <c r="O116" s="58">
        <f t="shared" si="9"/>
        <v>0</v>
      </c>
      <c r="Q116" s="58">
        <v>0</v>
      </c>
      <c r="S116" s="58">
        <v>0</v>
      </c>
      <c r="U116" s="58">
        <v>0</v>
      </c>
      <c r="W116" s="58">
        <v>0</v>
      </c>
      <c r="Y116" s="58">
        <v>0</v>
      </c>
      <c r="AA116" s="58">
        <f t="shared" si="11"/>
        <v>0</v>
      </c>
      <c r="AC116" s="58">
        <v>0</v>
      </c>
      <c r="AE116" s="58">
        <v>0</v>
      </c>
      <c r="AG116" s="58">
        <f t="shared" si="10"/>
        <v>0</v>
      </c>
      <c r="AI116" s="58">
        <f t="shared" si="7"/>
        <v>0</v>
      </c>
    </row>
    <row r="117" spans="1:35">
      <c r="A117" s="3" t="s">
        <v>325</v>
      </c>
      <c r="C117" s="3" t="s">
        <v>188</v>
      </c>
      <c r="E117" s="103">
        <v>49304</v>
      </c>
      <c r="G117" s="3">
        <f t="shared" si="8"/>
        <v>2013374</v>
      </c>
      <c r="I117" s="3">
        <v>3814742</v>
      </c>
      <c r="K117" s="3">
        <v>0</v>
      </c>
      <c r="M117" s="3">
        <v>5828116</v>
      </c>
      <c r="O117" s="3">
        <f t="shared" si="9"/>
        <v>593662</v>
      </c>
      <c r="Q117" s="3">
        <v>191530</v>
      </c>
      <c r="S117" s="3">
        <v>831409</v>
      </c>
      <c r="U117" s="3">
        <v>0</v>
      </c>
      <c r="W117" s="3">
        <v>1616601</v>
      </c>
      <c r="Y117" s="3">
        <v>3255117</v>
      </c>
      <c r="AA117" s="3">
        <f t="shared" si="11"/>
        <v>538222</v>
      </c>
      <c r="AC117" s="3">
        <v>418176</v>
      </c>
      <c r="AE117" s="3">
        <v>4211515</v>
      </c>
      <c r="AG117" s="3">
        <f t="shared" si="10"/>
        <v>0</v>
      </c>
      <c r="AI117" s="3">
        <f t="shared" si="7"/>
        <v>0</v>
      </c>
    </row>
    <row r="118" spans="1:35">
      <c r="A118" s="3" t="s">
        <v>326</v>
      </c>
      <c r="C118" s="3" t="s">
        <v>190</v>
      </c>
      <c r="E118" s="103">
        <v>138222</v>
      </c>
      <c r="G118" s="3">
        <f t="shared" si="8"/>
        <v>5071508</v>
      </c>
      <c r="I118" s="3">
        <v>91274</v>
      </c>
      <c r="K118" s="3">
        <v>0</v>
      </c>
      <c r="M118" s="3">
        <v>5162782</v>
      </c>
      <c r="O118" s="3">
        <f t="shared" si="9"/>
        <v>1237231</v>
      </c>
      <c r="Q118" s="3">
        <v>98248</v>
      </c>
      <c r="S118" s="3">
        <v>314762</v>
      </c>
      <c r="U118" s="3">
        <v>0</v>
      </c>
      <c r="W118" s="3">
        <v>1650241</v>
      </c>
      <c r="Y118" s="3">
        <v>91274</v>
      </c>
      <c r="AA118" s="3">
        <f t="shared" si="11"/>
        <v>546274</v>
      </c>
      <c r="AC118" s="3">
        <v>2874993</v>
      </c>
      <c r="AE118" s="3">
        <v>3512541</v>
      </c>
      <c r="AG118" s="3">
        <f t="shared" si="10"/>
        <v>0</v>
      </c>
      <c r="AI118" s="3">
        <f t="shared" si="7"/>
        <v>0</v>
      </c>
    </row>
    <row r="119" spans="1:35" s="88" customFormat="1" hidden="1">
      <c r="A119" s="88" t="s">
        <v>300</v>
      </c>
      <c r="C119" s="88" t="s">
        <v>191</v>
      </c>
      <c r="E119" s="89">
        <v>49551</v>
      </c>
      <c r="G119" s="88">
        <f t="shared" si="8"/>
        <v>0</v>
      </c>
      <c r="I119" s="88">
        <v>0</v>
      </c>
      <c r="K119" s="88">
        <v>0</v>
      </c>
      <c r="M119" s="88">
        <v>0</v>
      </c>
      <c r="O119" s="88">
        <f t="shared" si="9"/>
        <v>0</v>
      </c>
      <c r="Q119" s="88">
        <v>0</v>
      </c>
      <c r="S119" s="88">
        <v>0</v>
      </c>
      <c r="U119" s="88">
        <v>0</v>
      </c>
      <c r="W119" s="88">
        <v>0</v>
      </c>
      <c r="Y119" s="88">
        <v>0</v>
      </c>
      <c r="AA119" s="88">
        <f t="shared" si="11"/>
        <v>0</v>
      </c>
      <c r="AC119" s="88">
        <v>0</v>
      </c>
      <c r="AE119" s="88">
        <v>0</v>
      </c>
      <c r="AG119" s="88">
        <f t="shared" si="10"/>
        <v>0</v>
      </c>
      <c r="AI119" s="58">
        <f t="shared" si="7"/>
        <v>0</v>
      </c>
    </row>
    <row r="120" spans="1:35" s="58" customFormat="1" hidden="1">
      <c r="A120" s="58" t="s">
        <v>384</v>
      </c>
      <c r="C120" s="58" t="s">
        <v>194</v>
      </c>
      <c r="E120" s="59">
        <v>49742</v>
      </c>
      <c r="G120" s="58">
        <f t="shared" si="8"/>
        <v>0</v>
      </c>
      <c r="I120" s="58">
        <v>0</v>
      </c>
      <c r="K120" s="58">
        <v>0</v>
      </c>
      <c r="M120" s="58">
        <v>0</v>
      </c>
      <c r="O120" s="58">
        <f t="shared" si="9"/>
        <v>0</v>
      </c>
      <c r="Q120" s="58">
        <v>0</v>
      </c>
      <c r="S120" s="58">
        <v>0</v>
      </c>
      <c r="U120" s="58">
        <v>0</v>
      </c>
      <c r="W120" s="58">
        <v>0</v>
      </c>
      <c r="Y120" s="58">
        <v>0</v>
      </c>
      <c r="AA120" s="58">
        <f t="shared" si="11"/>
        <v>0</v>
      </c>
      <c r="AC120" s="58">
        <v>0</v>
      </c>
      <c r="AE120" s="58">
        <v>0</v>
      </c>
      <c r="AG120" s="58">
        <f t="shared" si="10"/>
        <v>0</v>
      </c>
      <c r="AI120" s="58">
        <f t="shared" si="7"/>
        <v>0</v>
      </c>
    </row>
    <row r="121" spans="1:35">
      <c r="A121" s="3" t="s">
        <v>263</v>
      </c>
      <c r="C121" s="3" t="s">
        <v>192</v>
      </c>
      <c r="E121" s="103">
        <v>125658</v>
      </c>
      <c r="G121" s="3">
        <f t="shared" si="8"/>
        <v>2623228</v>
      </c>
      <c r="I121" s="3">
        <v>3942539</v>
      </c>
      <c r="K121" s="3">
        <v>0</v>
      </c>
      <c r="M121" s="3">
        <v>6565767</v>
      </c>
      <c r="O121" s="3">
        <f t="shared" si="9"/>
        <v>956545</v>
      </c>
      <c r="Q121" s="3">
        <v>136910</v>
      </c>
      <c r="S121" s="3">
        <v>233367</v>
      </c>
      <c r="U121" s="3">
        <v>0</v>
      </c>
      <c r="W121" s="3">
        <v>1326822</v>
      </c>
      <c r="Y121" s="3">
        <v>3968999</v>
      </c>
      <c r="AA121" s="3">
        <f t="shared" si="11"/>
        <v>408805</v>
      </c>
      <c r="AC121" s="3">
        <v>861141</v>
      </c>
      <c r="AE121" s="3">
        <v>5238945</v>
      </c>
      <c r="AG121" s="3">
        <f t="shared" si="10"/>
        <v>0</v>
      </c>
      <c r="AI121" s="3">
        <f t="shared" si="7"/>
        <v>0</v>
      </c>
    </row>
    <row r="122" spans="1:35">
      <c r="A122" s="3" t="s">
        <v>262</v>
      </c>
      <c r="C122" s="3" t="s">
        <v>155</v>
      </c>
      <c r="E122" s="103">
        <v>46375</v>
      </c>
      <c r="G122" s="3">
        <f t="shared" si="8"/>
        <v>2479836</v>
      </c>
      <c r="I122" s="3">
        <f>31490+328921</f>
        <v>360411</v>
      </c>
      <c r="K122" s="3">
        <v>0</v>
      </c>
      <c r="M122" s="3">
        <v>2840247</v>
      </c>
      <c r="O122" s="3">
        <f t="shared" si="9"/>
        <v>220530</v>
      </c>
      <c r="Q122" s="3">
        <v>41406</v>
      </c>
      <c r="S122" s="3">
        <v>213656</v>
      </c>
      <c r="U122" s="3">
        <v>0</v>
      </c>
      <c r="W122" s="3">
        <v>475592</v>
      </c>
      <c r="Y122" s="3">
        <v>360411</v>
      </c>
      <c r="AA122" s="3">
        <f>AE122-AC122-Y122</f>
        <v>15044</v>
      </c>
      <c r="AC122" s="3">
        <v>1989200</v>
      </c>
      <c r="AE122" s="3">
        <v>2364655</v>
      </c>
      <c r="AG122" s="3">
        <f>+M122-W122-AE122</f>
        <v>0</v>
      </c>
      <c r="AI122" s="3">
        <f t="shared" si="7"/>
        <v>0</v>
      </c>
    </row>
    <row r="123" spans="1:35">
      <c r="A123" s="103" t="s">
        <v>330</v>
      </c>
      <c r="C123" s="3" t="s">
        <v>195</v>
      </c>
      <c r="E123" s="12">
        <v>49825</v>
      </c>
      <c r="G123" s="3">
        <f t="shared" si="8"/>
        <v>4595866</v>
      </c>
      <c r="I123" s="3">
        <v>1302055</v>
      </c>
      <c r="K123" s="3">
        <v>0</v>
      </c>
      <c r="M123" s="3">
        <v>5897921</v>
      </c>
      <c r="O123" s="3">
        <f t="shared" si="9"/>
        <v>2521264</v>
      </c>
      <c r="Q123" s="3">
        <v>160130</v>
      </c>
      <c r="S123" s="3">
        <f>1023957-160130</f>
        <v>863827</v>
      </c>
      <c r="U123" s="3">
        <v>0</v>
      </c>
      <c r="W123" s="3">
        <v>3545221</v>
      </c>
      <c r="Y123" s="3">
        <v>1302055</v>
      </c>
      <c r="AA123" s="3">
        <f t="shared" si="11"/>
        <v>475775</v>
      </c>
      <c r="AC123" s="3">
        <v>574870</v>
      </c>
      <c r="AE123" s="3">
        <v>2352700</v>
      </c>
      <c r="AG123" s="3">
        <f t="shared" si="10"/>
        <v>0</v>
      </c>
      <c r="AI123" s="3">
        <f t="shared" si="7"/>
        <v>0</v>
      </c>
    </row>
    <row r="124" spans="1:35">
      <c r="A124" s="3" t="s">
        <v>331</v>
      </c>
      <c r="C124" s="3" t="s">
        <v>196</v>
      </c>
      <c r="E124" s="12">
        <v>49965</v>
      </c>
      <c r="G124" s="3">
        <f t="shared" si="8"/>
        <v>7296330</v>
      </c>
      <c r="I124" s="3">
        <f>207778+1688623</f>
        <v>1896401</v>
      </c>
      <c r="K124" s="3">
        <v>0</v>
      </c>
      <c r="M124" s="3">
        <v>9192731</v>
      </c>
      <c r="O124" s="3">
        <f t="shared" si="9"/>
        <v>1932072</v>
      </c>
      <c r="Q124" s="3">
        <v>104203</v>
      </c>
      <c r="S124" s="3">
        <f>1086380-104203</f>
        <v>982177</v>
      </c>
      <c r="U124" s="3">
        <v>0</v>
      </c>
      <c r="W124" s="3">
        <v>3018452</v>
      </c>
      <c r="Y124" s="3">
        <v>1000298</v>
      </c>
      <c r="AA124" s="3">
        <f t="shared" si="11"/>
        <v>106683</v>
      </c>
      <c r="AC124" s="3">
        <v>5067298</v>
      </c>
      <c r="AE124" s="3">
        <v>6174279</v>
      </c>
      <c r="AG124" s="3">
        <f t="shared" si="10"/>
        <v>0</v>
      </c>
      <c r="AI124" s="3">
        <f t="shared" si="7"/>
        <v>0</v>
      </c>
    </row>
    <row r="125" spans="1:35" s="58" customFormat="1" hidden="1">
      <c r="A125" s="58" t="s">
        <v>353</v>
      </c>
      <c r="C125" s="58" t="s">
        <v>203</v>
      </c>
      <c r="E125" s="69">
        <v>50526</v>
      </c>
      <c r="G125" s="58">
        <f t="shared" si="8"/>
        <v>0</v>
      </c>
      <c r="I125" s="58">
        <v>0</v>
      </c>
      <c r="K125" s="58">
        <v>0</v>
      </c>
      <c r="M125" s="58">
        <v>0</v>
      </c>
      <c r="O125" s="58">
        <f t="shared" si="9"/>
        <v>0</v>
      </c>
      <c r="Q125" s="58">
        <v>0</v>
      </c>
      <c r="S125" s="58">
        <v>0</v>
      </c>
      <c r="U125" s="58">
        <v>0</v>
      </c>
      <c r="W125" s="58">
        <v>0</v>
      </c>
      <c r="Y125" s="58">
        <v>0</v>
      </c>
      <c r="AA125" s="58">
        <f t="shared" si="11"/>
        <v>0</v>
      </c>
      <c r="AC125" s="58">
        <v>0</v>
      </c>
      <c r="AE125" s="58">
        <v>0</v>
      </c>
      <c r="AG125" s="58">
        <f t="shared" si="10"/>
        <v>0</v>
      </c>
      <c r="AI125" s="58">
        <f t="shared" si="7"/>
        <v>0</v>
      </c>
    </row>
    <row r="126" spans="1:35">
      <c r="A126" s="3" t="s">
        <v>333</v>
      </c>
      <c r="C126" s="3" t="s">
        <v>197</v>
      </c>
      <c r="E126" s="12">
        <v>50088</v>
      </c>
      <c r="G126" s="3">
        <f t="shared" si="8"/>
        <v>7443172</v>
      </c>
      <c r="I126" s="3">
        <v>308230</v>
      </c>
      <c r="K126" s="3">
        <v>0</v>
      </c>
      <c r="M126" s="3">
        <v>7751402</v>
      </c>
      <c r="O126" s="3">
        <f t="shared" si="9"/>
        <v>2330983</v>
      </c>
      <c r="Q126" s="3">
        <v>102001</v>
      </c>
      <c r="S126" s="3">
        <f>895228-102001</f>
        <v>793227</v>
      </c>
      <c r="U126" s="3">
        <v>860</v>
      </c>
      <c r="W126" s="3">
        <v>3227071</v>
      </c>
      <c r="Y126" s="3">
        <v>289635</v>
      </c>
      <c r="AA126" s="3">
        <f t="shared" si="11"/>
        <v>1076</v>
      </c>
      <c r="AC126" s="3">
        <v>4233620</v>
      </c>
      <c r="AE126" s="3">
        <v>4524331</v>
      </c>
      <c r="AG126" s="3">
        <f t="shared" si="10"/>
        <v>0</v>
      </c>
      <c r="AI126" s="3">
        <f t="shared" si="7"/>
        <v>0</v>
      </c>
    </row>
    <row r="127" spans="1:35" s="88" customFormat="1" hidden="1">
      <c r="A127" s="88" t="s">
        <v>301</v>
      </c>
      <c r="C127" s="88" t="s">
        <v>198</v>
      </c>
      <c r="E127" s="91">
        <v>50260</v>
      </c>
      <c r="G127" s="88">
        <f t="shared" si="8"/>
        <v>0</v>
      </c>
      <c r="I127" s="88">
        <v>0</v>
      </c>
      <c r="K127" s="88">
        <v>0</v>
      </c>
      <c r="M127" s="88">
        <v>0</v>
      </c>
      <c r="O127" s="88">
        <f t="shared" si="9"/>
        <v>0</v>
      </c>
      <c r="Q127" s="88">
        <v>0</v>
      </c>
      <c r="S127" s="88">
        <v>0</v>
      </c>
      <c r="U127" s="88">
        <v>0</v>
      </c>
      <c r="W127" s="88">
        <v>0</v>
      </c>
      <c r="Y127" s="88">
        <v>0</v>
      </c>
      <c r="AA127" s="88">
        <f t="shared" si="11"/>
        <v>0</v>
      </c>
      <c r="AC127" s="88">
        <v>0</v>
      </c>
      <c r="AE127" s="88">
        <v>0</v>
      </c>
      <c r="AG127" s="88">
        <f t="shared" si="10"/>
        <v>0</v>
      </c>
      <c r="AI127" s="58">
        <f t="shared" si="7"/>
        <v>0</v>
      </c>
    </row>
    <row r="128" spans="1:35" s="58" customFormat="1" hidden="1">
      <c r="A128" s="58" t="s">
        <v>335</v>
      </c>
      <c r="C128" s="58" t="s">
        <v>201</v>
      </c>
      <c r="E128" s="69">
        <v>50401</v>
      </c>
      <c r="G128" s="58">
        <f t="shared" si="8"/>
        <v>0</v>
      </c>
      <c r="I128" s="58">
        <v>0</v>
      </c>
      <c r="K128" s="58">
        <v>0</v>
      </c>
      <c r="M128" s="58">
        <v>0</v>
      </c>
      <c r="O128" s="58">
        <f t="shared" si="9"/>
        <v>0</v>
      </c>
      <c r="Q128" s="58">
        <v>0</v>
      </c>
      <c r="S128" s="58">
        <v>0</v>
      </c>
      <c r="U128" s="58">
        <v>0</v>
      </c>
      <c r="W128" s="58">
        <v>0</v>
      </c>
      <c r="Y128" s="58">
        <v>0</v>
      </c>
      <c r="AA128" s="58">
        <f t="shared" si="11"/>
        <v>0</v>
      </c>
      <c r="AC128" s="58">
        <v>0</v>
      </c>
      <c r="AE128" s="58">
        <v>0</v>
      </c>
      <c r="AG128" s="58">
        <f t="shared" si="10"/>
        <v>0</v>
      </c>
      <c r="AI128" s="58">
        <f t="shared" si="7"/>
        <v>0</v>
      </c>
    </row>
    <row r="129" spans="1:35" s="88" customFormat="1" hidden="1">
      <c r="A129" s="88" t="s">
        <v>302</v>
      </c>
      <c r="C129" s="88" t="s">
        <v>202</v>
      </c>
      <c r="E129" s="91">
        <v>50476</v>
      </c>
      <c r="G129" s="88">
        <f t="shared" si="8"/>
        <v>0</v>
      </c>
      <c r="I129" s="88">
        <v>0</v>
      </c>
      <c r="K129" s="88">
        <v>0</v>
      </c>
      <c r="M129" s="88">
        <v>0</v>
      </c>
      <c r="O129" s="88">
        <f t="shared" si="9"/>
        <v>0</v>
      </c>
      <c r="Q129" s="88">
        <v>0</v>
      </c>
      <c r="S129" s="88">
        <v>0</v>
      </c>
      <c r="U129" s="88">
        <v>0</v>
      </c>
      <c r="W129" s="88">
        <v>0</v>
      </c>
      <c r="Y129" s="88">
        <v>0</v>
      </c>
      <c r="AA129" s="88">
        <f t="shared" ref="AA129" si="14">AE129-AC129-Y129</f>
        <v>0</v>
      </c>
      <c r="AC129" s="88">
        <v>0</v>
      </c>
      <c r="AE129" s="88">
        <v>0</v>
      </c>
      <c r="AG129" s="88">
        <f t="shared" si="10"/>
        <v>0</v>
      </c>
      <c r="AI129" s="58">
        <f t="shared" si="7"/>
        <v>0</v>
      </c>
    </row>
    <row r="130" spans="1:35">
      <c r="A130" s="3" t="s">
        <v>199</v>
      </c>
      <c r="C130" s="3" t="s">
        <v>258</v>
      </c>
      <c r="E130" s="12">
        <v>134999</v>
      </c>
      <c r="G130" s="3">
        <f t="shared" si="8"/>
        <v>668450</v>
      </c>
      <c r="I130" s="3">
        <f>5400+42402</f>
        <v>47802</v>
      </c>
      <c r="K130" s="3">
        <v>0</v>
      </c>
      <c r="M130" s="3">
        <v>716252</v>
      </c>
      <c r="O130" s="3">
        <f t="shared" si="9"/>
        <v>469458</v>
      </c>
      <c r="Q130" s="3">
        <v>35860</v>
      </c>
      <c r="S130" s="3">
        <f>231988-35860</f>
        <v>196128</v>
      </c>
      <c r="U130" s="3">
        <v>0</v>
      </c>
      <c r="W130" s="3">
        <v>701446</v>
      </c>
      <c r="Y130" s="3">
        <v>47802</v>
      </c>
      <c r="AA130" s="3">
        <f t="shared" si="11"/>
        <v>358</v>
      </c>
      <c r="AC130" s="3">
        <v>-33354</v>
      </c>
      <c r="AE130" s="3">
        <v>14806</v>
      </c>
      <c r="AG130" s="3">
        <f t="shared" si="10"/>
        <v>0</v>
      </c>
      <c r="AI130" s="3">
        <f t="shared" si="7"/>
        <v>0</v>
      </c>
    </row>
    <row r="131" spans="1:35">
      <c r="A131" s="3" t="s">
        <v>334</v>
      </c>
      <c r="C131" s="3" t="s">
        <v>204</v>
      </c>
      <c r="E131" s="12">
        <v>50666</v>
      </c>
      <c r="G131" s="3">
        <f t="shared" si="8"/>
        <v>6294314</v>
      </c>
      <c r="I131" s="3">
        <f>112500+1771187</f>
        <v>1883687</v>
      </c>
      <c r="K131" s="3">
        <v>0</v>
      </c>
      <c r="M131" s="3">
        <v>8178001</v>
      </c>
      <c r="O131" s="3">
        <f t="shared" si="9"/>
        <v>1618851</v>
      </c>
      <c r="Q131" s="3">
        <v>54617</v>
      </c>
      <c r="S131" s="3">
        <f>695613-54617</f>
        <v>640996</v>
      </c>
      <c r="U131" s="3">
        <v>0</v>
      </c>
      <c r="W131" s="3">
        <v>2314464</v>
      </c>
      <c r="Y131" s="3">
        <v>1883687</v>
      </c>
      <c r="AA131" s="3">
        <f t="shared" si="11"/>
        <v>2553578</v>
      </c>
      <c r="AC131" s="3">
        <v>1426272</v>
      </c>
      <c r="AE131" s="3">
        <v>5863537</v>
      </c>
      <c r="AG131" s="3">
        <f t="shared" si="10"/>
        <v>0</v>
      </c>
      <c r="AI131" s="3">
        <f t="shared" si="7"/>
        <v>0</v>
      </c>
    </row>
  </sheetData>
  <mergeCells count="5">
    <mergeCell ref="Q10:S10"/>
    <mergeCell ref="O8:U8"/>
    <mergeCell ref="Y8:AC8"/>
    <mergeCell ref="A1:I1"/>
    <mergeCell ref="G8:K8"/>
  </mergeCells>
  <phoneticPr fontId="3" type="noConversion"/>
  <pageMargins left="0.75" right="0.5" top="0.5" bottom="0.5" header="0.25" footer="0.25"/>
  <pageSetup scale="76" firstPageNumber="6" pageOrder="overThenDown" orientation="portrait" useFirstPageNumber="1" r:id="rId1"/>
  <headerFooter scaleWithDoc="0" alignWithMargins="0"/>
  <rowBreaks count="1" manualBreakCount="1">
    <brk id="67" max="16383" man="1"/>
  </rowBreaks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6"/>
  <sheetViews>
    <sheetView zoomScaleNormal="100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G12" sqref="G12"/>
    </sheetView>
  </sheetViews>
  <sheetFormatPr defaultColWidth="9.140625" defaultRowHeight="12"/>
  <cols>
    <col min="1" max="1" width="45.7109375" style="15" customWidth="1"/>
    <col min="2" max="2" width="1.7109375" style="15" customWidth="1"/>
    <col min="3" max="3" width="11.7109375" style="15" customWidth="1"/>
    <col min="4" max="4" width="1.7109375" style="15" hidden="1" customWidth="1"/>
    <col min="5" max="5" width="6.140625" style="15" hidden="1" customWidth="1"/>
    <col min="6" max="6" width="1.7109375" style="15" customWidth="1"/>
    <col min="7" max="7" width="11.7109375" style="15" customWidth="1"/>
    <col min="8" max="8" width="1.7109375" style="15" customWidth="1"/>
    <col min="9" max="9" width="11.7109375" style="15" customWidth="1"/>
    <col min="10" max="10" width="1.7109375" style="15" customWidth="1"/>
    <col min="11" max="11" width="11.7109375" style="15" customWidth="1"/>
    <col min="12" max="12" width="1.7109375" style="15" customWidth="1"/>
    <col min="13" max="13" width="11.7109375" style="15" customWidth="1"/>
    <col min="14" max="14" width="1.7109375" style="15" customWidth="1"/>
    <col min="15" max="15" width="11.7109375" style="15" customWidth="1"/>
    <col min="16" max="16" width="1.7109375" style="15" customWidth="1"/>
    <col min="17" max="17" width="11.7109375" style="15" customWidth="1"/>
    <col min="18" max="18" width="1.7109375" style="15" customWidth="1"/>
    <col min="19" max="19" width="11.7109375" style="15" customWidth="1"/>
    <col min="20" max="20" width="1.7109375" style="15" customWidth="1"/>
    <col min="21" max="21" width="11.7109375" style="15" customWidth="1"/>
    <col min="22" max="22" width="2.42578125" style="15" customWidth="1"/>
    <col min="23" max="23" width="11.7109375" style="15" customWidth="1"/>
    <col min="24" max="24" width="1.7109375" style="15" customWidth="1"/>
    <col min="25" max="16384" width="9.140625" style="15"/>
  </cols>
  <sheetData>
    <row r="1" spans="1:24" s="7" customFormat="1">
      <c r="A1" s="31" t="s">
        <v>127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4" s="7" customFormat="1">
      <c r="A2" s="31" t="s">
        <v>367</v>
      </c>
      <c r="B2" s="31"/>
      <c r="C2" s="31"/>
      <c r="D2" s="31"/>
      <c r="E2" s="31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4" s="3" customFormat="1">
      <c r="A3" s="4"/>
      <c r="B3" s="5"/>
      <c r="C3" s="5"/>
      <c r="D3" s="5"/>
      <c r="E3" s="5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4" s="3" customFormat="1">
      <c r="A4" s="7" t="s">
        <v>257</v>
      </c>
    </row>
    <row r="5" spans="1:24" s="3" customFormat="1">
      <c r="A5" s="7"/>
    </row>
    <row r="6" spans="1:24" s="3" customFormat="1">
      <c r="A6" s="18"/>
    </row>
    <row r="7" spans="1:24" s="7" customFormat="1">
      <c r="A7" s="29" t="s">
        <v>311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W7" s="11" t="s">
        <v>0</v>
      </c>
    </row>
    <row r="8" spans="1:24" s="11" customForma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W8" s="11" t="s">
        <v>128</v>
      </c>
    </row>
    <row r="9" spans="1:24" s="11" customFormat="1">
      <c r="A9" s="20"/>
      <c r="B9" s="2"/>
      <c r="C9" s="2"/>
      <c r="D9" s="2"/>
      <c r="E9" s="2"/>
      <c r="F9" s="2"/>
      <c r="G9" s="2" t="s">
        <v>24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 t="s">
        <v>0</v>
      </c>
      <c r="W9" s="11" t="s">
        <v>129</v>
      </c>
    </row>
    <row r="10" spans="1:24" s="11" customFormat="1">
      <c r="A10" s="2"/>
      <c r="B10" s="2"/>
      <c r="C10" s="2"/>
      <c r="D10" s="2"/>
      <c r="E10" s="2"/>
      <c r="F10" s="2"/>
      <c r="G10" s="2" t="s">
        <v>130</v>
      </c>
      <c r="H10" s="2"/>
      <c r="I10" s="2"/>
      <c r="J10" s="2"/>
      <c r="K10" s="2" t="s">
        <v>131</v>
      </c>
      <c r="L10" s="2"/>
      <c r="M10" s="2" t="s">
        <v>4</v>
      </c>
      <c r="N10" s="2"/>
      <c r="O10" s="2" t="s">
        <v>132</v>
      </c>
      <c r="P10" s="2"/>
      <c r="Q10" s="2" t="s">
        <v>233</v>
      </c>
      <c r="R10" s="2"/>
      <c r="S10" s="2"/>
      <c r="T10" s="2"/>
      <c r="U10" s="11" t="s">
        <v>133</v>
      </c>
      <c r="W10" s="11" t="s">
        <v>134</v>
      </c>
    </row>
    <row r="11" spans="1:24" s="11" customFormat="1">
      <c r="A11" s="25" t="s">
        <v>277</v>
      </c>
      <c r="C11" s="25" t="s">
        <v>10</v>
      </c>
      <c r="E11" s="25" t="s">
        <v>11</v>
      </c>
      <c r="F11" s="2"/>
      <c r="G11" s="25" t="s">
        <v>135</v>
      </c>
      <c r="H11" s="2"/>
      <c r="I11" s="25" t="s">
        <v>136</v>
      </c>
      <c r="J11" s="2"/>
      <c r="K11" s="25" t="s">
        <v>137</v>
      </c>
      <c r="L11" s="2"/>
      <c r="M11" s="25" t="s">
        <v>138</v>
      </c>
      <c r="N11" s="2"/>
      <c r="O11" s="25" t="s">
        <v>139</v>
      </c>
      <c r="P11" s="2"/>
      <c r="Q11" s="25" t="s">
        <v>140</v>
      </c>
      <c r="R11" s="2"/>
      <c r="S11" s="25" t="s">
        <v>6</v>
      </c>
      <c r="T11" s="2"/>
      <c r="U11" s="25" t="s">
        <v>141</v>
      </c>
      <c r="V11" s="2"/>
      <c r="W11" s="25" t="s">
        <v>376</v>
      </c>
    </row>
    <row r="12" spans="1:24" s="11" customFormat="1">
      <c r="A12" s="2"/>
      <c r="C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4" ht="12.75">
      <c r="A13" s="32" t="s">
        <v>252</v>
      </c>
      <c r="B13" s="17"/>
    </row>
    <row r="14" spans="1:24" ht="12.75">
      <c r="A14" s="32"/>
      <c r="B14" s="17"/>
    </row>
    <row r="15" spans="1:24" s="103" customFormat="1">
      <c r="A15" s="3" t="s">
        <v>283</v>
      </c>
      <c r="B15" s="3"/>
      <c r="C15" s="3" t="s">
        <v>260</v>
      </c>
      <c r="E15" s="103">
        <v>50773</v>
      </c>
      <c r="G15" s="19">
        <v>0</v>
      </c>
      <c r="H15" s="19"/>
      <c r="I15" s="19">
        <v>239999</v>
      </c>
      <c r="J15" s="19"/>
      <c r="K15" s="19">
        <v>0</v>
      </c>
      <c r="L15" s="19"/>
      <c r="M15" s="19">
        <v>0</v>
      </c>
      <c r="N15" s="19"/>
      <c r="O15" s="19">
        <v>560016</v>
      </c>
      <c r="P15" s="19"/>
      <c r="Q15" s="19">
        <v>0</v>
      </c>
      <c r="R15" s="19"/>
      <c r="S15" s="115">
        <f>SUM(G15:R15)</f>
        <v>800015</v>
      </c>
      <c r="T15" s="19"/>
      <c r="U15" s="19">
        <v>221387</v>
      </c>
      <c r="V15" s="3"/>
      <c r="W15" s="3">
        <f>'St of Net Position'!Q15-U15</f>
        <v>0</v>
      </c>
      <c r="X15" s="19"/>
    </row>
    <row r="16" spans="1:24" s="19" customFormat="1">
      <c r="A16" s="3" t="s">
        <v>239</v>
      </c>
      <c r="C16" s="19" t="s">
        <v>143</v>
      </c>
      <c r="E16" s="114">
        <v>62042</v>
      </c>
      <c r="G16" s="3">
        <f>294187+413617</f>
        <v>707804</v>
      </c>
      <c r="H16" s="3"/>
      <c r="I16" s="3">
        <v>0</v>
      </c>
      <c r="J16" s="3"/>
      <c r="K16" s="3">
        <v>0</v>
      </c>
      <c r="L16" s="3"/>
      <c r="M16" s="3">
        <v>0</v>
      </c>
      <c r="N16" s="3"/>
      <c r="O16" s="3">
        <v>434027</v>
      </c>
      <c r="P16" s="3"/>
      <c r="Q16" s="3">
        <v>0</v>
      </c>
      <c r="R16" s="3"/>
      <c r="S16" s="16">
        <f>SUM(G16:R16)</f>
        <v>1141831</v>
      </c>
      <c r="T16" s="3"/>
      <c r="U16" s="3">
        <v>166033</v>
      </c>
      <c r="V16" s="3"/>
      <c r="W16" s="3">
        <f>'St of Net Position'!Q16-U16</f>
        <v>0</v>
      </c>
      <c r="X16" s="103"/>
    </row>
    <row r="17" spans="1:23" s="103" customFormat="1">
      <c r="A17" s="3" t="s">
        <v>348</v>
      </c>
      <c r="C17" s="103" t="s">
        <v>144</v>
      </c>
      <c r="E17" s="103">
        <v>50815</v>
      </c>
      <c r="G17" s="3">
        <v>0</v>
      </c>
      <c r="H17" s="3"/>
      <c r="I17" s="3">
        <v>0</v>
      </c>
      <c r="J17" s="3"/>
      <c r="K17" s="3">
        <v>0</v>
      </c>
      <c r="L17" s="3"/>
      <c r="M17" s="3">
        <v>0</v>
      </c>
      <c r="N17" s="3"/>
      <c r="O17" s="3">
        <v>705478</v>
      </c>
      <c r="P17" s="3"/>
      <c r="Q17" s="3">
        <v>0</v>
      </c>
      <c r="R17" s="3"/>
      <c r="S17" s="16">
        <f>SUM(G17:R17)</f>
        <v>705478</v>
      </c>
      <c r="T17" s="3"/>
      <c r="U17" s="3">
        <v>244066</v>
      </c>
      <c r="V17" s="3"/>
      <c r="W17" s="3">
        <f>'St of Net Position'!Q17-U17</f>
        <v>0</v>
      </c>
    </row>
    <row r="18" spans="1:23" s="103" customFormat="1">
      <c r="A18" s="3" t="s">
        <v>289</v>
      </c>
      <c r="C18" s="103" t="s">
        <v>146</v>
      </c>
      <c r="E18" s="103">
        <v>51169</v>
      </c>
      <c r="G18" s="3">
        <v>5240000</v>
      </c>
      <c r="H18" s="3"/>
      <c r="I18" s="3">
        <v>0</v>
      </c>
      <c r="J18" s="3"/>
      <c r="K18" s="3">
        <v>0</v>
      </c>
      <c r="L18" s="3"/>
      <c r="M18" s="3">
        <v>0</v>
      </c>
      <c r="N18" s="3"/>
      <c r="O18" s="3">
        <v>753752</v>
      </c>
      <c r="P18" s="3"/>
      <c r="Q18" s="3">
        <v>0</v>
      </c>
      <c r="R18" s="3"/>
      <c r="S18" s="16">
        <f t="shared" ref="S18:S65" si="0">SUM(G18:R18)</f>
        <v>5993752</v>
      </c>
      <c r="T18" s="3"/>
      <c r="U18" s="3">
        <v>421987</v>
      </c>
      <c r="V18" s="3"/>
      <c r="W18" s="3">
        <f>'St of Net Position'!Q18-U18</f>
        <v>0</v>
      </c>
    </row>
    <row r="19" spans="1:23" s="103" customFormat="1">
      <c r="A19" s="3" t="s">
        <v>290</v>
      </c>
      <c r="C19" s="103" t="s">
        <v>149</v>
      </c>
      <c r="E19" s="103">
        <v>50856</v>
      </c>
      <c r="G19" s="3">
        <v>714198</v>
      </c>
      <c r="H19" s="3"/>
      <c r="I19" s="3">
        <v>200003</v>
      </c>
      <c r="J19" s="3"/>
      <c r="K19" s="3">
        <v>0</v>
      </c>
      <c r="L19" s="3"/>
      <c r="M19" s="3">
        <v>0</v>
      </c>
      <c r="N19" s="3"/>
      <c r="O19" s="3">
        <v>959262</v>
      </c>
      <c r="P19" s="3"/>
      <c r="Q19" s="3">
        <v>0</v>
      </c>
      <c r="R19" s="3"/>
      <c r="S19" s="16">
        <f t="shared" si="0"/>
        <v>1873463</v>
      </c>
      <c r="T19" s="3"/>
      <c r="U19" s="3">
        <v>92480</v>
      </c>
      <c r="V19" s="3"/>
      <c r="W19" s="3">
        <f>'St of Net Position'!Q19-U19</f>
        <v>0</v>
      </c>
    </row>
    <row r="20" spans="1:23" s="103" customFormat="1">
      <c r="A20" s="3" t="s">
        <v>220</v>
      </c>
      <c r="C20" s="103" t="s">
        <v>198</v>
      </c>
      <c r="E20" s="103">
        <v>51656</v>
      </c>
      <c r="G20" s="3">
        <v>0</v>
      </c>
      <c r="H20" s="3"/>
      <c r="I20" s="3">
        <v>0</v>
      </c>
      <c r="J20" s="3"/>
      <c r="K20" s="3">
        <v>0</v>
      </c>
      <c r="L20" s="3"/>
      <c r="M20" s="3">
        <v>0</v>
      </c>
      <c r="N20" s="3"/>
      <c r="O20" s="3">
        <v>558498</v>
      </c>
      <c r="P20" s="3"/>
      <c r="Q20" s="3">
        <v>0</v>
      </c>
      <c r="R20" s="3"/>
      <c r="S20" s="16">
        <f t="shared" si="0"/>
        <v>558498</v>
      </c>
      <c r="T20" s="3"/>
      <c r="U20" s="3">
        <v>116600</v>
      </c>
      <c r="V20" s="3"/>
      <c r="W20" s="3">
        <f>'St of Net Position'!Q20-U20</f>
        <v>0</v>
      </c>
    </row>
    <row r="21" spans="1:23" s="103" customFormat="1">
      <c r="A21" s="3" t="s">
        <v>357</v>
      </c>
      <c r="C21" s="103" t="s">
        <v>147</v>
      </c>
      <c r="E21" s="103">
        <v>50880</v>
      </c>
      <c r="G21" s="3">
        <v>0</v>
      </c>
      <c r="H21" s="3"/>
      <c r="I21" s="3">
        <v>0</v>
      </c>
      <c r="J21" s="3"/>
      <c r="K21" s="3">
        <v>0</v>
      </c>
      <c r="L21" s="3"/>
      <c r="M21" s="3">
        <v>0</v>
      </c>
      <c r="N21" s="3"/>
      <c r="O21" s="3">
        <v>1517202</v>
      </c>
      <c r="P21" s="3"/>
      <c r="Q21" s="3">
        <v>0</v>
      </c>
      <c r="R21" s="3"/>
      <c r="S21" s="16">
        <f t="shared" si="0"/>
        <v>1517202</v>
      </c>
      <c r="T21" s="3"/>
      <c r="U21" s="3">
        <v>206212</v>
      </c>
      <c r="V21" s="3"/>
      <c r="W21" s="3">
        <f>'St of Net Position'!Q21-U21</f>
        <v>0</v>
      </c>
    </row>
    <row r="22" spans="1:23" s="103" customFormat="1">
      <c r="A22" s="3" t="s">
        <v>273</v>
      </c>
      <c r="C22" s="103" t="s">
        <v>173</v>
      </c>
      <c r="E22" s="103">
        <v>51201</v>
      </c>
      <c r="G22" s="3">
        <v>26556321</v>
      </c>
      <c r="H22" s="3"/>
      <c r="I22" s="3">
        <v>0</v>
      </c>
      <c r="J22" s="3"/>
      <c r="K22" s="3">
        <v>0</v>
      </c>
      <c r="L22" s="3"/>
      <c r="M22" s="3">
        <v>3907</v>
      </c>
      <c r="N22" s="3"/>
      <c r="O22" s="3">
        <v>491447</v>
      </c>
      <c r="P22" s="3"/>
      <c r="Q22" s="3">
        <v>0</v>
      </c>
      <c r="R22" s="3"/>
      <c r="S22" s="16">
        <f>SUM(G22:R22)</f>
        <v>27051675</v>
      </c>
      <c r="T22" s="3"/>
      <c r="U22" s="3">
        <v>1555886</v>
      </c>
      <c r="V22" s="3"/>
      <c r="W22" s="3">
        <f>'St of Net Position'!Q22-U22</f>
        <v>0</v>
      </c>
    </row>
    <row r="23" spans="1:23" s="89" customFormat="1" hidden="1">
      <c r="A23" s="88" t="s">
        <v>271</v>
      </c>
      <c r="C23" s="89" t="s">
        <v>214</v>
      </c>
      <c r="E23" s="89">
        <v>63511</v>
      </c>
      <c r="G23" s="88">
        <v>0</v>
      </c>
      <c r="H23" s="88"/>
      <c r="I23" s="88">
        <v>0</v>
      </c>
      <c r="J23" s="88"/>
      <c r="K23" s="88">
        <v>0</v>
      </c>
      <c r="L23" s="88"/>
      <c r="M23" s="88">
        <v>0</v>
      </c>
      <c r="N23" s="88"/>
      <c r="O23" s="88">
        <v>0</v>
      </c>
      <c r="P23" s="88"/>
      <c r="Q23" s="88"/>
      <c r="R23" s="88"/>
      <c r="S23" s="90">
        <f t="shared" si="0"/>
        <v>0</v>
      </c>
      <c r="T23" s="88"/>
      <c r="U23" s="88">
        <v>0</v>
      </c>
      <c r="V23" s="88"/>
      <c r="W23" s="88">
        <f>'St of Net Position'!Q23-U23</f>
        <v>0</v>
      </c>
    </row>
    <row r="24" spans="1:23" s="103" customFormat="1">
      <c r="A24" s="3" t="s">
        <v>356</v>
      </c>
      <c r="C24" s="103" t="s">
        <v>156</v>
      </c>
      <c r="E24" s="103">
        <v>50906</v>
      </c>
      <c r="G24" s="3">
        <v>0</v>
      </c>
      <c r="H24" s="3"/>
      <c r="I24" s="3">
        <v>0</v>
      </c>
      <c r="J24" s="3"/>
      <c r="K24" s="3">
        <v>0</v>
      </c>
      <c r="L24" s="3"/>
      <c r="M24" s="3">
        <v>0</v>
      </c>
      <c r="N24" s="3"/>
      <c r="O24" s="3">
        <v>235579</v>
      </c>
      <c r="P24" s="3"/>
      <c r="Q24" s="3">
        <v>0</v>
      </c>
      <c r="R24" s="3"/>
      <c r="S24" s="16">
        <f t="shared" si="0"/>
        <v>235579</v>
      </c>
      <c r="T24" s="3"/>
      <c r="U24" s="3">
        <v>56221</v>
      </c>
      <c r="V24" s="3"/>
      <c r="W24" s="3">
        <f>'St of Net Position'!Q24-U24</f>
        <v>0</v>
      </c>
    </row>
    <row r="25" spans="1:23" s="103" customFormat="1">
      <c r="A25" s="3" t="s">
        <v>243</v>
      </c>
      <c r="C25" s="103" t="s">
        <v>207</v>
      </c>
      <c r="E25" s="103">
        <v>65227</v>
      </c>
      <c r="G25" s="3">
        <v>0</v>
      </c>
      <c r="H25" s="3"/>
      <c r="I25" s="3">
        <f>238502+18726</f>
        <v>257228</v>
      </c>
      <c r="J25" s="3"/>
      <c r="K25" s="3">
        <v>0</v>
      </c>
      <c r="L25" s="3"/>
      <c r="M25" s="3">
        <v>15033</v>
      </c>
      <c r="N25" s="3"/>
      <c r="O25" s="3">
        <v>280416</v>
      </c>
      <c r="P25" s="3"/>
      <c r="Q25" s="3">
        <v>0</v>
      </c>
      <c r="R25" s="3"/>
      <c r="S25" s="16">
        <f t="shared" si="0"/>
        <v>552677</v>
      </c>
      <c r="T25" s="3"/>
      <c r="U25" s="3">
        <v>47847</v>
      </c>
      <c r="V25" s="3"/>
      <c r="W25" s="3">
        <f>'St of Net Position'!Q25-U25</f>
        <v>0</v>
      </c>
    </row>
    <row r="26" spans="1:23" s="103" customFormat="1">
      <c r="A26" s="3" t="s">
        <v>241</v>
      </c>
      <c r="C26" s="103" t="s">
        <v>157</v>
      </c>
      <c r="E26" s="103">
        <v>50922</v>
      </c>
      <c r="G26" s="3">
        <v>0</v>
      </c>
      <c r="H26" s="3"/>
      <c r="I26" s="3">
        <v>0</v>
      </c>
      <c r="J26" s="3"/>
      <c r="K26" s="3">
        <v>0</v>
      </c>
      <c r="L26" s="3"/>
      <c r="M26" s="3">
        <v>58456</v>
      </c>
      <c r="N26" s="3"/>
      <c r="O26" s="3">
        <v>1820963</v>
      </c>
      <c r="P26" s="3"/>
      <c r="Q26" s="3">
        <v>0</v>
      </c>
      <c r="R26" s="3"/>
      <c r="S26" s="16">
        <f t="shared" si="0"/>
        <v>1879419</v>
      </c>
      <c r="T26" s="3"/>
      <c r="U26" s="3">
        <v>271763</v>
      </c>
      <c r="V26" s="3"/>
      <c r="W26" s="3">
        <f>'St of Net Position'!Q26-U26</f>
        <v>0</v>
      </c>
    </row>
    <row r="27" spans="1:23" s="103" customFormat="1">
      <c r="A27" s="3" t="s">
        <v>240</v>
      </c>
      <c r="C27" s="103" t="s">
        <v>159</v>
      </c>
      <c r="E27" s="103">
        <v>50989</v>
      </c>
      <c r="G27" s="3">
        <v>0</v>
      </c>
      <c r="H27" s="3"/>
      <c r="I27" s="3">
        <v>0</v>
      </c>
      <c r="J27" s="3"/>
      <c r="K27" s="3">
        <v>0</v>
      </c>
      <c r="L27" s="3"/>
      <c r="M27" s="3">
        <v>95397</v>
      </c>
      <c r="N27" s="3"/>
      <c r="O27" s="3">
        <v>1317466</v>
      </c>
      <c r="P27" s="3"/>
      <c r="Q27" s="3">
        <v>0</v>
      </c>
      <c r="R27" s="3"/>
      <c r="S27" s="16">
        <f t="shared" si="0"/>
        <v>1412863</v>
      </c>
      <c r="T27" s="3"/>
      <c r="U27" s="3">
        <v>216990</v>
      </c>
      <c r="V27" s="3"/>
      <c r="W27" s="3">
        <f>'St of Net Position'!Q27-U27</f>
        <v>0</v>
      </c>
    </row>
    <row r="28" spans="1:23" s="103" customFormat="1" ht="12" customHeight="1">
      <c r="A28" s="3" t="s">
        <v>358</v>
      </c>
      <c r="C28" s="103" t="s">
        <v>162</v>
      </c>
      <c r="E28" s="103">
        <v>51003</v>
      </c>
      <c r="G28" s="3">
        <v>3150000</v>
      </c>
      <c r="H28" s="3"/>
      <c r="I28" s="3">
        <v>0</v>
      </c>
      <c r="J28" s="3"/>
      <c r="K28" s="3">
        <v>0</v>
      </c>
      <c r="L28" s="3"/>
      <c r="M28" s="3">
        <v>0</v>
      </c>
      <c r="N28" s="3"/>
      <c r="O28" s="3">
        <v>1250191</v>
      </c>
      <c r="P28" s="3"/>
      <c r="Q28" s="3">
        <v>0</v>
      </c>
      <c r="R28" s="3"/>
      <c r="S28" s="16">
        <f t="shared" si="0"/>
        <v>4400191</v>
      </c>
      <c r="T28" s="3"/>
      <c r="U28" s="3">
        <v>876998</v>
      </c>
      <c r="V28" s="3"/>
      <c r="W28" s="3">
        <f>'St of Net Position'!Q28-U28</f>
        <v>0</v>
      </c>
    </row>
    <row r="29" spans="1:23" s="103" customFormat="1">
      <c r="A29" s="3" t="s">
        <v>242</v>
      </c>
      <c r="C29" s="103" t="s">
        <v>160</v>
      </c>
      <c r="E29" s="103">
        <v>51029</v>
      </c>
      <c r="G29" s="3">
        <f>7500000+39698</f>
        <v>7539698</v>
      </c>
      <c r="H29" s="3"/>
      <c r="I29" s="3">
        <v>0</v>
      </c>
      <c r="J29" s="3"/>
      <c r="K29" s="3">
        <f>1123000+1440000</f>
        <v>2563000</v>
      </c>
      <c r="L29" s="3"/>
      <c r="M29" s="3">
        <v>0</v>
      </c>
      <c r="N29" s="3"/>
      <c r="O29" s="3">
        <v>933295</v>
      </c>
      <c r="P29" s="3"/>
      <c r="Q29" s="3">
        <v>47449</v>
      </c>
      <c r="R29" s="3"/>
      <c r="S29" s="16">
        <f t="shared" si="0"/>
        <v>11083442</v>
      </c>
      <c r="T29" s="3"/>
      <c r="U29" s="3">
        <v>589513</v>
      </c>
      <c r="V29" s="3"/>
      <c r="W29" s="3">
        <f>'St of Net Position'!Q29-U29</f>
        <v>0</v>
      </c>
    </row>
    <row r="30" spans="1:23" s="103" customFormat="1">
      <c r="A30" s="3" t="s">
        <v>244</v>
      </c>
      <c r="C30" s="103" t="s">
        <v>209</v>
      </c>
      <c r="E30" s="103">
        <v>50963</v>
      </c>
      <c r="G30" s="3">
        <v>2835000</v>
      </c>
      <c r="H30" s="3"/>
      <c r="I30" s="3">
        <v>0</v>
      </c>
      <c r="J30" s="3"/>
      <c r="K30" s="3">
        <v>1100000</v>
      </c>
      <c r="L30" s="3"/>
      <c r="M30" s="3">
        <v>0</v>
      </c>
      <c r="N30" s="3"/>
      <c r="O30" s="3">
        <v>934667</v>
      </c>
      <c r="P30" s="3"/>
      <c r="Q30" s="3">
        <v>0</v>
      </c>
      <c r="R30" s="3"/>
      <c r="S30" s="16">
        <f t="shared" si="0"/>
        <v>4869667</v>
      </c>
      <c r="T30" s="3"/>
      <c r="U30" s="3">
        <v>204400</v>
      </c>
      <c r="V30" s="3"/>
      <c r="W30" s="3">
        <f>'St of Net Position'!Q30-U30</f>
        <v>0</v>
      </c>
    </row>
    <row r="31" spans="1:23" s="103" customFormat="1">
      <c r="A31" s="3" t="s">
        <v>208</v>
      </c>
      <c r="C31" s="103" t="s">
        <v>165</v>
      </c>
      <c r="E31" s="103">
        <v>62067</v>
      </c>
      <c r="G31" s="3">
        <v>2040000</v>
      </c>
      <c r="H31" s="3"/>
      <c r="I31" s="3">
        <v>0</v>
      </c>
      <c r="J31" s="3"/>
      <c r="K31" s="3">
        <v>0</v>
      </c>
      <c r="L31" s="3"/>
      <c r="M31" s="3">
        <v>0</v>
      </c>
      <c r="N31" s="3"/>
      <c r="O31" s="3">
        <v>490811</v>
      </c>
      <c r="P31" s="3"/>
      <c r="Q31" s="3">
        <v>0</v>
      </c>
      <c r="R31" s="3"/>
      <c r="S31" s="16">
        <f t="shared" si="0"/>
        <v>2530811</v>
      </c>
      <c r="T31" s="3"/>
      <c r="U31" s="3">
        <v>204000</v>
      </c>
      <c r="V31" s="3"/>
      <c r="W31" s="3">
        <f>'St of Net Position'!Q31-U31</f>
        <v>0</v>
      </c>
    </row>
    <row r="32" spans="1:23" s="103" customFormat="1">
      <c r="A32" s="3" t="s">
        <v>359</v>
      </c>
      <c r="C32" s="103" t="s">
        <v>168</v>
      </c>
      <c r="E32" s="103">
        <v>51060</v>
      </c>
      <c r="G32" s="3">
        <v>16364551</v>
      </c>
      <c r="H32" s="3"/>
      <c r="I32" s="3">
        <v>0</v>
      </c>
      <c r="J32" s="3"/>
      <c r="K32" s="3">
        <v>0</v>
      </c>
      <c r="L32" s="3"/>
      <c r="M32" s="3">
        <v>0</v>
      </c>
      <c r="N32" s="3"/>
      <c r="O32" s="3">
        <v>4005736</v>
      </c>
      <c r="P32" s="3"/>
      <c r="Q32" s="3">
        <v>0</v>
      </c>
      <c r="R32" s="3"/>
      <c r="S32" s="16">
        <f t="shared" si="0"/>
        <v>20370287</v>
      </c>
      <c r="T32" s="3"/>
      <c r="U32" s="3">
        <v>2453203</v>
      </c>
      <c r="V32" s="3"/>
      <c r="W32" s="3">
        <f>'St of Net Position'!Q32-U32</f>
        <v>0</v>
      </c>
    </row>
    <row r="33" spans="1:23" s="103" customFormat="1">
      <c r="A33" s="3" t="s">
        <v>315</v>
      </c>
      <c r="C33" s="103" t="s">
        <v>167</v>
      </c>
      <c r="E33" s="103">
        <v>51045</v>
      </c>
      <c r="G33" s="3">
        <v>0</v>
      </c>
      <c r="H33" s="3"/>
      <c r="I33" s="3">
        <v>83336</v>
      </c>
      <c r="J33" s="3"/>
      <c r="K33" s="3">
        <v>0</v>
      </c>
      <c r="L33" s="3"/>
      <c r="M33" s="3">
        <v>0</v>
      </c>
      <c r="N33" s="3"/>
      <c r="O33" s="3">
        <v>452609</v>
      </c>
      <c r="P33" s="3"/>
      <c r="Q33" s="3">
        <v>0</v>
      </c>
      <c r="R33" s="3"/>
      <c r="S33" s="16">
        <f t="shared" si="0"/>
        <v>535945</v>
      </c>
      <c r="T33" s="3"/>
      <c r="U33" s="3">
        <v>181986</v>
      </c>
      <c r="V33" s="3"/>
      <c r="W33" s="3">
        <f>'St of Net Position'!Q33-U33</f>
        <v>0</v>
      </c>
    </row>
    <row r="34" spans="1:23" s="103" customFormat="1">
      <c r="A34" s="3" t="s">
        <v>210</v>
      </c>
      <c r="C34" s="103" t="s">
        <v>170</v>
      </c>
      <c r="E34" s="103">
        <v>51128</v>
      </c>
      <c r="G34" s="3">
        <v>880256</v>
      </c>
      <c r="H34" s="3"/>
      <c r="I34" s="3">
        <v>0</v>
      </c>
      <c r="J34" s="3"/>
      <c r="K34" s="3">
        <v>0</v>
      </c>
      <c r="L34" s="3"/>
      <c r="M34" s="3">
        <v>0</v>
      </c>
      <c r="N34" s="3"/>
      <c r="O34" s="3">
        <v>290594</v>
      </c>
      <c r="P34" s="3"/>
      <c r="Q34" s="3">
        <v>0</v>
      </c>
      <c r="R34" s="3"/>
      <c r="S34" s="16">
        <f t="shared" si="0"/>
        <v>1170850</v>
      </c>
      <c r="T34" s="3"/>
      <c r="U34" s="3">
        <v>86290</v>
      </c>
      <c r="V34" s="3"/>
      <c r="W34" s="3">
        <f>'St of Net Position'!Q34-U34</f>
        <v>0</v>
      </c>
    </row>
    <row r="35" spans="1:23" s="103" customFormat="1">
      <c r="A35" s="3" t="s">
        <v>245</v>
      </c>
      <c r="C35" s="103" t="s">
        <v>171</v>
      </c>
      <c r="E35" s="103">
        <v>51144</v>
      </c>
      <c r="G35" s="3">
        <v>28818</v>
      </c>
      <c r="H35" s="3"/>
      <c r="I35" s="3">
        <v>3769000</v>
      </c>
      <c r="J35" s="3"/>
      <c r="K35" s="3">
        <v>0</v>
      </c>
      <c r="L35" s="3"/>
      <c r="M35" s="3">
        <v>0</v>
      </c>
      <c r="N35" s="3"/>
      <c r="O35" s="3">
        <v>701758</v>
      </c>
      <c r="P35" s="3"/>
      <c r="Q35" s="3">
        <v>0</v>
      </c>
      <c r="R35" s="3"/>
      <c r="S35" s="16">
        <v>4499576</v>
      </c>
      <c r="T35" s="3"/>
      <c r="U35" s="3">
        <v>363480</v>
      </c>
      <c r="V35" s="3"/>
      <c r="W35" s="3">
        <v>0</v>
      </c>
    </row>
    <row r="36" spans="1:23" s="103" customFormat="1">
      <c r="A36" s="3" t="s">
        <v>211</v>
      </c>
      <c r="C36" s="103" t="s">
        <v>172</v>
      </c>
      <c r="E36" s="103">
        <v>51185</v>
      </c>
      <c r="G36" s="3">
        <f>6605786-313016</f>
        <v>6292770</v>
      </c>
      <c r="H36" s="3"/>
      <c r="I36" s="3">
        <v>0</v>
      </c>
      <c r="J36" s="3"/>
      <c r="K36" s="3">
        <v>0</v>
      </c>
      <c r="L36" s="3"/>
      <c r="M36" s="3">
        <v>0</v>
      </c>
      <c r="N36" s="3"/>
      <c r="O36" s="3">
        <v>313016</v>
      </c>
      <c r="P36" s="3"/>
      <c r="Q36" s="3">
        <v>0</v>
      </c>
      <c r="R36" s="3"/>
      <c r="S36" s="16">
        <f t="shared" si="0"/>
        <v>6605786</v>
      </c>
      <c r="T36" s="3"/>
      <c r="U36" s="3">
        <v>431219</v>
      </c>
      <c r="V36" s="3"/>
      <c r="W36" s="3">
        <f>'St of Net Position'!Q36-U36</f>
        <v>0</v>
      </c>
    </row>
    <row r="37" spans="1:23" s="89" customFormat="1" hidden="1">
      <c r="A37" s="88" t="s">
        <v>284</v>
      </c>
      <c r="C37" s="89" t="s">
        <v>173</v>
      </c>
      <c r="E37" s="89">
        <v>47977</v>
      </c>
      <c r="G37" s="88">
        <v>0</v>
      </c>
      <c r="H37" s="88"/>
      <c r="I37" s="88">
        <v>0</v>
      </c>
      <c r="J37" s="88"/>
      <c r="K37" s="88">
        <v>0</v>
      </c>
      <c r="L37" s="88"/>
      <c r="M37" s="88">
        <v>0</v>
      </c>
      <c r="N37" s="88"/>
      <c r="O37" s="88">
        <v>0</v>
      </c>
      <c r="P37" s="88"/>
      <c r="Q37" s="88"/>
      <c r="R37" s="88"/>
      <c r="S37" s="90">
        <f t="shared" si="0"/>
        <v>0</v>
      </c>
      <c r="T37" s="88"/>
      <c r="U37" s="88">
        <v>0</v>
      </c>
      <c r="V37" s="88"/>
      <c r="W37" s="88">
        <f>'St of Net Position'!Q37-U37</f>
        <v>0</v>
      </c>
    </row>
    <row r="38" spans="1:23" s="103" customFormat="1">
      <c r="A38" s="3" t="s">
        <v>213</v>
      </c>
      <c r="C38" s="103" t="s">
        <v>142</v>
      </c>
      <c r="E38" s="103">
        <v>51227</v>
      </c>
      <c r="G38" s="3">
        <v>0</v>
      </c>
      <c r="H38" s="3"/>
      <c r="I38" s="3">
        <v>0</v>
      </c>
      <c r="J38" s="3"/>
      <c r="K38" s="3">
        <v>3490420</v>
      </c>
      <c r="L38" s="3"/>
      <c r="M38" s="3">
        <v>0</v>
      </c>
      <c r="N38" s="3"/>
      <c r="O38" s="3">
        <v>3757591</v>
      </c>
      <c r="P38" s="3"/>
      <c r="Q38" s="3">
        <v>0</v>
      </c>
      <c r="R38" s="3"/>
      <c r="S38" s="16">
        <f t="shared" si="0"/>
        <v>7248011</v>
      </c>
      <c r="T38" s="3"/>
      <c r="U38" s="3">
        <v>759210</v>
      </c>
      <c r="V38" s="3"/>
      <c r="W38" s="3">
        <f>'St of Net Position'!Q38-U38</f>
        <v>0</v>
      </c>
    </row>
    <row r="39" spans="1:23" s="103" customFormat="1">
      <c r="A39" s="3" t="s">
        <v>360</v>
      </c>
      <c r="C39" s="103" t="s">
        <v>176</v>
      </c>
      <c r="E39" s="103">
        <v>51243</v>
      </c>
      <c r="G39" s="3">
        <v>15214165</v>
      </c>
      <c r="H39" s="3"/>
      <c r="I39" s="3">
        <v>0</v>
      </c>
      <c r="J39" s="3"/>
      <c r="K39" s="3">
        <v>0</v>
      </c>
      <c r="L39" s="3"/>
      <c r="M39" s="3">
        <v>0</v>
      </c>
      <c r="N39" s="3"/>
      <c r="O39" s="3">
        <v>1171649</v>
      </c>
      <c r="P39" s="3"/>
      <c r="Q39" s="3">
        <v>0</v>
      </c>
      <c r="R39" s="3"/>
      <c r="S39" s="16">
        <f t="shared" si="0"/>
        <v>16385814</v>
      </c>
      <c r="T39" s="3"/>
      <c r="U39" s="3">
        <v>466059</v>
      </c>
      <c r="V39" s="3"/>
      <c r="W39" s="3">
        <f>'St of Net Position'!Q39-U39</f>
        <v>0</v>
      </c>
    </row>
    <row r="40" spans="1:23" s="103" customFormat="1">
      <c r="A40" s="3" t="s">
        <v>246</v>
      </c>
      <c r="C40" s="103" t="s">
        <v>186</v>
      </c>
      <c r="E40" s="103">
        <v>51391</v>
      </c>
      <c r="G40" s="3">
        <v>0</v>
      </c>
      <c r="H40" s="3"/>
      <c r="I40" s="3">
        <v>0</v>
      </c>
      <c r="J40" s="3"/>
      <c r="K40" s="3">
        <v>0</v>
      </c>
      <c r="L40" s="3"/>
      <c r="M40" s="3">
        <v>0</v>
      </c>
      <c r="N40" s="3"/>
      <c r="O40" s="3">
        <v>1113357</v>
      </c>
      <c r="P40" s="3"/>
      <c r="Q40" s="3">
        <v>0</v>
      </c>
      <c r="R40" s="3"/>
      <c r="S40" s="16">
        <f t="shared" si="0"/>
        <v>1113357</v>
      </c>
      <c r="T40" s="3"/>
      <c r="U40" s="3">
        <v>86266</v>
      </c>
      <c r="V40" s="3"/>
      <c r="W40" s="3">
        <f>'St of Net Position'!Q40-U40</f>
        <v>0</v>
      </c>
    </row>
    <row r="41" spans="1:23" s="103" customFormat="1">
      <c r="A41" s="3" t="s">
        <v>217</v>
      </c>
      <c r="C41" s="103" t="s">
        <v>178</v>
      </c>
      <c r="E41" s="103">
        <v>62109</v>
      </c>
      <c r="G41" s="3">
        <v>0</v>
      </c>
      <c r="H41" s="3"/>
      <c r="I41" s="3">
        <v>0</v>
      </c>
      <c r="J41" s="3"/>
      <c r="K41" s="3">
        <v>0</v>
      </c>
      <c r="L41" s="3"/>
      <c r="M41" s="3">
        <v>0</v>
      </c>
      <c r="N41" s="3"/>
      <c r="O41" s="3">
        <v>1537093</v>
      </c>
      <c r="P41" s="3"/>
      <c r="Q41" s="3">
        <v>132689</v>
      </c>
      <c r="R41" s="3"/>
      <c r="S41" s="16">
        <f t="shared" si="0"/>
        <v>1669782</v>
      </c>
      <c r="T41" s="3"/>
      <c r="U41" s="3">
        <v>194678</v>
      </c>
      <c r="V41" s="3"/>
      <c r="W41" s="3">
        <f>'St of Net Position'!Q41-U41</f>
        <v>0</v>
      </c>
    </row>
    <row r="42" spans="1:23" s="103" customFormat="1">
      <c r="A42" s="3" t="s">
        <v>361</v>
      </c>
      <c r="C42" s="103" t="s">
        <v>181</v>
      </c>
      <c r="E42" s="103">
        <v>51284</v>
      </c>
      <c r="G42" s="3">
        <v>6681995</v>
      </c>
      <c r="H42" s="3"/>
      <c r="I42" s="3">
        <v>0</v>
      </c>
      <c r="J42" s="3"/>
      <c r="K42" s="3">
        <v>0</v>
      </c>
      <c r="L42" s="3"/>
      <c r="M42" s="3">
        <v>0</v>
      </c>
      <c r="N42" s="3"/>
      <c r="O42" s="3">
        <v>2504362</v>
      </c>
      <c r="P42" s="3"/>
      <c r="Q42" s="3">
        <v>0</v>
      </c>
      <c r="R42" s="3"/>
      <c r="S42" s="16">
        <f t="shared" si="0"/>
        <v>9186357</v>
      </c>
      <c r="T42" s="3"/>
      <c r="U42" s="3">
        <v>718146</v>
      </c>
      <c r="V42" s="3"/>
      <c r="W42" s="3">
        <f>'St of Net Position'!Q42-U42</f>
        <v>0</v>
      </c>
    </row>
    <row r="43" spans="1:23" s="103" customFormat="1">
      <c r="A43" s="3" t="s">
        <v>362</v>
      </c>
      <c r="C43" s="103" t="s">
        <v>183</v>
      </c>
      <c r="E43" s="103">
        <v>51300</v>
      </c>
      <c r="G43" s="3">
        <v>11822652</v>
      </c>
      <c r="H43" s="3"/>
      <c r="I43" s="3">
        <v>0</v>
      </c>
      <c r="J43" s="3"/>
      <c r="K43" s="3">
        <v>3794995</v>
      </c>
      <c r="L43" s="3"/>
      <c r="M43" s="3">
        <v>25545</v>
      </c>
      <c r="N43" s="3"/>
      <c r="O43" s="3">
        <v>644103</v>
      </c>
      <c r="P43" s="3"/>
      <c r="Q43" s="3">
        <v>0</v>
      </c>
      <c r="R43" s="3"/>
      <c r="S43" s="16">
        <f t="shared" si="0"/>
        <v>16287295</v>
      </c>
      <c r="T43" s="3"/>
      <c r="U43" s="3">
        <v>2097683</v>
      </c>
      <c r="V43" s="3"/>
      <c r="W43" s="3">
        <f>'St of Net Position'!Q43-U43</f>
        <v>0</v>
      </c>
    </row>
    <row r="44" spans="1:23" s="103" customFormat="1">
      <c r="A44" s="3" t="s">
        <v>212</v>
      </c>
      <c r="C44" s="103" t="s">
        <v>174</v>
      </c>
      <c r="E44" s="103">
        <v>51334</v>
      </c>
      <c r="G44" s="3">
        <v>376450</v>
      </c>
      <c r="H44" s="3"/>
      <c r="I44" s="3">
        <v>233337</v>
      </c>
      <c r="J44" s="3"/>
      <c r="K44" s="3">
        <v>0</v>
      </c>
      <c r="L44" s="3"/>
      <c r="M44" s="3">
        <v>0</v>
      </c>
      <c r="N44" s="3"/>
      <c r="O44" s="3">
        <v>846658</v>
      </c>
      <c r="P44" s="3"/>
      <c r="Q44" s="3">
        <v>0</v>
      </c>
      <c r="R44" s="3"/>
      <c r="S44" s="16">
        <f t="shared" si="0"/>
        <v>1456445</v>
      </c>
      <c r="T44" s="3"/>
      <c r="U44" s="3">
        <v>278693</v>
      </c>
      <c r="V44" s="3"/>
      <c r="W44" s="3">
        <f>'St of Net Position'!Q44-U44</f>
        <v>0</v>
      </c>
    </row>
    <row r="45" spans="1:23" s="103" customFormat="1">
      <c r="A45" s="3" t="s">
        <v>322</v>
      </c>
      <c r="C45" s="103" t="s">
        <v>204</v>
      </c>
      <c r="E45" s="103">
        <v>51359</v>
      </c>
      <c r="G45" s="3">
        <f>41650000+3685631</f>
        <v>45335631</v>
      </c>
      <c r="H45" s="3"/>
      <c r="I45" s="3">
        <v>0</v>
      </c>
      <c r="J45" s="3"/>
      <c r="K45" s="3">
        <v>0</v>
      </c>
      <c r="L45" s="3"/>
      <c r="M45" s="3">
        <v>215650</v>
      </c>
      <c r="N45" s="3"/>
      <c r="O45" s="3">
        <v>2517258</v>
      </c>
      <c r="P45" s="3"/>
      <c r="Q45" s="3">
        <v>0</v>
      </c>
      <c r="R45" s="3"/>
      <c r="S45" s="16">
        <f t="shared" si="0"/>
        <v>48068539</v>
      </c>
      <c r="T45" s="3"/>
      <c r="U45" s="3">
        <v>2593566</v>
      </c>
      <c r="V45" s="3"/>
      <c r="W45" s="3">
        <f>'St of Net Position'!Q45-U45</f>
        <v>0</v>
      </c>
    </row>
    <row r="46" spans="1:23" s="103" customFormat="1">
      <c r="A46" s="3" t="s">
        <v>363</v>
      </c>
      <c r="C46" s="103" t="s">
        <v>190</v>
      </c>
      <c r="E46" s="103">
        <v>51433</v>
      </c>
      <c r="G46" s="3">
        <v>0</v>
      </c>
      <c r="H46" s="3"/>
      <c r="I46" s="3">
        <v>0</v>
      </c>
      <c r="J46" s="3"/>
      <c r="K46" s="3">
        <v>0</v>
      </c>
      <c r="L46" s="3"/>
      <c r="M46" s="3">
        <v>2592777</v>
      </c>
      <c r="N46" s="3"/>
      <c r="O46" s="3">
        <v>1650231</v>
      </c>
      <c r="P46" s="3"/>
      <c r="Q46" s="3">
        <v>0</v>
      </c>
      <c r="R46" s="3"/>
      <c r="S46" s="16">
        <f t="shared" si="0"/>
        <v>4243008</v>
      </c>
      <c r="T46" s="3"/>
      <c r="U46" s="3">
        <v>616334</v>
      </c>
      <c r="V46" s="3"/>
      <c r="W46" s="3">
        <f>'St of Net Position'!Q46-U46</f>
        <v>0</v>
      </c>
    </row>
    <row r="47" spans="1:23" s="103" customFormat="1">
      <c r="A47" s="3" t="s">
        <v>247</v>
      </c>
      <c r="C47" s="103" t="s">
        <v>218</v>
      </c>
      <c r="E47" s="103">
        <v>51375</v>
      </c>
      <c r="G47" s="3">
        <v>0</v>
      </c>
      <c r="H47" s="3"/>
      <c r="I47" s="3">
        <v>0</v>
      </c>
      <c r="J47" s="3"/>
      <c r="K47" s="3">
        <v>0</v>
      </c>
      <c r="L47" s="3"/>
      <c r="M47" s="3">
        <v>2959000</v>
      </c>
      <c r="N47" s="3"/>
      <c r="O47" s="3">
        <v>421623</v>
      </c>
      <c r="P47" s="3"/>
      <c r="Q47" s="3">
        <v>0</v>
      </c>
      <c r="R47" s="3"/>
      <c r="S47" s="16">
        <f t="shared" si="0"/>
        <v>3380623</v>
      </c>
      <c r="T47" s="3"/>
      <c r="U47" s="3">
        <v>174529</v>
      </c>
      <c r="V47" s="3"/>
      <c r="W47" s="3">
        <f>'St of Net Position'!Q47-U47</f>
        <v>0</v>
      </c>
    </row>
    <row r="48" spans="1:23" s="103" customFormat="1">
      <c r="A48" s="3" t="s">
        <v>364</v>
      </c>
      <c r="C48" s="103" t="s">
        <v>189</v>
      </c>
      <c r="E48" s="103">
        <v>51417</v>
      </c>
      <c r="G48" s="3">
        <f>185000+11050000-164378</f>
        <v>11070622</v>
      </c>
      <c r="H48" s="3"/>
      <c r="I48" s="3">
        <v>0</v>
      </c>
      <c r="J48" s="3"/>
      <c r="K48" s="3">
        <v>0</v>
      </c>
      <c r="L48" s="3"/>
      <c r="M48" s="3">
        <v>99821</v>
      </c>
      <c r="N48" s="3"/>
      <c r="O48" s="3">
        <v>1101323</v>
      </c>
      <c r="P48" s="3"/>
      <c r="Q48" s="3">
        <v>0</v>
      </c>
      <c r="R48" s="3"/>
      <c r="S48" s="16">
        <f t="shared" si="0"/>
        <v>12271766</v>
      </c>
      <c r="T48" s="3"/>
      <c r="U48" s="3">
        <v>672452</v>
      </c>
      <c r="V48" s="3"/>
      <c r="W48" s="3">
        <f>'St of Net Position'!Q48-U48</f>
        <v>0</v>
      </c>
    </row>
    <row r="49" spans="1:23" s="103" customFormat="1">
      <c r="A49" s="3" t="s">
        <v>248</v>
      </c>
      <c r="C49" s="103" t="s">
        <v>157</v>
      </c>
      <c r="E49" s="103">
        <v>50948</v>
      </c>
      <c r="G49" s="3">
        <v>0</v>
      </c>
      <c r="H49" s="3"/>
      <c r="I49" s="3">
        <v>0</v>
      </c>
      <c r="J49" s="3"/>
      <c r="K49" s="3">
        <v>0</v>
      </c>
      <c r="L49" s="3"/>
      <c r="M49" s="3">
        <v>2947080</v>
      </c>
      <c r="N49" s="3"/>
      <c r="O49" s="3">
        <v>1692729</v>
      </c>
      <c r="P49" s="3"/>
      <c r="Q49" s="3">
        <v>0</v>
      </c>
      <c r="R49" s="3"/>
      <c r="S49" s="16">
        <f t="shared" si="0"/>
        <v>4639809</v>
      </c>
      <c r="T49" s="3"/>
      <c r="U49" s="3">
        <v>1268405</v>
      </c>
      <c r="V49" s="3"/>
      <c r="W49" s="3">
        <f>'St of Net Position'!Q49-U49</f>
        <v>0</v>
      </c>
    </row>
    <row r="50" spans="1:23" s="103" customFormat="1">
      <c r="A50" s="3" t="s">
        <v>249</v>
      </c>
      <c r="C50" s="103" t="s">
        <v>196</v>
      </c>
      <c r="E50" s="103">
        <v>63495</v>
      </c>
      <c r="G50" s="3">
        <v>0</v>
      </c>
      <c r="H50" s="3"/>
      <c r="I50" s="3">
        <v>200003</v>
      </c>
      <c r="J50" s="3"/>
      <c r="K50" s="3">
        <v>0</v>
      </c>
      <c r="L50" s="3"/>
      <c r="M50" s="3">
        <v>0</v>
      </c>
      <c r="N50" s="3"/>
      <c r="O50" s="3">
        <v>448565</v>
      </c>
      <c r="P50" s="3"/>
      <c r="Q50" s="3">
        <v>0</v>
      </c>
      <c r="R50" s="3"/>
      <c r="S50" s="16">
        <f t="shared" si="0"/>
        <v>648568</v>
      </c>
      <c r="T50" s="3"/>
      <c r="U50" s="3">
        <v>109294</v>
      </c>
      <c r="V50" s="3"/>
      <c r="W50" s="3">
        <f>'St of Net Position'!Q50-U50</f>
        <v>0</v>
      </c>
    </row>
    <row r="51" spans="1:23" s="103" customFormat="1">
      <c r="A51" s="3" t="s">
        <v>383</v>
      </c>
      <c r="C51" s="103" t="s">
        <v>192</v>
      </c>
      <c r="E51" s="103">
        <v>51490</v>
      </c>
      <c r="G51" s="3">
        <v>0</v>
      </c>
      <c r="H51" s="3"/>
      <c r="I51" s="3">
        <v>80300</v>
      </c>
      <c r="J51" s="3"/>
      <c r="K51" s="3">
        <v>0</v>
      </c>
      <c r="L51" s="3"/>
      <c r="M51" s="3">
        <v>3150000</v>
      </c>
      <c r="N51" s="3"/>
      <c r="O51" s="3">
        <v>514395</v>
      </c>
      <c r="P51" s="3"/>
      <c r="Q51" s="3">
        <v>0</v>
      </c>
      <c r="R51" s="3"/>
      <c r="S51" s="16">
        <f t="shared" si="0"/>
        <v>3744695</v>
      </c>
      <c r="T51" s="3"/>
      <c r="U51" s="3">
        <v>129571</v>
      </c>
      <c r="V51" s="3"/>
      <c r="W51" s="3">
        <f>'St of Net Position'!Q51-U51</f>
        <v>0</v>
      </c>
    </row>
    <row r="52" spans="1:23" s="103" customFormat="1">
      <c r="A52" s="3" t="s">
        <v>205</v>
      </c>
      <c r="C52" s="103" t="s">
        <v>150</v>
      </c>
      <c r="E52" s="103">
        <v>50799</v>
      </c>
      <c r="G52" s="3">
        <v>0</v>
      </c>
      <c r="H52" s="3"/>
      <c r="I52" s="3">
        <v>233336</v>
      </c>
      <c r="J52" s="3"/>
      <c r="K52" s="3">
        <v>0</v>
      </c>
      <c r="L52" s="3"/>
      <c r="M52" s="3">
        <v>2563127</v>
      </c>
      <c r="N52" s="3"/>
      <c r="O52" s="3">
        <v>361673</v>
      </c>
      <c r="P52" s="3"/>
      <c r="Q52" s="3">
        <v>0</v>
      </c>
      <c r="R52" s="3"/>
      <c r="S52" s="16">
        <f t="shared" si="0"/>
        <v>3158136</v>
      </c>
      <c r="T52" s="3"/>
      <c r="U52" s="3">
        <v>250026</v>
      </c>
      <c r="V52" s="3"/>
      <c r="W52" s="3">
        <f>'St of Net Position'!Q52-U52</f>
        <v>0</v>
      </c>
    </row>
    <row r="53" spans="1:23" s="103" customFormat="1">
      <c r="A53" s="3" t="s">
        <v>365</v>
      </c>
      <c r="C53" s="103" t="s">
        <v>152</v>
      </c>
      <c r="E53" s="103">
        <v>51532</v>
      </c>
      <c r="G53" s="3">
        <v>2502399</v>
      </c>
      <c r="H53" s="3"/>
      <c r="I53" s="3">
        <v>0</v>
      </c>
      <c r="J53" s="3"/>
      <c r="K53" s="3">
        <v>0</v>
      </c>
      <c r="L53" s="3"/>
      <c r="M53" s="3">
        <v>0</v>
      </c>
      <c r="N53" s="3"/>
      <c r="O53" s="3">
        <v>738610</v>
      </c>
      <c r="P53" s="3"/>
      <c r="Q53" s="3">
        <v>0</v>
      </c>
      <c r="R53" s="3"/>
      <c r="S53" s="16">
        <f t="shared" si="0"/>
        <v>3241009</v>
      </c>
      <c r="T53" s="3"/>
      <c r="U53" s="3">
        <v>536781</v>
      </c>
      <c r="V53" s="3"/>
      <c r="W53" s="3">
        <f>'St of Net Position'!Q53-U53</f>
        <v>0</v>
      </c>
    </row>
    <row r="54" spans="1:23" s="103" customFormat="1">
      <c r="A54" s="3" t="s">
        <v>219</v>
      </c>
      <c r="C54" s="103" t="s">
        <v>195</v>
      </c>
      <c r="E54" s="103">
        <v>62026</v>
      </c>
      <c r="G54" s="3">
        <v>0</v>
      </c>
      <c r="H54" s="3"/>
      <c r="I54" s="3">
        <v>0</v>
      </c>
      <c r="J54" s="3"/>
      <c r="K54" s="3">
        <v>0</v>
      </c>
      <c r="L54" s="3"/>
      <c r="M54" s="3">
        <v>0</v>
      </c>
      <c r="N54" s="3"/>
      <c r="O54" s="3">
        <v>840881</v>
      </c>
      <c r="P54" s="3"/>
      <c r="Q54" s="3">
        <v>0</v>
      </c>
      <c r="R54" s="3"/>
      <c r="S54" s="16">
        <f t="shared" si="0"/>
        <v>840881</v>
      </c>
      <c r="T54" s="3"/>
      <c r="U54" s="3">
        <v>88760</v>
      </c>
      <c r="V54" s="3"/>
      <c r="W54" s="3">
        <f>'St of Net Position'!Q54-U54</f>
        <v>0</v>
      </c>
    </row>
    <row r="55" spans="1:23" s="103" customFormat="1">
      <c r="A55" s="3" t="s">
        <v>272</v>
      </c>
      <c r="C55" s="103" t="s">
        <v>214</v>
      </c>
      <c r="E55" s="103">
        <v>63511</v>
      </c>
      <c r="G55" s="3">
        <f>3485000+86364</f>
        <v>3571364</v>
      </c>
      <c r="H55" s="3"/>
      <c r="I55" s="3">
        <v>0</v>
      </c>
      <c r="J55" s="3"/>
      <c r="K55" s="3">
        <v>0</v>
      </c>
      <c r="L55" s="3"/>
      <c r="M55" s="3">
        <v>102216</v>
      </c>
      <c r="N55" s="3"/>
      <c r="O55" s="3">
        <v>398621</v>
      </c>
      <c r="P55" s="3"/>
      <c r="Q55" s="3">
        <v>0</v>
      </c>
      <c r="R55" s="3"/>
      <c r="S55" s="16">
        <f t="shared" si="0"/>
        <v>4072201</v>
      </c>
      <c r="T55" s="3"/>
      <c r="U55" s="3">
        <v>893734</v>
      </c>
      <c r="V55" s="3"/>
      <c r="W55" s="3">
        <f>'St of Net Position'!Q55-U55</f>
        <v>0</v>
      </c>
    </row>
    <row r="56" spans="1:23" s="103" customFormat="1">
      <c r="A56" s="3" t="s">
        <v>285</v>
      </c>
      <c r="C56" s="103" t="s">
        <v>145</v>
      </c>
      <c r="E56" s="103">
        <v>51607</v>
      </c>
      <c r="G56" s="3">
        <v>0</v>
      </c>
      <c r="H56" s="3"/>
      <c r="I56" s="3">
        <v>0</v>
      </c>
      <c r="J56" s="3"/>
      <c r="K56" s="3">
        <v>0</v>
      </c>
      <c r="L56" s="3"/>
      <c r="M56" s="3">
        <v>0</v>
      </c>
      <c r="N56" s="3"/>
      <c r="O56" s="3">
        <v>447015</v>
      </c>
      <c r="P56" s="3"/>
      <c r="Q56" s="3">
        <v>0</v>
      </c>
      <c r="R56" s="3"/>
      <c r="S56" s="16">
        <f t="shared" si="0"/>
        <v>447015</v>
      </c>
      <c r="T56" s="3"/>
      <c r="U56" s="3">
        <v>97720</v>
      </c>
      <c r="V56" s="3"/>
      <c r="W56" s="3">
        <f>'St of Net Position'!Q56-U56</f>
        <v>0</v>
      </c>
    </row>
    <row r="57" spans="1:23" s="103" customFormat="1">
      <c r="A57" s="3" t="s">
        <v>215</v>
      </c>
      <c r="C57" s="103" t="s">
        <v>216</v>
      </c>
      <c r="E57" s="103">
        <v>65268</v>
      </c>
      <c r="G57" s="3">
        <v>1959808</v>
      </c>
      <c r="H57" s="3"/>
      <c r="I57" s="3">
        <v>0</v>
      </c>
      <c r="J57" s="3"/>
      <c r="K57" s="3">
        <v>0</v>
      </c>
      <c r="L57" s="3"/>
      <c r="M57" s="3">
        <v>195773</v>
      </c>
      <c r="N57" s="3"/>
      <c r="O57" s="3">
        <v>293375</v>
      </c>
      <c r="P57" s="3"/>
      <c r="Q57" s="3">
        <v>0</v>
      </c>
      <c r="R57" s="3"/>
      <c r="S57" s="16">
        <f t="shared" si="0"/>
        <v>2448956</v>
      </c>
      <c r="T57" s="3"/>
      <c r="U57" s="3">
        <v>304908</v>
      </c>
      <c r="V57" s="3"/>
      <c r="W57" s="3">
        <f>'St of Net Position'!Q57-U57</f>
        <v>0</v>
      </c>
    </row>
    <row r="58" spans="1:23" s="103" customFormat="1">
      <c r="A58" s="3" t="s">
        <v>366</v>
      </c>
      <c r="C58" s="103" t="s">
        <v>197</v>
      </c>
      <c r="E58" s="103">
        <v>51631</v>
      </c>
      <c r="G58" s="3">
        <v>0</v>
      </c>
      <c r="H58" s="3"/>
      <c r="I58" s="3">
        <v>0</v>
      </c>
      <c r="J58" s="3"/>
      <c r="K58" s="3">
        <v>0</v>
      </c>
      <c r="L58" s="3"/>
      <c r="M58" s="3">
        <v>5249000</v>
      </c>
      <c r="N58" s="3"/>
      <c r="O58" s="3">
        <v>1784441</v>
      </c>
      <c r="P58" s="3"/>
      <c r="Q58" s="3">
        <v>0</v>
      </c>
      <c r="R58" s="3"/>
      <c r="S58" s="16">
        <f t="shared" si="0"/>
        <v>7033441</v>
      </c>
      <c r="T58" s="3"/>
      <c r="U58" s="3">
        <v>557364</v>
      </c>
      <c r="V58" s="3"/>
      <c r="W58" s="3">
        <f>'St of Net Position'!Q58-U58</f>
        <v>0</v>
      </c>
    </row>
    <row r="59" spans="1:23" s="103" customFormat="1">
      <c r="A59" s="3" t="s">
        <v>206</v>
      </c>
      <c r="C59" s="103" t="s">
        <v>154</v>
      </c>
      <c r="E59" s="103">
        <v>62802</v>
      </c>
      <c r="G59" s="3">
        <v>0</v>
      </c>
      <c r="H59" s="3"/>
      <c r="I59" s="3">
        <v>0</v>
      </c>
      <c r="J59" s="3"/>
      <c r="K59" s="3">
        <v>0</v>
      </c>
      <c r="L59" s="3"/>
      <c r="M59" s="3">
        <v>0</v>
      </c>
      <c r="N59" s="3"/>
      <c r="O59" s="3">
        <v>624067</v>
      </c>
      <c r="P59" s="3"/>
      <c r="Q59" s="3">
        <v>0</v>
      </c>
      <c r="R59" s="3"/>
      <c r="S59" s="16">
        <v>180184</v>
      </c>
      <c r="T59" s="3"/>
      <c r="U59" s="3">
        <v>180184</v>
      </c>
      <c r="V59" s="3"/>
      <c r="W59" s="3">
        <f>'St of Net Position'!Q59-U59</f>
        <v>0</v>
      </c>
    </row>
    <row r="60" spans="1:23" s="103" customFormat="1">
      <c r="A60" s="3" t="s">
        <v>354</v>
      </c>
      <c r="C60" s="103" t="s">
        <v>180</v>
      </c>
      <c r="E60" s="103">
        <v>62125</v>
      </c>
      <c r="G60" s="3">
        <v>0</v>
      </c>
      <c r="H60" s="3"/>
      <c r="I60" s="3">
        <f>5040000+64632</f>
        <v>5104632</v>
      </c>
      <c r="J60" s="3"/>
      <c r="K60" s="3">
        <v>0</v>
      </c>
      <c r="L60" s="3"/>
      <c r="M60" s="3">
        <v>0</v>
      </c>
      <c r="N60" s="3"/>
      <c r="O60" s="3">
        <v>1319671</v>
      </c>
      <c r="P60" s="3"/>
      <c r="Q60" s="3">
        <v>554200</v>
      </c>
      <c r="R60" s="3"/>
      <c r="S60" s="16">
        <f t="shared" si="0"/>
        <v>6978503</v>
      </c>
      <c r="T60" s="3"/>
      <c r="U60" s="3">
        <v>1449243</v>
      </c>
      <c r="V60" s="3"/>
      <c r="W60" s="3">
        <f>'St of Net Position'!Q60-U60</f>
        <v>0</v>
      </c>
    </row>
    <row r="61" spans="1:23" s="103" customFormat="1">
      <c r="A61" s="3" t="s">
        <v>250</v>
      </c>
      <c r="C61" s="103" t="s">
        <v>191</v>
      </c>
      <c r="E61" s="103">
        <v>51458</v>
      </c>
      <c r="G61" s="3">
        <v>4755000</v>
      </c>
      <c r="H61" s="3"/>
      <c r="I61" s="3">
        <v>0</v>
      </c>
      <c r="J61" s="3"/>
      <c r="K61" s="3">
        <v>0</v>
      </c>
      <c r="L61" s="3"/>
      <c r="M61" s="3">
        <v>61936</v>
      </c>
      <c r="N61" s="3"/>
      <c r="O61" s="3">
        <v>1073035</v>
      </c>
      <c r="P61" s="3"/>
      <c r="Q61" s="3">
        <v>0</v>
      </c>
      <c r="R61" s="3"/>
      <c r="S61" s="16">
        <f t="shared" si="0"/>
        <v>5889971</v>
      </c>
      <c r="T61" s="3"/>
      <c r="U61" s="3">
        <v>471670</v>
      </c>
      <c r="V61" s="3"/>
      <c r="W61" s="3">
        <f>'St of Net Position'!Q61-U61</f>
        <v>0</v>
      </c>
    </row>
    <row r="62" spans="1:23" s="103" customFormat="1">
      <c r="A62" s="3" t="s">
        <v>251</v>
      </c>
      <c r="C62" s="103" t="s">
        <v>200</v>
      </c>
      <c r="E62" s="103">
        <v>51672</v>
      </c>
      <c r="G62" s="3">
        <f>16455000+244655</f>
        <v>16699655</v>
      </c>
      <c r="H62" s="3"/>
      <c r="I62" s="3">
        <v>0</v>
      </c>
      <c r="J62" s="3"/>
      <c r="K62" s="3">
        <v>0</v>
      </c>
      <c r="L62" s="3"/>
      <c r="M62" s="3">
        <v>1573</v>
      </c>
      <c r="N62" s="3"/>
      <c r="O62" s="3">
        <v>365270</v>
      </c>
      <c r="P62" s="3"/>
      <c r="Q62" s="3">
        <v>0</v>
      </c>
      <c r="R62" s="3"/>
      <c r="S62" s="16">
        <f t="shared" si="0"/>
        <v>17066498</v>
      </c>
      <c r="T62" s="3"/>
      <c r="U62" s="3">
        <v>548083</v>
      </c>
      <c r="V62" s="3"/>
      <c r="W62" s="3">
        <f>'St of Net Position'!Q62-U62</f>
        <v>0</v>
      </c>
    </row>
    <row r="63" spans="1:23" s="103" customFormat="1">
      <c r="A63" s="3" t="s">
        <v>385</v>
      </c>
      <c r="C63" s="103" t="s">
        <v>201</v>
      </c>
      <c r="E63" s="103">
        <v>51474</v>
      </c>
      <c r="G63" s="3">
        <f>5415000+40727</f>
        <v>5455727</v>
      </c>
      <c r="H63" s="3"/>
      <c r="I63" s="3">
        <v>0</v>
      </c>
      <c r="J63" s="3"/>
      <c r="K63" s="3">
        <v>740000</v>
      </c>
      <c r="L63" s="3"/>
      <c r="M63" s="3">
        <v>74713</v>
      </c>
      <c r="N63" s="3"/>
      <c r="O63" s="3">
        <v>327207</v>
      </c>
      <c r="P63" s="3"/>
      <c r="Q63" s="3">
        <v>0</v>
      </c>
      <c r="R63" s="3"/>
      <c r="S63" s="16">
        <f t="shared" si="0"/>
        <v>6597647</v>
      </c>
      <c r="T63" s="3"/>
      <c r="U63" s="3">
        <v>692513</v>
      </c>
      <c r="V63" s="3"/>
      <c r="W63" s="3">
        <f>'St of Net Position'!Q63-U63</f>
        <v>0</v>
      </c>
    </row>
    <row r="64" spans="1:23" s="103" customFormat="1">
      <c r="A64" s="3" t="s">
        <v>264</v>
      </c>
      <c r="C64" s="103" t="s">
        <v>202</v>
      </c>
      <c r="E64" s="103">
        <v>51698</v>
      </c>
      <c r="G64" s="3">
        <v>1225000</v>
      </c>
      <c r="H64" s="3"/>
      <c r="I64" s="3">
        <v>0</v>
      </c>
      <c r="J64" s="3"/>
      <c r="K64" s="3">
        <v>205000</v>
      </c>
      <c r="L64" s="3"/>
      <c r="M64" s="3">
        <v>842918</v>
      </c>
      <c r="N64" s="3"/>
      <c r="O64" s="3">
        <v>481602</v>
      </c>
      <c r="P64" s="3"/>
      <c r="Q64" s="3">
        <v>0</v>
      </c>
      <c r="R64" s="3"/>
      <c r="S64" s="16">
        <f t="shared" si="0"/>
        <v>2754520</v>
      </c>
      <c r="T64" s="3"/>
      <c r="U64" s="3">
        <v>126786</v>
      </c>
      <c r="V64" s="3"/>
      <c r="W64" s="3">
        <f>'St of Net Position'!Q64-U64</f>
        <v>0</v>
      </c>
    </row>
    <row r="65" spans="1:24" s="103" customFormat="1">
      <c r="A65" s="3" t="s">
        <v>352</v>
      </c>
      <c r="C65" s="103" t="s">
        <v>203</v>
      </c>
      <c r="E65" s="103">
        <v>51714</v>
      </c>
      <c r="G65" s="3">
        <v>0</v>
      </c>
      <c r="H65" s="3"/>
      <c r="I65" s="3">
        <v>0</v>
      </c>
      <c r="J65" s="3"/>
      <c r="K65" s="3">
        <v>0</v>
      </c>
      <c r="L65" s="3"/>
      <c r="M65" s="3">
        <v>5460000</v>
      </c>
      <c r="N65" s="3"/>
      <c r="O65" s="3">
        <v>619140</v>
      </c>
      <c r="P65" s="3"/>
      <c r="Q65" s="3">
        <v>0</v>
      </c>
      <c r="R65" s="3"/>
      <c r="S65" s="16">
        <f t="shared" si="0"/>
        <v>6079140</v>
      </c>
      <c r="T65" s="3"/>
      <c r="U65" s="3">
        <v>1089655</v>
      </c>
      <c r="V65" s="3"/>
      <c r="W65" s="3">
        <f>'St of Net Position'!Q65-U65</f>
        <v>0</v>
      </c>
    </row>
    <row r="66" spans="1:24">
      <c r="A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16"/>
      <c r="T66" s="3"/>
      <c r="U66" s="3"/>
      <c r="V66" s="3"/>
      <c r="W66" s="3"/>
    </row>
    <row r="67" spans="1:24">
      <c r="A67" s="3"/>
      <c r="C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6"/>
      <c r="V67" s="3"/>
      <c r="W67" s="3"/>
    </row>
    <row r="68" spans="1:24">
      <c r="A68" s="34" t="s">
        <v>253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4">
      <c r="A69" s="3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4" s="61" customFormat="1" hidden="1">
      <c r="A70" s="58" t="s">
        <v>327</v>
      </c>
      <c r="B70" s="58"/>
      <c r="C70" s="58" t="s">
        <v>260</v>
      </c>
      <c r="E70" s="75">
        <v>45740</v>
      </c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60">
        <f>SUM(G70:R70)</f>
        <v>0</v>
      </c>
      <c r="T70" s="58"/>
      <c r="U70" s="58"/>
      <c r="V70" s="58"/>
      <c r="W70" s="58">
        <f>'St of Net Position'!Q70-U70</f>
        <v>0</v>
      </c>
    </row>
    <row r="71" spans="1:24" s="61" customFormat="1" hidden="1">
      <c r="A71" s="58" t="s">
        <v>328</v>
      </c>
      <c r="B71" s="58"/>
      <c r="C71" s="58" t="s">
        <v>144</v>
      </c>
      <c r="E71" s="75">
        <v>45849</v>
      </c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60">
        <v>0</v>
      </c>
      <c r="T71" s="58"/>
      <c r="U71" s="58"/>
      <c r="V71" s="58"/>
      <c r="W71" s="58">
        <f>'St of Net Position'!Q71-U71</f>
        <v>0</v>
      </c>
      <c r="X71" s="59"/>
    </row>
    <row r="72" spans="1:24" s="103" customFormat="1">
      <c r="A72" s="3" t="s">
        <v>148</v>
      </c>
      <c r="C72" s="103" t="s">
        <v>145</v>
      </c>
      <c r="E72" s="103">
        <v>135145</v>
      </c>
      <c r="G72" s="19">
        <v>0</v>
      </c>
      <c r="H72" s="19"/>
      <c r="I72" s="19">
        <v>0</v>
      </c>
      <c r="J72" s="19"/>
      <c r="K72" s="19">
        <v>0</v>
      </c>
      <c r="L72" s="19"/>
      <c r="M72" s="19">
        <v>0</v>
      </c>
      <c r="N72" s="19"/>
      <c r="O72" s="19">
        <v>142482</v>
      </c>
      <c r="P72" s="19"/>
      <c r="Q72" s="19">
        <v>0</v>
      </c>
      <c r="R72" s="19"/>
      <c r="S72" s="115">
        <f>SUM(G72:R72)</f>
        <v>142482</v>
      </c>
      <c r="T72" s="19"/>
      <c r="U72" s="19">
        <v>6933</v>
      </c>
      <c r="V72" s="3"/>
      <c r="W72" s="3">
        <f>'St of Net Position'!Q72-U72</f>
        <v>0</v>
      </c>
    </row>
    <row r="73" spans="1:24" s="59" customFormat="1" hidden="1">
      <c r="A73" s="58" t="s">
        <v>329</v>
      </c>
      <c r="B73" s="58"/>
      <c r="C73" s="58" t="s">
        <v>261</v>
      </c>
      <c r="E73" s="59">
        <v>45930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60">
        <f>SUM(G73:R73)</f>
        <v>0</v>
      </c>
      <c r="T73" s="58"/>
      <c r="U73" s="58"/>
      <c r="V73" s="58"/>
      <c r="W73" s="58">
        <f>'St of Net Position'!Q73-U73</f>
        <v>0</v>
      </c>
    </row>
    <row r="74" spans="1:24" s="103" customFormat="1">
      <c r="A74" s="103" t="s">
        <v>286</v>
      </c>
      <c r="C74" s="103" t="s">
        <v>150</v>
      </c>
      <c r="E74" s="103">
        <v>46029</v>
      </c>
      <c r="G74" s="3">
        <v>0</v>
      </c>
      <c r="H74" s="3"/>
      <c r="I74" s="3">
        <v>0</v>
      </c>
      <c r="J74" s="3"/>
      <c r="K74" s="3">
        <v>0</v>
      </c>
      <c r="L74" s="3"/>
      <c r="M74" s="3">
        <v>0</v>
      </c>
      <c r="N74" s="3"/>
      <c r="O74" s="3">
        <v>178376</v>
      </c>
      <c r="P74" s="3"/>
      <c r="Q74" s="3">
        <v>0</v>
      </c>
      <c r="R74" s="3"/>
      <c r="S74" s="16">
        <f>SUM(G74:R74)</f>
        <v>178376</v>
      </c>
      <c r="T74" s="3"/>
      <c r="U74" s="3">
        <v>42498</v>
      </c>
      <c r="V74" s="3"/>
      <c r="W74" s="3">
        <f>'St of Net Position'!Q74-U74</f>
        <v>0</v>
      </c>
    </row>
    <row r="75" spans="1:24" s="103" customFormat="1">
      <c r="A75" s="103" t="s">
        <v>287</v>
      </c>
      <c r="C75" s="103" t="s">
        <v>147</v>
      </c>
      <c r="E75" s="103">
        <v>46086</v>
      </c>
      <c r="G75" s="3">
        <v>0</v>
      </c>
      <c r="H75" s="3"/>
      <c r="I75" s="3">
        <v>0</v>
      </c>
      <c r="J75" s="3"/>
      <c r="K75" s="3">
        <v>0</v>
      </c>
      <c r="L75" s="3"/>
      <c r="M75" s="3">
        <v>2695000</v>
      </c>
      <c r="N75" s="3"/>
      <c r="O75" s="3">
        <v>484987</v>
      </c>
      <c r="P75" s="3"/>
      <c r="Q75" s="3">
        <v>0</v>
      </c>
      <c r="R75" s="3"/>
      <c r="S75" s="16">
        <f t="shared" ref="S75:S131" si="1">SUM(G75:R75)</f>
        <v>3179987</v>
      </c>
      <c r="T75" s="3"/>
      <c r="U75" s="3">
        <v>204305</v>
      </c>
      <c r="V75" s="3"/>
      <c r="W75" s="3">
        <f>'St of Net Position'!Q75-U75</f>
        <v>0</v>
      </c>
    </row>
    <row r="76" spans="1:24" s="103" customFormat="1">
      <c r="A76" s="103" t="s">
        <v>288</v>
      </c>
      <c r="C76" s="103" t="s">
        <v>152</v>
      </c>
      <c r="E76" s="103">
        <v>46227</v>
      </c>
      <c r="G76" s="3">
        <v>0</v>
      </c>
      <c r="H76" s="3"/>
      <c r="I76" s="3">
        <v>0</v>
      </c>
      <c r="J76" s="3"/>
      <c r="K76" s="3">
        <v>0</v>
      </c>
      <c r="L76" s="3"/>
      <c r="M76" s="3">
        <v>72490</v>
      </c>
      <c r="N76" s="3"/>
      <c r="O76" s="3">
        <v>118761</v>
      </c>
      <c r="P76" s="3"/>
      <c r="Q76" s="3">
        <v>0</v>
      </c>
      <c r="R76" s="3"/>
      <c r="S76" s="16">
        <f t="shared" si="1"/>
        <v>191251</v>
      </c>
      <c r="T76" s="3"/>
      <c r="U76" s="3">
        <v>79048</v>
      </c>
      <c r="V76" s="3"/>
      <c r="W76" s="3">
        <f>'St of Net Position'!Q76-U76</f>
        <v>0</v>
      </c>
    </row>
    <row r="77" spans="1:24" s="103" customFormat="1">
      <c r="A77" s="3" t="s">
        <v>153</v>
      </c>
      <c r="C77" s="103" t="s">
        <v>154</v>
      </c>
      <c r="E77" s="103">
        <v>46292</v>
      </c>
      <c r="G77" s="3">
        <v>0</v>
      </c>
      <c r="H77" s="3"/>
      <c r="I77" s="3">
        <v>0</v>
      </c>
      <c r="J77" s="3"/>
      <c r="K77" s="3">
        <v>0</v>
      </c>
      <c r="L77" s="3"/>
      <c r="M77" s="3">
        <v>0</v>
      </c>
      <c r="N77" s="3"/>
      <c r="O77" s="3">
        <v>386395</v>
      </c>
      <c r="P77" s="3"/>
      <c r="Q77" s="3">
        <v>0</v>
      </c>
      <c r="R77" s="3"/>
      <c r="S77" s="16">
        <f t="shared" si="1"/>
        <v>386395</v>
      </c>
      <c r="T77" s="3"/>
      <c r="U77" s="3">
        <v>45997</v>
      </c>
      <c r="V77" s="3"/>
      <c r="W77" s="3">
        <f>'St of Net Position'!Q77-U77</f>
        <v>0</v>
      </c>
    </row>
    <row r="78" spans="1:24" s="89" customFormat="1" hidden="1">
      <c r="A78" s="89" t="s">
        <v>276</v>
      </c>
      <c r="C78" s="89" t="s">
        <v>155</v>
      </c>
      <c r="E78" s="89">
        <v>46375</v>
      </c>
      <c r="G78" s="88"/>
      <c r="H78" s="88"/>
      <c r="I78" s="88"/>
      <c r="J78" s="88"/>
      <c r="K78" s="88"/>
      <c r="L78" s="88"/>
      <c r="M78" s="88">
        <v>0</v>
      </c>
      <c r="N78" s="88"/>
      <c r="O78" s="88">
        <v>0</v>
      </c>
      <c r="P78" s="88"/>
      <c r="Q78" s="88"/>
      <c r="R78" s="88"/>
      <c r="S78" s="90">
        <f t="shared" si="1"/>
        <v>0</v>
      </c>
      <c r="T78" s="88"/>
      <c r="U78" s="88">
        <v>0</v>
      </c>
      <c r="V78" s="88"/>
      <c r="W78" s="88">
        <f>'St of Net Position'!Q78-U78</f>
        <v>0</v>
      </c>
    </row>
    <row r="79" spans="1:24" s="103" customFormat="1">
      <c r="A79" s="103" t="s">
        <v>304</v>
      </c>
      <c r="C79" s="103" t="s">
        <v>156</v>
      </c>
      <c r="E79" s="103">
        <v>46417</v>
      </c>
      <c r="G79" s="3">
        <v>0</v>
      </c>
      <c r="H79" s="3"/>
      <c r="I79" s="3">
        <v>353812</v>
      </c>
      <c r="J79" s="3"/>
      <c r="K79" s="3">
        <v>0</v>
      </c>
      <c r="L79" s="3"/>
      <c r="M79" s="3">
        <v>68430</v>
      </c>
      <c r="N79" s="3"/>
      <c r="O79" s="3">
        <v>585807</v>
      </c>
      <c r="P79" s="3"/>
      <c r="Q79" s="3">
        <v>0</v>
      </c>
      <c r="R79" s="3"/>
      <c r="S79" s="16">
        <f t="shared" si="1"/>
        <v>1008049</v>
      </c>
      <c r="T79" s="3"/>
      <c r="U79" s="3">
        <v>206921</v>
      </c>
      <c r="V79" s="3"/>
      <c r="W79" s="3">
        <f>'St of Net Position'!Q79-U79</f>
        <v>0</v>
      </c>
    </row>
    <row r="80" spans="1:24" s="103" customFormat="1">
      <c r="A80" s="3" t="s">
        <v>306</v>
      </c>
      <c r="C80" s="103" t="s">
        <v>157</v>
      </c>
      <c r="E80" s="103">
        <v>46532</v>
      </c>
      <c r="G80" s="3">
        <v>0</v>
      </c>
      <c r="H80" s="3"/>
      <c r="I80" s="3">
        <v>0</v>
      </c>
      <c r="J80" s="3"/>
      <c r="K80" s="3">
        <f>447000+2500000</f>
        <v>2947000</v>
      </c>
      <c r="L80" s="3"/>
      <c r="M80" s="3">
        <v>32282</v>
      </c>
      <c r="N80" s="3"/>
      <c r="O80" s="3">
        <v>1451084</v>
      </c>
      <c r="P80" s="3"/>
      <c r="Q80" s="3">
        <v>0</v>
      </c>
      <c r="R80" s="3"/>
      <c r="S80" s="16">
        <f t="shared" si="1"/>
        <v>4430366</v>
      </c>
      <c r="T80" s="3"/>
      <c r="U80" s="3">
        <v>1670976</v>
      </c>
      <c r="V80" s="3"/>
      <c r="W80" s="3">
        <f>'St of Net Position'!Q80-U80</f>
        <v>0</v>
      </c>
    </row>
    <row r="81" spans="1:23" s="59" customFormat="1" hidden="1">
      <c r="A81" s="58" t="s">
        <v>309</v>
      </c>
      <c r="C81" s="59" t="s">
        <v>158</v>
      </c>
      <c r="E81" s="59">
        <v>46615</v>
      </c>
      <c r="G81" s="58"/>
      <c r="H81" s="58"/>
      <c r="I81" s="58"/>
      <c r="J81" s="58"/>
      <c r="K81" s="58"/>
      <c r="L81" s="58"/>
      <c r="M81" s="58">
        <v>0</v>
      </c>
      <c r="N81" s="58"/>
      <c r="O81" s="58">
        <v>0</v>
      </c>
      <c r="P81" s="58"/>
      <c r="Q81" s="58"/>
      <c r="R81" s="58"/>
      <c r="S81" s="60">
        <f t="shared" si="1"/>
        <v>0</v>
      </c>
      <c r="T81" s="58"/>
      <c r="U81" s="58">
        <v>0</v>
      </c>
      <c r="V81" s="58"/>
      <c r="W81" s="58">
        <f>'St of Net Position'!Q81-U81</f>
        <v>0</v>
      </c>
    </row>
    <row r="82" spans="1:23" s="89" customFormat="1" hidden="1">
      <c r="A82" s="88" t="s">
        <v>305</v>
      </c>
      <c r="C82" s="89" t="s">
        <v>159</v>
      </c>
      <c r="E82" s="89">
        <v>46730</v>
      </c>
      <c r="G82" s="88"/>
      <c r="H82" s="88"/>
      <c r="I82" s="88"/>
      <c r="J82" s="88"/>
      <c r="K82" s="88"/>
      <c r="L82" s="88"/>
      <c r="M82" s="88">
        <v>0</v>
      </c>
      <c r="N82" s="88"/>
      <c r="O82" s="88">
        <v>0</v>
      </c>
      <c r="P82" s="88"/>
      <c r="Q82" s="88"/>
      <c r="R82" s="88"/>
      <c r="S82" s="90">
        <f t="shared" si="1"/>
        <v>0</v>
      </c>
      <c r="T82" s="88"/>
      <c r="U82" s="88">
        <v>0</v>
      </c>
      <c r="V82" s="88"/>
      <c r="W82" s="88">
        <f>'St of Net Position'!Q82-U82</f>
        <v>0</v>
      </c>
    </row>
    <row r="83" spans="1:23" s="103" customFormat="1">
      <c r="A83" s="3" t="s">
        <v>303</v>
      </c>
      <c r="C83" s="103" t="s">
        <v>198</v>
      </c>
      <c r="E83" s="103">
        <v>50260</v>
      </c>
      <c r="G83" s="3">
        <v>0</v>
      </c>
      <c r="H83" s="3"/>
      <c r="I83" s="3">
        <v>0</v>
      </c>
      <c r="J83" s="3"/>
      <c r="K83" s="3">
        <v>0</v>
      </c>
      <c r="L83" s="3"/>
      <c r="M83" s="3">
        <f>407337+62909</f>
        <v>470246</v>
      </c>
      <c r="N83" s="3"/>
      <c r="O83" s="3">
        <v>280542</v>
      </c>
      <c r="P83" s="3"/>
      <c r="Q83" s="3">
        <v>0</v>
      </c>
      <c r="R83" s="3"/>
      <c r="S83" s="16">
        <f t="shared" si="1"/>
        <v>750788</v>
      </c>
      <c r="T83" s="3"/>
      <c r="U83" s="3">
        <v>245856</v>
      </c>
      <c r="V83" s="3"/>
      <c r="W83" s="3">
        <f>'St of Net Position'!Q83-U83</f>
        <v>0</v>
      </c>
    </row>
    <row r="84" spans="1:23" s="103" customFormat="1">
      <c r="A84" s="3" t="s">
        <v>312</v>
      </c>
      <c r="C84" s="103" t="s">
        <v>162</v>
      </c>
      <c r="E84" s="103">
        <v>46938</v>
      </c>
      <c r="G84" s="3">
        <v>0</v>
      </c>
      <c r="H84" s="3"/>
      <c r="I84" s="3">
        <v>0</v>
      </c>
      <c r="J84" s="3"/>
      <c r="K84" s="3">
        <v>0</v>
      </c>
      <c r="L84" s="3"/>
      <c r="M84" s="3">
        <f>8841+2362000</f>
        <v>2370841</v>
      </c>
      <c r="N84" s="3"/>
      <c r="O84" s="3">
        <v>2088295</v>
      </c>
      <c r="P84" s="3"/>
      <c r="Q84" s="3">
        <v>0</v>
      </c>
      <c r="R84" s="3"/>
      <c r="S84" s="16">
        <f>SUM(G84:R84)</f>
        <v>4459136</v>
      </c>
      <c r="T84" s="3"/>
      <c r="U84" s="3">
        <v>872173</v>
      </c>
      <c r="V84" s="3"/>
      <c r="W84" s="3">
        <f>'St of Net Position'!Q84-U84</f>
        <v>0</v>
      </c>
    </row>
    <row r="85" spans="1:23" s="89" customFormat="1" hidden="1">
      <c r="A85" s="89" t="s">
        <v>274</v>
      </c>
      <c r="C85" s="89" t="s">
        <v>160</v>
      </c>
      <c r="E85" s="89">
        <v>125690</v>
      </c>
      <c r="G85" s="88"/>
      <c r="H85" s="88"/>
      <c r="I85" s="88"/>
      <c r="J85" s="88"/>
      <c r="K85" s="88"/>
      <c r="L85" s="88"/>
      <c r="M85" s="88">
        <v>0</v>
      </c>
      <c r="N85" s="88"/>
      <c r="O85" s="88">
        <v>0</v>
      </c>
      <c r="P85" s="88"/>
      <c r="Q85" s="88"/>
      <c r="R85" s="88"/>
      <c r="S85" s="90">
        <f t="shared" si="1"/>
        <v>0</v>
      </c>
      <c r="T85" s="88"/>
      <c r="U85" s="88">
        <v>0</v>
      </c>
      <c r="V85" s="88"/>
      <c r="W85" s="88">
        <f>'St of Net Position'!Q85-U85</f>
        <v>0</v>
      </c>
    </row>
    <row r="86" spans="1:23" s="103" customFormat="1">
      <c r="A86" s="3" t="s">
        <v>314</v>
      </c>
      <c r="C86" s="103" t="s">
        <v>161</v>
      </c>
      <c r="E86" s="103">
        <v>46839</v>
      </c>
      <c r="G86" s="3">
        <v>0</v>
      </c>
      <c r="H86" s="3"/>
      <c r="I86" s="3">
        <v>0</v>
      </c>
      <c r="J86" s="3"/>
      <c r="K86" s="3">
        <v>0</v>
      </c>
      <c r="L86" s="3"/>
      <c r="M86" s="3">
        <v>3878</v>
      </c>
      <c r="N86" s="3"/>
      <c r="O86" s="3">
        <v>263960</v>
      </c>
      <c r="P86" s="3"/>
      <c r="Q86" s="3">
        <v>0</v>
      </c>
      <c r="R86" s="3"/>
      <c r="S86" s="16">
        <f t="shared" si="1"/>
        <v>267838</v>
      </c>
      <c r="T86" s="3"/>
      <c r="U86" s="3">
        <v>74955</v>
      </c>
      <c r="V86" s="3"/>
      <c r="W86" s="3">
        <f>'St of Net Position'!Q86-U86</f>
        <v>0</v>
      </c>
    </row>
    <row r="87" spans="1:23" s="103" customFormat="1">
      <c r="A87" s="3" t="s">
        <v>164</v>
      </c>
      <c r="C87" s="103" t="s">
        <v>165</v>
      </c>
      <c r="E87" s="103">
        <v>125682</v>
      </c>
      <c r="G87" s="3">
        <v>0</v>
      </c>
      <c r="H87" s="3"/>
      <c r="I87" s="3">
        <v>0</v>
      </c>
      <c r="J87" s="3"/>
      <c r="K87" s="3">
        <v>0</v>
      </c>
      <c r="L87" s="3"/>
      <c r="M87" s="3">
        <v>0</v>
      </c>
      <c r="N87" s="3"/>
      <c r="O87" s="3">
        <v>40841</v>
      </c>
      <c r="P87" s="3"/>
      <c r="Q87" s="3">
        <v>0</v>
      </c>
      <c r="R87" s="3"/>
      <c r="S87" s="16">
        <f t="shared" si="1"/>
        <v>40841</v>
      </c>
      <c r="T87" s="3"/>
      <c r="U87" s="3">
        <v>2297</v>
      </c>
      <c r="V87" s="3"/>
      <c r="W87" s="3">
        <f>'St of Net Position'!Q87-U87</f>
        <v>0</v>
      </c>
    </row>
    <row r="88" spans="1:23" s="103" customFormat="1">
      <c r="A88" s="107" t="s">
        <v>313</v>
      </c>
      <c r="C88" s="103" t="s">
        <v>166</v>
      </c>
      <c r="E88" s="103">
        <v>47159</v>
      </c>
      <c r="G88" s="3">
        <v>0</v>
      </c>
      <c r="H88" s="3"/>
      <c r="I88" s="3">
        <v>0</v>
      </c>
      <c r="J88" s="3"/>
      <c r="K88" s="3">
        <v>0</v>
      </c>
      <c r="L88" s="3"/>
      <c r="M88" s="3">
        <v>0</v>
      </c>
      <c r="N88" s="3"/>
      <c r="O88" s="3">
        <v>368792</v>
      </c>
      <c r="P88" s="3"/>
      <c r="Q88" s="3">
        <v>0</v>
      </c>
      <c r="R88" s="3"/>
      <c r="S88" s="16">
        <f t="shared" si="1"/>
        <v>368792</v>
      </c>
      <c r="T88" s="3"/>
      <c r="U88" s="3">
        <v>68944</v>
      </c>
      <c r="V88" s="3"/>
      <c r="W88" s="3">
        <f>'St of Net Position'!Q88-U88</f>
        <v>0</v>
      </c>
    </row>
    <row r="89" spans="1:23" s="103" customFormat="1">
      <c r="A89" s="103" t="s">
        <v>291</v>
      </c>
      <c r="C89" s="103" t="s">
        <v>167</v>
      </c>
      <c r="E89" s="103">
        <v>47233</v>
      </c>
      <c r="G89" s="3">
        <v>0</v>
      </c>
      <c r="H89" s="3"/>
      <c r="I89" s="3">
        <v>0</v>
      </c>
      <c r="J89" s="3"/>
      <c r="K89" s="3">
        <v>0</v>
      </c>
      <c r="L89" s="3"/>
      <c r="M89" s="3">
        <v>0</v>
      </c>
      <c r="N89" s="3"/>
      <c r="O89" s="3">
        <v>922458</v>
      </c>
      <c r="P89" s="3"/>
      <c r="Q89" s="3">
        <v>0</v>
      </c>
      <c r="R89" s="3"/>
      <c r="S89" s="16">
        <f t="shared" si="1"/>
        <v>922458</v>
      </c>
      <c r="T89" s="3"/>
      <c r="U89" s="3">
        <v>58093</v>
      </c>
      <c r="V89" s="3"/>
      <c r="W89" s="3">
        <f>'St of Net Position'!Q89-U89</f>
        <v>0</v>
      </c>
    </row>
    <row r="90" spans="1:23" s="103" customFormat="1">
      <c r="A90" s="103" t="s">
        <v>292</v>
      </c>
      <c r="C90" s="103" t="s">
        <v>168</v>
      </c>
      <c r="E90" s="103">
        <v>47324</v>
      </c>
      <c r="G90" s="3">
        <v>0</v>
      </c>
      <c r="H90" s="3"/>
      <c r="I90" s="3">
        <v>0</v>
      </c>
      <c r="J90" s="3"/>
      <c r="K90" s="3">
        <v>0</v>
      </c>
      <c r="L90" s="3"/>
      <c r="M90" s="3">
        <v>2089000</v>
      </c>
      <c r="N90" s="3"/>
      <c r="O90" s="3">
        <v>3854277</v>
      </c>
      <c r="P90" s="3"/>
      <c r="Q90" s="3">
        <v>0</v>
      </c>
      <c r="R90" s="3"/>
      <c r="S90" s="16">
        <f t="shared" si="1"/>
        <v>5943277</v>
      </c>
      <c r="T90" s="3"/>
      <c r="U90" s="3">
        <v>569168</v>
      </c>
      <c r="V90" s="3"/>
      <c r="W90" s="3">
        <f>'St of Net Position'!Q90-U90</f>
        <v>0</v>
      </c>
    </row>
    <row r="91" spans="1:23" s="103" customFormat="1">
      <c r="A91" s="103" t="s">
        <v>293</v>
      </c>
      <c r="C91" s="103" t="s">
        <v>169</v>
      </c>
      <c r="E91" s="103">
        <v>47407</v>
      </c>
      <c r="G91" s="3">
        <v>0</v>
      </c>
      <c r="H91" s="3"/>
      <c r="I91" s="3">
        <v>0</v>
      </c>
      <c r="J91" s="3"/>
      <c r="K91" s="3">
        <v>0</v>
      </c>
      <c r="L91" s="3"/>
      <c r="M91" s="3">
        <v>0</v>
      </c>
      <c r="N91" s="3"/>
      <c r="O91" s="3">
        <v>360179</v>
      </c>
      <c r="P91" s="3"/>
      <c r="Q91" s="3">
        <v>0</v>
      </c>
      <c r="R91" s="3"/>
      <c r="S91" s="16">
        <f t="shared" si="1"/>
        <v>360179</v>
      </c>
      <c r="T91" s="3"/>
      <c r="U91" s="3">
        <v>19817</v>
      </c>
      <c r="V91" s="3"/>
      <c r="W91" s="3">
        <f>'St of Net Position'!Q91-U91</f>
        <v>0</v>
      </c>
    </row>
    <row r="92" spans="1:23" s="59" customFormat="1" hidden="1">
      <c r="A92" s="59" t="s">
        <v>349</v>
      </c>
      <c r="C92" s="59" t="s">
        <v>19</v>
      </c>
      <c r="E92" s="59">
        <v>47480</v>
      </c>
      <c r="G92" s="58">
        <v>0</v>
      </c>
      <c r="H92" s="58"/>
      <c r="I92" s="58">
        <v>0</v>
      </c>
      <c r="J92" s="58"/>
      <c r="K92" s="58">
        <v>0</v>
      </c>
      <c r="L92" s="58"/>
      <c r="M92" s="58">
        <v>0</v>
      </c>
      <c r="N92" s="58"/>
      <c r="O92" s="58">
        <v>0</v>
      </c>
      <c r="P92" s="58"/>
      <c r="Q92" s="58">
        <v>0</v>
      </c>
      <c r="R92" s="58"/>
      <c r="S92" s="60">
        <f t="shared" si="1"/>
        <v>0</v>
      </c>
      <c r="T92" s="58"/>
      <c r="U92" s="58">
        <v>0</v>
      </c>
      <c r="V92" s="58"/>
      <c r="W92" s="58">
        <f>'St of Net Position'!Q92-U92</f>
        <v>0</v>
      </c>
    </row>
    <row r="93" spans="1:23" s="103" customFormat="1">
      <c r="A93" s="103" t="s">
        <v>294</v>
      </c>
      <c r="C93" s="103" t="s">
        <v>170</v>
      </c>
      <c r="E93" s="103">
        <v>47779</v>
      </c>
      <c r="G93" s="3">
        <v>0</v>
      </c>
      <c r="H93" s="3"/>
      <c r="I93" s="3">
        <v>0</v>
      </c>
      <c r="J93" s="3"/>
      <c r="K93" s="3">
        <v>0</v>
      </c>
      <c r="L93" s="3"/>
      <c r="M93" s="3">
        <v>4421</v>
      </c>
      <c r="N93" s="3"/>
      <c r="O93" s="3">
        <v>278205</v>
      </c>
      <c r="P93" s="3"/>
      <c r="Q93" s="3">
        <v>0</v>
      </c>
      <c r="R93" s="3"/>
      <c r="S93" s="16">
        <f t="shared" si="1"/>
        <v>282626</v>
      </c>
      <c r="T93" s="3"/>
      <c r="U93" s="3">
        <v>173564</v>
      </c>
      <c r="V93" s="3"/>
      <c r="W93" s="3">
        <f>'St of Net Position'!Q93-U93</f>
        <v>0</v>
      </c>
    </row>
    <row r="94" spans="1:23" s="103" customFormat="1">
      <c r="A94" s="103" t="s">
        <v>295</v>
      </c>
      <c r="C94" s="103" t="s">
        <v>171</v>
      </c>
      <c r="E94" s="103">
        <v>47811</v>
      </c>
      <c r="G94" s="3">
        <v>0</v>
      </c>
      <c r="H94" s="3"/>
      <c r="I94" s="3">
        <v>0</v>
      </c>
      <c r="J94" s="3"/>
      <c r="K94" s="3">
        <v>0</v>
      </c>
      <c r="L94" s="3"/>
      <c r="M94" s="3">
        <v>0</v>
      </c>
      <c r="N94" s="3"/>
      <c r="O94" s="3">
        <v>88660</v>
      </c>
      <c r="P94" s="3"/>
      <c r="Q94" s="3">
        <v>0</v>
      </c>
      <c r="R94" s="3"/>
      <c r="S94" s="16">
        <v>88660</v>
      </c>
      <c r="T94" s="3"/>
      <c r="U94" s="3">
        <v>17732</v>
      </c>
      <c r="V94" s="3"/>
      <c r="W94" s="3">
        <v>0</v>
      </c>
    </row>
    <row r="95" spans="1:23" s="103" customFormat="1">
      <c r="A95" s="103" t="s">
        <v>296</v>
      </c>
      <c r="C95" s="103" t="s">
        <v>146</v>
      </c>
      <c r="E95" s="103">
        <v>47860</v>
      </c>
      <c r="G95" s="3">
        <v>0</v>
      </c>
      <c r="H95" s="3"/>
      <c r="I95" s="3">
        <v>0</v>
      </c>
      <c r="J95" s="3"/>
      <c r="K95" s="3">
        <v>0</v>
      </c>
      <c r="L95" s="3"/>
      <c r="M95" s="3">
        <v>0</v>
      </c>
      <c r="N95" s="3"/>
      <c r="O95" s="3">
        <v>125162</v>
      </c>
      <c r="P95" s="3"/>
      <c r="Q95" s="3">
        <v>0</v>
      </c>
      <c r="R95" s="3"/>
      <c r="S95" s="16">
        <v>125162</v>
      </c>
      <c r="T95" s="3"/>
      <c r="U95" s="3">
        <v>76484</v>
      </c>
      <c r="V95" s="3"/>
      <c r="W95" s="3">
        <v>0</v>
      </c>
    </row>
    <row r="96" spans="1:23" s="103" customFormat="1">
      <c r="A96" s="103" t="s">
        <v>297</v>
      </c>
      <c r="C96" s="103" t="s">
        <v>172</v>
      </c>
      <c r="E96" s="103">
        <v>47910</v>
      </c>
      <c r="G96" s="3">
        <v>0</v>
      </c>
      <c r="H96" s="3"/>
      <c r="I96" s="3">
        <v>0</v>
      </c>
      <c r="J96" s="3"/>
      <c r="K96" s="3">
        <v>0</v>
      </c>
      <c r="L96" s="3"/>
      <c r="M96" s="3">
        <v>0</v>
      </c>
      <c r="N96" s="3"/>
      <c r="O96" s="3">
        <v>146053</v>
      </c>
      <c r="P96" s="3"/>
      <c r="Q96" s="3">
        <v>0</v>
      </c>
      <c r="R96" s="3"/>
      <c r="S96" s="16">
        <f t="shared" si="1"/>
        <v>146053</v>
      </c>
      <c r="T96" s="3"/>
      <c r="U96" s="3">
        <v>50719</v>
      </c>
      <c r="V96" s="3"/>
      <c r="W96" s="3">
        <f>'St of Net Position'!Q96-U96</f>
        <v>0</v>
      </c>
    </row>
    <row r="97" spans="1:23" s="59" customFormat="1" hidden="1">
      <c r="A97" s="58" t="s">
        <v>386</v>
      </c>
      <c r="B97" s="58"/>
      <c r="C97" s="58" t="s">
        <v>173</v>
      </c>
      <c r="E97" s="59">
        <v>47977</v>
      </c>
      <c r="G97" s="58">
        <v>0</v>
      </c>
      <c r="H97" s="58"/>
      <c r="I97" s="58">
        <v>0</v>
      </c>
      <c r="J97" s="58"/>
      <c r="K97" s="58">
        <v>0</v>
      </c>
      <c r="L97" s="58"/>
      <c r="M97" s="58">
        <v>0</v>
      </c>
      <c r="N97" s="58"/>
      <c r="O97" s="58">
        <v>0</v>
      </c>
      <c r="P97" s="58"/>
      <c r="Q97" s="58">
        <v>0</v>
      </c>
      <c r="R97" s="58"/>
      <c r="S97" s="60">
        <f t="shared" si="1"/>
        <v>0</v>
      </c>
      <c r="T97" s="58"/>
      <c r="U97" s="58">
        <v>0</v>
      </c>
      <c r="V97" s="58"/>
      <c r="W97" s="58">
        <f>'St of Net Position'!Q97-U97</f>
        <v>0</v>
      </c>
    </row>
    <row r="98" spans="1:23" s="103" customFormat="1">
      <c r="A98" s="103" t="s">
        <v>298</v>
      </c>
      <c r="C98" s="103" t="s">
        <v>174</v>
      </c>
      <c r="E98" s="103">
        <v>48058</v>
      </c>
      <c r="G98" s="3">
        <v>0</v>
      </c>
      <c r="H98" s="3"/>
      <c r="I98" s="3">
        <v>0</v>
      </c>
      <c r="J98" s="3"/>
      <c r="K98" s="3">
        <v>0</v>
      </c>
      <c r="L98" s="3"/>
      <c r="M98" s="3">
        <v>0</v>
      </c>
      <c r="N98" s="3"/>
      <c r="O98" s="3">
        <v>94617</v>
      </c>
      <c r="P98" s="3"/>
      <c r="Q98" s="3">
        <v>0</v>
      </c>
      <c r="R98" s="3"/>
      <c r="S98" s="16">
        <f t="shared" si="1"/>
        <v>94617</v>
      </c>
      <c r="T98" s="3"/>
      <c r="U98" s="3">
        <v>28648</v>
      </c>
      <c r="V98" s="3"/>
      <c r="W98" s="3">
        <f>'St of Net Position'!Q98-U98</f>
        <v>0</v>
      </c>
    </row>
    <row r="99" spans="1:23" s="89" customFormat="1" hidden="1">
      <c r="A99" s="89" t="s">
        <v>351</v>
      </c>
      <c r="C99" s="89" t="s">
        <v>142</v>
      </c>
      <c r="E99" s="89">
        <v>48108</v>
      </c>
      <c r="G99" s="88">
        <v>0</v>
      </c>
      <c r="H99" s="88"/>
      <c r="I99" s="88">
        <v>0</v>
      </c>
      <c r="J99" s="88"/>
      <c r="K99" s="88">
        <v>0</v>
      </c>
      <c r="L99" s="88"/>
      <c r="M99" s="88">
        <v>0</v>
      </c>
      <c r="N99" s="88"/>
      <c r="O99" s="88">
        <v>0</v>
      </c>
      <c r="P99" s="88"/>
      <c r="Q99" s="88">
        <v>0</v>
      </c>
      <c r="R99" s="88"/>
      <c r="S99" s="90">
        <f t="shared" si="1"/>
        <v>0</v>
      </c>
      <c r="T99" s="88"/>
      <c r="U99" s="88">
        <v>0</v>
      </c>
      <c r="V99" s="88"/>
      <c r="W99" s="88">
        <f>'St of Net Position'!Q99-U99</f>
        <v>0</v>
      </c>
    </row>
    <row r="100" spans="1:23" s="103" customFormat="1">
      <c r="A100" s="103" t="s">
        <v>350</v>
      </c>
      <c r="C100" s="103" t="s">
        <v>175</v>
      </c>
      <c r="E100" s="103">
        <v>48199</v>
      </c>
      <c r="G100" s="3">
        <v>0</v>
      </c>
      <c r="H100" s="3"/>
      <c r="I100" s="3">
        <v>0</v>
      </c>
      <c r="J100" s="3"/>
      <c r="K100" s="3">
        <v>0</v>
      </c>
      <c r="L100" s="3"/>
      <c r="M100" s="3">
        <v>3588</v>
      </c>
      <c r="N100" s="3"/>
      <c r="O100" s="3">
        <v>1838449</v>
      </c>
      <c r="P100" s="3"/>
      <c r="Q100" s="3">
        <v>0</v>
      </c>
      <c r="R100" s="3"/>
      <c r="S100" s="16">
        <f t="shared" si="1"/>
        <v>1842037</v>
      </c>
      <c r="T100" s="3"/>
      <c r="U100" s="3">
        <v>486859</v>
      </c>
      <c r="V100" s="3"/>
      <c r="W100" s="3">
        <f>'St of Net Position'!Q100-U100</f>
        <v>0</v>
      </c>
    </row>
    <row r="101" spans="1:23" s="59" customFormat="1" hidden="1">
      <c r="A101" s="58" t="s">
        <v>316</v>
      </c>
      <c r="C101" s="59" t="s">
        <v>151</v>
      </c>
      <c r="E101" s="59">
        <v>137364</v>
      </c>
      <c r="G101" s="58">
        <v>0</v>
      </c>
      <c r="H101" s="58"/>
      <c r="I101" s="58">
        <v>0</v>
      </c>
      <c r="J101" s="58"/>
      <c r="K101" s="58">
        <v>0</v>
      </c>
      <c r="L101" s="58"/>
      <c r="M101" s="58">
        <v>0</v>
      </c>
      <c r="N101" s="58"/>
      <c r="O101" s="58">
        <v>0</v>
      </c>
      <c r="P101" s="58"/>
      <c r="Q101" s="58">
        <v>0</v>
      </c>
      <c r="R101" s="58"/>
      <c r="S101" s="60">
        <f t="shared" si="1"/>
        <v>0</v>
      </c>
      <c r="T101" s="58"/>
      <c r="U101" s="58">
        <v>0</v>
      </c>
      <c r="V101" s="58"/>
      <c r="W101" s="58">
        <f>'St of Net Position'!Q101-U101</f>
        <v>0</v>
      </c>
    </row>
    <row r="102" spans="1:23" s="103" customFormat="1" ht="12" customHeight="1">
      <c r="A102" s="3" t="s">
        <v>317</v>
      </c>
      <c r="C102" s="103" t="s">
        <v>176</v>
      </c>
      <c r="E102" s="103">
        <v>48280</v>
      </c>
      <c r="G102" s="3">
        <v>0</v>
      </c>
      <c r="H102" s="3"/>
      <c r="I102" s="3">
        <v>0</v>
      </c>
      <c r="J102" s="3"/>
      <c r="K102" s="3">
        <v>0</v>
      </c>
      <c r="L102" s="3"/>
      <c r="M102" s="3">
        <v>37113</v>
      </c>
      <c r="N102" s="3"/>
      <c r="O102" s="3">
        <v>745685</v>
      </c>
      <c r="P102" s="3"/>
      <c r="Q102" s="3">
        <v>0</v>
      </c>
      <c r="R102" s="3"/>
      <c r="S102" s="16">
        <f t="shared" si="1"/>
        <v>782798</v>
      </c>
      <c r="T102" s="3"/>
      <c r="U102" s="3">
        <v>272460</v>
      </c>
      <c r="V102" s="3"/>
      <c r="W102" s="3">
        <f>'St of Net Position'!Q102-U102</f>
        <v>0</v>
      </c>
    </row>
    <row r="103" spans="1:23" s="103" customFormat="1">
      <c r="A103" s="3" t="s">
        <v>177</v>
      </c>
      <c r="C103" s="103" t="s">
        <v>178</v>
      </c>
      <c r="E103" s="103">
        <v>48454</v>
      </c>
      <c r="G103" s="3">
        <v>0</v>
      </c>
      <c r="H103" s="3"/>
      <c r="I103" s="3">
        <v>0</v>
      </c>
      <c r="J103" s="3"/>
      <c r="K103" s="3">
        <v>0</v>
      </c>
      <c r="L103" s="3"/>
      <c r="M103" s="3">
        <v>0</v>
      </c>
      <c r="N103" s="3"/>
      <c r="O103" s="3">
        <v>83323</v>
      </c>
      <c r="P103" s="3"/>
      <c r="Q103" s="3">
        <v>0</v>
      </c>
      <c r="R103" s="3"/>
      <c r="S103" s="16">
        <f t="shared" si="1"/>
        <v>83323</v>
      </c>
      <c r="T103" s="3"/>
      <c r="U103" s="3">
        <v>36770</v>
      </c>
      <c r="V103" s="3"/>
      <c r="W103" s="3">
        <f>'St of Net Position'!Q103-U103</f>
        <v>0</v>
      </c>
    </row>
    <row r="104" spans="1:23" s="59" customFormat="1" hidden="1">
      <c r="A104" s="58" t="s">
        <v>318</v>
      </c>
      <c r="C104" s="59" t="s">
        <v>179</v>
      </c>
      <c r="E104" s="59">
        <v>48546</v>
      </c>
      <c r="G104" s="58">
        <v>0</v>
      </c>
      <c r="H104" s="58"/>
      <c r="I104" s="58">
        <v>0</v>
      </c>
      <c r="J104" s="58"/>
      <c r="K104" s="58">
        <v>0</v>
      </c>
      <c r="L104" s="58"/>
      <c r="M104" s="58">
        <v>0</v>
      </c>
      <c r="N104" s="58"/>
      <c r="O104" s="58">
        <v>0</v>
      </c>
      <c r="P104" s="58"/>
      <c r="Q104" s="58">
        <v>0</v>
      </c>
      <c r="R104" s="58"/>
      <c r="S104" s="60">
        <f t="shared" si="1"/>
        <v>0</v>
      </c>
      <c r="T104" s="58"/>
      <c r="U104" s="58">
        <v>0</v>
      </c>
      <c r="V104" s="58"/>
      <c r="W104" s="58">
        <f>'St of Net Position'!Q104-U104</f>
        <v>0</v>
      </c>
    </row>
    <row r="105" spans="1:23" s="103" customFormat="1">
      <c r="A105" s="3" t="s">
        <v>319</v>
      </c>
      <c r="C105" s="103" t="s">
        <v>180</v>
      </c>
      <c r="E105" s="103">
        <v>48603</v>
      </c>
      <c r="G105" s="3">
        <v>0</v>
      </c>
      <c r="H105" s="3"/>
      <c r="I105" s="3">
        <v>0</v>
      </c>
      <c r="J105" s="3"/>
      <c r="K105" s="3">
        <v>0</v>
      </c>
      <c r="L105" s="3"/>
      <c r="M105" s="3">
        <v>23708</v>
      </c>
      <c r="N105" s="3"/>
      <c r="O105" s="3">
        <v>478555</v>
      </c>
      <c r="P105" s="3"/>
      <c r="Q105" s="3">
        <v>0</v>
      </c>
      <c r="R105" s="3"/>
      <c r="S105" s="16">
        <f t="shared" si="1"/>
        <v>502263</v>
      </c>
      <c r="T105" s="3"/>
      <c r="U105" s="3">
        <v>93680</v>
      </c>
      <c r="V105" s="3"/>
      <c r="W105" s="3">
        <f>'St of Net Position'!Q105-U105</f>
        <v>0</v>
      </c>
    </row>
    <row r="106" spans="1:23" s="59" customFormat="1" hidden="1">
      <c r="A106" s="58" t="s">
        <v>275</v>
      </c>
      <c r="B106" s="58"/>
      <c r="C106" s="58" t="s">
        <v>189</v>
      </c>
      <c r="E106" s="59">
        <v>12351</v>
      </c>
      <c r="G106" s="58">
        <v>0</v>
      </c>
      <c r="H106" s="58"/>
      <c r="I106" s="58">
        <v>0</v>
      </c>
      <c r="J106" s="58"/>
      <c r="K106" s="58">
        <v>0</v>
      </c>
      <c r="L106" s="58"/>
      <c r="M106" s="58">
        <v>0</v>
      </c>
      <c r="N106" s="58"/>
      <c r="O106" s="58">
        <v>0</v>
      </c>
      <c r="P106" s="58"/>
      <c r="Q106" s="58">
        <v>0</v>
      </c>
      <c r="R106" s="58"/>
      <c r="S106" s="60">
        <f t="shared" si="1"/>
        <v>0</v>
      </c>
      <c r="T106" s="58"/>
      <c r="U106" s="58">
        <v>0</v>
      </c>
      <c r="V106" s="58"/>
      <c r="W106" s="58">
        <f>'St of Net Position'!Q106-U106</f>
        <v>0</v>
      </c>
    </row>
    <row r="107" spans="1:23" s="103" customFormat="1">
      <c r="A107" s="3" t="s">
        <v>320</v>
      </c>
      <c r="C107" s="103" t="s">
        <v>181</v>
      </c>
      <c r="E107" s="103">
        <v>48660</v>
      </c>
      <c r="G107" s="3">
        <v>0</v>
      </c>
      <c r="H107" s="3"/>
      <c r="I107" s="3">
        <v>0</v>
      </c>
      <c r="J107" s="3"/>
      <c r="K107" s="3">
        <v>0</v>
      </c>
      <c r="L107" s="3"/>
      <c r="M107" s="3">
        <v>0</v>
      </c>
      <c r="N107" s="3"/>
      <c r="O107" s="3">
        <v>951036</v>
      </c>
      <c r="P107" s="3"/>
      <c r="Q107" s="3">
        <v>0</v>
      </c>
      <c r="R107" s="3"/>
      <c r="S107" s="16">
        <f t="shared" si="1"/>
        <v>951036</v>
      </c>
      <c r="T107" s="3"/>
      <c r="U107" s="3">
        <v>188444</v>
      </c>
      <c r="V107" s="3"/>
      <c r="W107" s="3">
        <f>'St of Net Position'!Q107-U107</f>
        <v>0</v>
      </c>
    </row>
    <row r="108" spans="1:23" s="103" customFormat="1">
      <c r="A108" s="3" t="s">
        <v>182</v>
      </c>
      <c r="C108" s="103" t="s">
        <v>183</v>
      </c>
      <c r="E108" s="103">
        <v>125252</v>
      </c>
      <c r="G108" s="3">
        <v>0</v>
      </c>
      <c r="H108" s="3"/>
      <c r="I108" s="3">
        <v>0</v>
      </c>
      <c r="J108" s="3"/>
      <c r="K108" s="3">
        <v>0</v>
      </c>
      <c r="L108" s="3"/>
      <c r="M108" s="3">
        <v>0</v>
      </c>
      <c r="N108" s="3"/>
      <c r="O108" s="3">
        <v>917405</v>
      </c>
      <c r="P108" s="3"/>
      <c r="Q108" s="3">
        <v>0</v>
      </c>
      <c r="R108" s="3"/>
      <c r="S108" s="16">
        <f t="shared" si="1"/>
        <v>917405</v>
      </c>
      <c r="T108" s="3"/>
      <c r="U108" s="3">
        <v>61559</v>
      </c>
      <c r="V108" s="3"/>
      <c r="W108" s="3">
        <f>'St of Net Position'!Q108-U108</f>
        <v>0</v>
      </c>
    </row>
    <row r="109" spans="1:23" s="103" customFormat="1">
      <c r="A109" s="3" t="s">
        <v>265</v>
      </c>
      <c r="C109" s="103" t="s">
        <v>193</v>
      </c>
      <c r="E109" s="103">
        <v>123257</v>
      </c>
      <c r="G109" s="3">
        <v>0</v>
      </c>
      <c r="H109" s="3"/>
      <c r="I109" s="3">
        <v>0</v>
      </c>
      <c r="J109" s="3"/>
      <c r="K109" s="3">
        <v>3405000</v>
      </c>
      <c r="L109" s="3"/>
      <c r="M109" s="3">
        <v>0</v>
      </c>
      <c r="N109" s="3"/>
      <c r="O109" s="3">
        <v>796499</v>
      </c>
      <c r="P109" s="3"/>
      <c r="Q109" s="3">
        <v>0</v>
      </c>
      <c r="R109" s="3"/>
      <c r="S109" s="16">
        <f t="shared" ref="S109" si="2">SUM(G109:R109)</f>
        <v>4201499</v>
      </c>
      <c r="T109" s="3"/>
      <c r="U109" s="3">
        <v>222884</v>
      </c>
      <c r="V109" s="3"/>
      <c r="W109" s="3">
        <f>'St of Net Position'!Q109-U109</f>
        <v>0</v>
      </c>
    </row>
    <row r="110" spans="1:23" s="103" customFormat="1">
      <c r="A110" s="103" t="s">
        <v>299</v>
      </c>
      <c r="C110" s="103" t="s">
        <v>160</v>
      </c>
      <c r="E110" s="114">
        <v>125690</v>
      </c>
      <c r="G110" s="3">
        <v>0</v>
      </c>
      <c r="H110" s="3"/>
      <c r="I110" s="3">
        <v>0</v>
      </c>
      <c r="J110" s="3"/>
      <c r="K110" s="3">
        <v>0</v>
      </c>
      <c r="L110" s="3"/>
      <c r="M110" s="3">
        <v>0</v>
      </c>
      <c r="N110" s="3"/>
      <c r="O110" s="3">
        <v>1279720</v>
      </c>
      <c r="P110" s="3"/>
      <c r="Q110" s="3">
        <v>0</v>
      </c>
      <c r="R110" s="3"/>
      <c r="S110" s="16">
        <f t="shared" ref="S110" si="3">SUM(G110:R110)</f>
        <v>1279720</v>
      </c>
      <c r="T110" s="3"/>
      <c r="U110" s="3">
        <v>173695</v>
      </c>
      <c r="V110" s="3"/>
      <c r="W110" s="3">
        <f>'St of Net Position'!Q110-U110</f>
        <v>0</v>
      </c>
    </row>
    <row r="111" spans="1:23" s="103" customFormat="1">
      <c r="A111" s="3" t="s">
        <v>163</v>
      </c>
      <c r="C111" s="3" t="s">
        <v>321</v>
      </c>
      <c r="E111" s="103">
        <v>124297</v>
      </c>
      <c r="G111" s="3">
        <v>0</v>
      </c>
      <c r="H111" s="3"/>
      <c r="I111" s="3">
        <v>825562</v>
      </c>
      <c r="J111" s="3"/>
      <c r="K111" s="3">
        <v>0</v>
      </c>
      <c r="L111" s="3"/>
      <c r="M111" s="3">
        <v>0</v>
      </c>
      <c r="N111" s="3"/>
      <c r="O111" s="3">
        <v>1064152</v>
      </c>
      <c r="P111" s="3"/>
      <c r="Q111" s="3">
        <v>0</v>
      </c>
      <c r="R111" s="3"/>
      <c r="S111" s="16">
        <f t="shared" si="1"/>
        <v>1889714</v>
      </c>
      <c r="T111" s="3"/>
      <c r="U111" s="3">
        <v>243004</v>
      </c>
      <c r="V111" s="3"/>
      <c r="W111" s="3">
        <f>'St of Net Position'!Q111-U111</f>
        <v>0</v>
      </c>
    </row>
    <row r="112" spans="1:23" s="103" customFormat="1">
      <c r="A112" s="3" t="s">
        <v>308</v>
      </c>
      <c r="C112" s="3" t="s">
        <v>259</v>
      </c>
      <c r="E112" s="103">
        <v>123281</v>
      </c>
      <c r="G112" s="3">
        <v>0</v>
      </c>
      <c r="H112" s="3"/>
      <c r="I112" s="3">
        <v>0</v>
      </c>
      <c r="J112" s="3"/>
      <c r="K112" s="3">
        <v>0</v>
      </c>
      <c r="L112" s="3"/>
      <c r="M112" s="3">
        <v>1692</v>
      </c>
      <c r="N112" s="3"/>
      <c r="O112" s="3">
        <v>391462</v>
      </c>
      <c r="P112" s="3"/>
      <c r="Q112" s="3">
        <v>0</v>
      </c>
      <c r="R112" s="3"/>
      <c r="S112" s="16">
        <f t="shared" si="1"/>
        <v>393154</v>
      </c>
      <c r="T112" s="3"/>
      <c r="U112" s="3">
        <v>118225</v>
      </c>
      <c r="V112" s="3"/>
      <c r="W112" s="3">
        <f>'St of Net Position'!Q112-U112</f>
        <v>0</v>
      </c>
    </row>
    <row r="113" spans="1:23" s="89" customFormat="1" hidden="1">
      <c r="A113" s="88" t="s">
        <v>355</v>
      </c>
      <c r="C113" s="89" t="s">
        <v>184</v>
      </c>
      <c r="E113" s="89">
        <v>125674</v>
      </c>
      <c r="G113" s="88">
        <v>0</v>
      </c>
      <c r="H113" s="88"/>
      <c r="I113" s="88">
        <v>0</v>
      </c>
      <c r="J113" s="88"/>
      <c r="K113" s="88">
        <v>0</v>
      </c>
      <c r="L113" s="88"/>
      <c r="M113" s="88">
        <v>0</v>
      </c>
      <c r="N113" s="88"/>
      <c r="O113" s="88">
        <v>0</v>
      </c>
      <c r="P113" s="88"/>
      <c r="Q113" s="88">
        <v>0</v>
      </c>
      <c r="R113" s="88"/>
      <c r="S113" s="90">
        <f t="shared" si="1"/>
        <v>0</v>
      </c>
      <c r="T113" s="88"/>
      <c r="U113" s="88">
        <v>0</v>
      </c>
      <c r="V113" s="88"/>
      <c r="W113" s="88">
        <f>'St of Net Position'!Q113-U113</f>
        <v>0</v>
      </c>
    </row>
    <row r="114" spans="1:23" s="103" customFormat="1">
      <c r="A114" s="3" t="s">
        <v>332</v>
      </c>
      <c r="C114" s="103" t="s">
        <v>185</v>
      </c>
      <c r="E114" s="103">
        <v>49072</v>
      </c>
      <c r="G114" s="3">
        <v>0</v>
      </c>
      <c r="H114" s="3"/>
      <c r="I114" s="3">
        <v>0</v>
      </c>
      <c r="J114" s="3"/>
      <c r="K114" s="3">
        <v>0</v>
      </c>
      <c r="L114" s="3"/>
      <c r="M114" s="3">
        <v>0</v>
      </c>
      <c r="N114" s="3"/>
      <c r="O114" s="3">
        <v>196405</v>
      </c>
      <c r="P114" s="3"/>
      <c r="Q114" s="3">
        <v>0</v>
      </c>
      <c r="R114" s="3"/>
      <c r="S114" s="16">
        <f t="shared" si="1"/>
        <v>196405</v>
      </c>
      <c r="T114" s="3"/>
      <c r="U114" s="3">
        <v>17355</v>
      </c>
      <c r="V114" s="3"/>
      <c r="W114" s="3">
        <f>'St of Net Position'!Q114-U114</f>
        <v>0</v>
      </c>
    </row>
    <row r="115" spans="1:23" s="103" customFormat="1">
      <c r="A115" s="3" t="s">
        <v>323</v>
      </c>
      <c r="C115" s="103" t="s">
        <v>186</v>
      </c>
      <c r="E115" s="103">
        <v>49163</v>
      </c>
      <c r="G115" s="3">
        <v>0</v>
      </c>
      <c r="H115" s="3"/>
      <c r="I115" s="3">
        <v>0</v>
      </c>
      <c r="J115" s="3"/>
      <c r="K115" s="3">
        <v>0</v>
      </c>
      <c r="L115" s="3"/>
      <c r="M115" s="3">
        <v>23994</v>
      </c>
      <c r="N115" s="3"/>
      <c r="O115" s="3">
        <v>71751</v>
      </c>
      <c r="P115" s="3"/>
      <c r="Q115" s="3">
        <v>0</v>
      </c>
      <c r="R115" s="3"/>
      <c r="S115" s="16">
        <f t="shared" si="1"/>
        <v>95745</v>
      </c>
      <c r="T115" s="3"/>
      <c r="U115" s="3">
        <v>19013</v>
      </c>
      <c r="V115" s="3"/>
      <c r="W115" s="3">
        <f>'St of Net Position'!Q115-U115</f>
        <v>0</v>
      </c>
    </row>
    <row r="116" spans="1:23" s="59" customFormat="1" hidden="1">
      <c r="A116" s="59" t="s">
        <v>324</v>
      </c>
      <c r="C116" s="59" t="s">
        <v>187</v>
      </c>
      <c r="E116" s="59">
        <v>49254</v>
      </c>
      <c r="G116" s="58"/>
      <c r="H116" s="58"/>
      <c r="I116" s="58">
        <v>0</v>
      </c>
      <c r="J116" s="58"/>
      <c r="K116" s="58"/>
      <c r="L116" s="58"/>
      <c r="M116" s="58">
        <v>0</v>
      </c>
      <c r="N116" s="58"/>
      <c r="O116" s="58">
        <v>0</v>
      </c>
      <c r="P116" s="58"/>
      <c r="Q116" s="58"/>
      <c r="R116" s="58"/>
      <c r="S116" s="60">
        <f t="shared" si="1"/>
        <v>0</v>
      </c>
      <c r="T116" s="58"/>
      <c r="U116" s="58">
        <v>0</v>
      </c>
      <c r="V116" s="58"/>
      <c r="W116" s="58">
        <f>'St of Net Position'!Q116-U116</f>
        <v>0</v>
      </c>
    </row>
    <row r="117" spans="1:23" s="103" customFormat="1">
      <c r="A117" s="3" t="s">
        <v>325</v>
      </c>
      <c r="C117" s="103" t="s">
        <v>188</v>
      </c>
      <c r="E117" s="103">
        <v>49304</v>
      </c>
      <c r="G117" s="3">
        <v>0</v>
      </c>
      <c r="H117" s="3"/>
      <c r="I117" s="3">
        <v>0</v>
      </c>
      <c r="J117" s="3"/>
      <c r="K117" s="3">
        <v>0</v>
      </c>
      <c r="L117" s="3"/>
      <c r="M117" s="3">
        <v>559625</v>
      </c>
      <c r="N117" s="3"/>
      <c r="O117" s="3">
        <v>463314</v>
      </c>
      <c r="P117" s="3"/>
      <c r="Q117" s="3">
        <v>0</v>
      </c>
      <c r="R117" s="3"/>
      <c r="S117" s="16">
        <f t="shared" si="1"/>
        <v>1022939</v>
      </c>
      <c r="T117" s="3"/>
      <c r="U117" s="3">
        <v>191530</v>
      </c>
      <c r="V117" s="3"/>
      <c r="W117" s="3">
        <f>'St of Net Position'!Q117-U117</f>
        <v>0</v>
      </c>
    </row>
    <row r="118" spans="1:23" s="103" customFormat="1">
      <c r="A118" s="3" t="s">
        <v>326</v>
      </c>
      <c r="C118" s="103" t="s">
        <v>190</v>
      </c>
      <c r="E118" s="103">
        <v>138222</v>
      </c>
      <c r="G118" s="3">
        <v>0</v>
      </c>
      <c r="H118" s="3"/>
      <c r="I118" s="3">
        <v>0</v>
      </c>
      <c r="J118" s="3"/>
      <c r="K118" s="3">
        <v>0</v>
      </c>
      <c r="L118" s="3"/>
      <c r="M118" s="3">
        <v>0</v>
      </c>
      <c r="N118" s="3"/>
      <c r="O118" s="3">
        <v>413010</v>
      </c>
      <c r="P118" s="3"/>
      <c r="Q118" s="3">
        <v>0</v>
      </c>
      <c r="R118" s="3"/>
      <c r="S118" s="16">
        <f t="shared" si="1"/>
        <v>413010</v>
      </c>
      <c r="T118" s="3"/>
      <c r="U118" s="3">
        <v>98248</v>
      </c>
      <c r="V118" s="3"/>
      <c r="W118" s="3">
        <f>'St of Net Position'!Q118-U118</f>
        <v>0</v>
      </c>
    </row>
    <row r="119" spans="1:23" s="89" customFormat="1" hidden="1">
      <c r="A119" s="88" t="s">
        <v>300</v>
      </c>
      <c r="C119" s="89" t="s">
        <v>191</v>
      </c>
      <c r="E119" s="89">
        <v>49551</v>
      </c>
      <c r="G119" s="88"/>
      <c r="H119" s="88"/>
      <c r="I119" s="88">
        <v>0</v>
      </c>
      <c r="J119" s="88"/>
      <c r="K119" s="88"/>
      <c r="L119" s="88"/>
      <c r="M119" s="88">
        <v>0</v>
      </c>
      <c r="N119" s="88"/>
      <c r="O119" s="88">
        <v>0</v>
      </c>
      <c r="P119" s="88"/>
      <c r="Q119" s="88"/>
      <c r="R119" s="88"/>
      <c r="S119" s="90">
        <f t="shared" si="1"/>
        <v>0</v>
      </c>
      <c r="T119" s="88"/>
      <c r="U119" s="88">
        <v>0</v>
      </c>
      <c r="V119" s="88"/>
      <c r="W119" s="88">
        <f>'St of Net Position'!Q119-U119</f>
        <v>0</v>
      </c>
    </row>
    <row r="120" spans="1:23" s="59" customFormat="1" hidden="1">
      <c r="A120" s="58" t="s">
        <v>384</v>
      </c>
      <c r="C120" s="59" t="s">
        <v>194</v>
      </c>
      <c r="E120" s="59">
        <v>49742</v>
      </c>
      <c r="G120" s="58">
        <v>0</v>
      </c>
      <c r="H120" s="58"/>
      <c r="I120" s="58">
        <v>0</v>
      </c>
      <c r="J120" s="58"/>
      <c r="K120" s="58">
        <v>0</v>
      </c>
      <c r="L120" s="58"/>
      <c r="M120" s="58">
        <v>0</v>
      </c>
      <c r="N120" s="58"/>
      <c r="O120" s="58">
        <v>0</v>
      </c>
      <c r="P120" s="58"/>
      <c r="Q120" s="58">
        <v>0</v>
      </c>
      <c r="R120" s="58"/>
      <c r="S120" s="60">
        <f t="shared" si="1"/>
        <v>0</v>
      </c>
      <c r="T120" s="58"/>
      <c r="U120" s="58">
        <v>0</v>
      </c>
      <c r="V120" s="58"/>
      <c r="W120" s="58">
        <f>'St of Net Position'!Q120-U120</f>
        <v>0</v>
      </c>
    </row>
    <row r="121" spans="1:23" s="103" customFormat="1">
      <c r="A121" s="3" t="s">
        <v>263</v>
      </c>
      <c r="C121" s="103" t="s">
        <v>192</v>
      </c>
      <c r="E121" s="103">
        <v>125658</v>
      </c>
      <c r="G121" s="3">
        <v>0</v>
      </c>
      <c r="H121" s="3"/>
      <c r="I121" s="3">
        <v>0</v>
      </c>
      <c r="J121" s="3"/>
      <c r="K121" s="3">
        <v>0</v>
      </c>
      <c r="L121" s="3"/>
      <c r="M121" s="3">
        <v>0</v>
      </c>
      <c r="N121" s="3"/>
      <c r="O121" s="3">
        <v>370277</v>
      </c>
      <c r="P121" s="3"/>
      <c r="Q121" s="3">
        <v>0</v>
      </c>
      <c r="R121" s="3"/>
      <c r="S121" s="16">
        <f t="shared" si="1"/>
        <v>370277</v>
      </c>
      <c r="T121" s="3"/>
      <c r="U121" s="3">
        <v>136910</v>
      </c>
      <c r="V121" s="3"/>
      <c r="W121" s="3">
        <f>'St of Net Position'!Q121-U121</f>
        <v>0</v>
      </c>
    </row>
    <row r="122" spans="1:23" s="103" customFormat="1">
      <c r="A122" s="3" t="s">
        <v>262</v>
      </c>
      <c r="B122" s="3"/>
      <c r="C122" s="3" t="s">
        <v>155</v>
      </c>
      <c r="E122" s="103">
        <v>46375</v>
      </c>
      <c r="G122" s="3">
        <v>0</v>
      </c>
      <c r="H122" s="3"/>
      <c r="I122" s="3">
        <v>0</v>
      </c>
      <c r="J122" s="3"/>
      <c r="K122" s="3">
        <v>0</v>
      </c>
      <c r="L122" s="3"/>
      <c r="M122" s="3">
        <v>0</v>
      </c>
      <c r="N122" s="3"/>
      <c r="O122" s="3">
        <v>255062</v>
      </c>
      <c r="P122" s="3"/>
      <c r="Q122" s="3">
        <v>0</v>
      </c>
      <c r="R122" s="3"/>
      <c r="S122" s="16">
        <f>SUM(G122:R122)</f>
        <v>255062</v>
      </c>
      <c r="T122" s="3"/>
      <c r="U122" s="3">
        <v>41406</v>
      </c>
      <c r="V122" s="3"/>
      <c r="W122" s="3">
        <f>'St of Net Position'!Q122-U122</f>
        <v>0</v>
      </c>
    </row>
    <row r="123" spans="1:23" s="103" customFormat="1">
      <c r="A123" s="103" t="s">
        <v>330</v>
      </c>
      <c r="C123" s="103" t="s">
        <v>195</v>
      </c>
      <c r="E123" s="103">
        <v>49825</v>
      </c>
      <c r="G123" s="3">
        <v>0</v>
      </c>
      <c r="H123" s="3"/>
      <c r="I123" s="3">
        <v>0</v>
      </c>
      <c r="J123" s="3"/>
      <c r="K123" s="3">
        <v>0</v>
      </c>
      <c r="L123" s="3"/>
      <c r="M123" s="3">
        <v>0</v>
      </c>
      <c r="N123" s="3"/>
      <c r="O123" s="3">
        <v>1023957</v>
      </c>
      <c r="P123" s="3"/>
      <c r="Q123" s="3">
        <v>0</v>
      </c>
      <c r="R123" s="3"/>
      <c r="S123" s="16">
        <f t="shared" si="1"/>
        <v>1023957</v>
      </c>
      <c r="T123" s="3"/>
      <c r="U123" s="3">
        <v>160130</v>
      </c>
      <c r="V123" s="3"/>
      <c r="W123" s="3">
        <f>'St of Net Position'!Q123-U123</f>
        <v>0</v>
      </c>
    </row>
    <row r="124" spans="1:23" s="103" customFormat="1">
      <c r="A124" s="3" t="s">
        <v>331</v>
      </c>
      <c r="C124" s="103" t="s">
        <v>196</v>
      </c>
      <c r="E124" s="103">
        <v>49965</v>
      </c>
      <c r="G124" s="3">
        <v>0</v>
      </c>
      <c r="H124" s="3"/>
      <c r="I124" s="3">
        <v>0</v>
      </c>
      <c r="J124" s="3"/>
      <c r="K124" s="3">
        <v>0</v>
      </c>
      <c r="L124" s="3"/>
      <c r="M124" s="3">
        <v>896103</v>
      </c>
      <c r="N124" s="3"/>
      <c r="O124" s="3">
        <v>190277</v>
      </c>
      <c r="P124" s="3"/>
      <c r="Q124" s="3">
        <v>0</v>
      </c>
      <c r="R124" s="3"/>
      <c r="S124" s="16">
        <f t="shared" si="1"/>
        <v>1086380</v>
      </c>
      <c r="T124" s="3"/>
      <c r="U124" s="3">
        <v>104203</v>
      </c>
      <c r="V124" s="3"/>
      <c r="W124" s="3">
        <f>'St of Net Position'!Q124-U124</f>
        <v>0</v>
      </c>
    </row>
    <row r="125" spans="1:23" s="59" customFormat="1" hidden="1">
      <c r="A125" s="58" t="s">
        <v>353</v>
      </c>
      <c r="C125" s="59" t="s">
        <v>203</v>
      </c>
      <c r="E125" s="59">
        <v>50526</v>
      </c>
      <c r="G125" s="58">
        <v>0</v>
      </c>
      <c r="H125" s="58"/>
      <c r="I125" s="58">
        <v>0</v>
      </c>
      <c r="J125" s="58"/>
      <c r="K125" s="58">
        <v>0</v>
      </c>
      <c r="L125" s="58"/>
      <c r="M125" s="58">
        <v>0</v>
      </c>
      <c r="N125" s="58"/>
      <c r="O125" s="58">
        <v>0</v>
      </c>
      <c r="P125" s="58"/>
      <c r="Q125" s="58">
        <v>0</v>
      </c>
      <c r="R125" s="58"/>
      <c r="S125" s="60">
        <f t="shared" si="1"/>
        <v>0</v>
      </c>
      <c r="T125" s="58"/>
      <c r="U125" s="58">
        <v>0</v>
      </c>
      <c r="V125" s="58"/>
      <c r="W125" s="58">
        <f>'St of Net Position'!Q125-U125</f>
        <v>0</v>
      </c>
    </row>
    <row r="126" spans="1:23" s="103" customFormat="1">
      <c r="A126" s="3" t="s">
        <v>333</v>
      </c>
      <c r="C126" s="103" t="s">
        <v>197</v>
      </c>
      <c r="E126" s="103">
        <v>50088</v>
      </c>
      <c r="G126" s="3">
        <v>0</v>
      </c>
      <c r="H126" s="3"/>
      <c r="I126" s="3">
        <v>0</v>
      </c>
      <c r="J126" s="3"/>
      <c r="K126" s="3">
        <v>0</v>
      </c>
      <c r="L126" s="3"/>
      <c r="M126" s="3">
        <v>18595</v>
      </c>
      <c r="N126" s="3"/>
      <c r="O126" s="3">
        <v>876633</v>
      </c>
      <c r="P126" s="3"/>
      <c r="Q126" s="3">
        <v>0</v>
      </c>
      <c r="R126" s="3"/>
      <c r="S126" s="16">
        <f t="shared" si="1"/>
        <v>895228</v>
      </c>
      <c r="T126" s="3"/>
      <c r="U126" s="3">
        <v>102001</v>
      </c>
      <c r="V126" s="3"/>
      <c r="W126" s="3">
        <f>'St of Net Position'!Q126-U126</f>
        <v>0</v>
      </c>
    </row>
    <row r="127" spans="1:23" s="89" customFormat="1" hidden="1">
      <c r="A127" s="88" t="s">
        <v>301</v>
      </c>
      <c r="C127" s="89" t="s">
        <v>198</v>
      </c>
      <c r="E127" s="89">
        <v>50260</v>
      </c>
      <c r="G127" s="88"/>
      <c r="H127" s="88"/>
      <c r="I127" s="88">
        <v>0</v>
      </c>
      <c r="J127" s="88"/>
      <c r="K127" s="88"/>
      <c r="L127" s="88"/>
      <c r="M127" s="88">
        <v>0</v>
      </c>
      <c r="N127" s="88"/>
      <c r="O127" s="88">
        <v>0</v>
      </c>
      <c r="P127" s="88"/>
      <c r="Q127" s="88"/>
      <c r="R127" s="88"/>
      <c r="S127" s="90">
        <f t="shared" si="1"/>
        <v>0</v>
      </c>
      <c r="T127" s="88"/>
      <c r="U127" s="88">
        <v>0</v>
      </c>
      <c r="V127" s="88"/>
      <c r="W127" s="88">
        <f>'St of Net Position'!Q127-U127</f>
        <v>0</v>
      </c>
    </row>
    <row r="128" spans="1:23" s="59" customFormat="1" hidden="1">
      <c r="A128" s="58" t="s">
        <v>335</v>
      </c>
      <c r="C128" s="59" t="s">
        <v>201</v>
      </c>
      <c r="E128" s="59">
        <v>50401</v>
      </c>
      <c r="G128" s="58"/>
      <c r="H128" s="58"/>
      <c r="I128" s="58">
        <v>0</v>
      </c>
      <c r="J128" s="58"/>
      <c r="K128" s="58"/>
      <c r="L128" s="58"/>
      <c r="M128" s="58">
        <v>0</v>
      </c>
      <c r="N128" s="58"/>
      <c r="O128" s="58">
        <v>0</v>
      </c>
      <c r="P128" s="58"/>
      <c r="Q128" s="58"/>
      <c r="R128" s="58"/>
      <c r="S128" s="60">
        <f t="shared" si="1"/>
        <v>0</v>
      </c>
      <c r="T128" s="58"/>
      <c r="U128" s="58">
        <v>0</v>
      </c>
      <c r="V128" s="58"/>
      <c r="W128" s="58">
        <f>'St of Net Position'!Q128-U128</f>
        <v>0</v>
      </c>
    </row>
    <row r="129" spans="1:23" s="89" customFormat="1" hidden="1">
      <c r="A129" s="88" t="s">
        <v>302</v>
      </c>
      <c r="C129" s="89" t="s">
        <v>202</v>
      </c>
      <c r="E129" s="89">
        <v>50476</v>
      </c>
      <c r="G129" s="88"/>
      <c r="H129" s="88"/>
      <c r="I129" s="88">
        <v>0</v>
      </c>
      <c r="J129" s="88"/>
      <c r="K129" s="88"/>
      <c r="L129" s="88"/>
      <c r="M129" s="88">
        <v>0</v>
      </c>
      <c r="N129" s="88"/>
      <c r="O129" s="88">
        <v>0</v>
      </c>
      <c r="P129" s="88"/>
      <c r="Q129" s="88"/>
      <c r="R129" s="88"/>
      <c r="S129" s="90">
        <f t="shared" si="1"/>
        <v>0</v>
      </c>
      <c r="T129" s="88"/>
      <c r="U129" s="88">
        <v>0</v>
      </c>
      <c r="V129" s="88"/>
      <c r="W129" s="88">
        <f>'St of Net Position'!Q129-U129</f>
        <v>0</v>
      </c>
    </row>
    <row r="130" spans="1:23" s="103" customFormat="1">
      <c r="A130" s="3" t="s">
        <v>199</v>
      </c>
      <c r="C130" s="103" t="s">
        <v>258</v>
      </c>
      <c r="E130" s="103">
        <v>134999</v>
      </c>
      <c r="G130" s="3">
        <v>0</v>
      </c>
      <c r="H130" s="3"/>
      <c r="I130" s="3">
        <v>0</v>
      </c>
      <c r="J130" s="3"/>
      <c r="K130" s="3">
        <v>0</v>
      </c>
      <c r="L130" s="3"/>
      <c r="M130" s="3">
        <v>0</v>
      </c>
      <c r="N130" s="3"/>
      <c r="O130" s="3">
        <v>231988</v>
      </c>
      <c r="P130" s="3"/>
      <c r="Q130" s="3">
        <v>0</v>
      </c>
      <c r="R130" s="3"/>
      <c r="S130" s="16">
        <f t="shared" si="1"/>
        <v>231988</v>
      </c>
      <c r="T130" s="3"/>
      <c r="U130" s="3">
        <v>35860</v>
      </c>
      <c r="V130" s="3"/>
      <c r="W130" s="3">
        <f>'St of Net Position'!Q130-U130</f>
        <v>0</v>
      </c>
    </row>
    <row r="131" spans="1:23" s="103" customFormat="1">
      <c r="A131" s="3" t="s">
        <v>334</v>
      </c>
      <c r="C131" s="103" t="s">
        <v>204</v>
      </c>
      <c r="E131" s="103">
        <v>50666</v>
      </c>
      <c r="G131" s="3">
        <v>0</v>
      </c>
      <c r="H131" s="3"/>
      <c r="I131" s="3">
        <v>0</v>
      </c>
      <c r="J131" s="3"/>
      <c r="K131" s="3">
        <v>0</v>
      </c>
      <c r="L131" s="3"/>
      <c r="M131" s="3">
        <v>0</v>
      </c>
      <c r="N131" s="3"/>
      <c r="O131" s="3">
        <v>695613</v>
      </c>
      <c r="P131" s="3"/>
      <c r="Q131" s="3">
        <v>0</v>
      </c>
      <c r="R131" s="3"/>
      <c r="S131" s="16">
        <f t="shared" si="1"/>
        <v>695613</v>
      </c>
      <c r="T131" s="3"/>
      <c r="U131" s="3">
        <v>54617</v>
      </c>
      <c r="V131" s="3"/>
      <c r="W131" s="3">
        <f>'St of Net Position'!Q131-U131</f>
        <v>0</v>
      </c>
    </row>
    <row r="132" spans="1:23"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46" spans="7:21"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16"/>
      <c r="T146" s="3"/>
      <c r="U146" s="3"/>
    </row>
  </sheetData>
  <phoneticPr fontId="3" type="noConversion"/>
  <pageMargins left="0.9" right="0.75" top="0.5" bottom="0.5" header="0.25" footer="0.25"/>
  <pageSetup scale="80" firstPageNumber="70" pageOrder="overThenDown" orientation="portrait" useFirstPageNumber="1" r:id="rId1"/>
  <headerFooter scaleWithDoc="0" alignWithMargins="0"/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0"/>
  <sheetViews>
    <sheetView zoomScaleNormal="100" zoomScaleSheetLayoutView="100" workbookViewId="0">
      <pane xSplit="6" ySplit="11" topLeftCell="G12" activePane="bottomRight" state="frozen"/>
      <selection activeCell="I141" sqref="I141"/>
      <selection pane="topRight" activeCell="I141" sqref="I141"/>
      <selection pane="bottomLeft" activeCell="I141" sqref="I141"/>
      <selection pane="bottomRight" activeCell="G12" sqref="G12"/>
    </sheetView>
  </sheetViews>
  <sheetFormatPr defaultRowHeight="12"/>
  <cols>
    <col min="1" max="1" width="45.7109375" style="27" customWidth="1"/>
    <col min="2" max="2" width="2.7109375" style="27" customWidth="1"/>
    <col min="3" max="3" width="9.140625" style="27"/>
    <col min="4" max="4" width="1.7109375" style="27" hidden="1" customWidth="1"/>
    <col min="5" max="5" width="6.7109375" style="27" hidden="1" customWidth="1"/>
    <col min="6" max="6" width="2.7109375" style="27" customWidth="1"/>
    <col min="7" max="7" width="9.7109375" style="27" customWidth="1"/>
    <col min="8" max="8" width="2.7109375" style="27" customWidth="1"/>
    <col min="9" max="9" width="9.7109375" style="27" customWidth="1"/>
    <col min="10" max="10" width="2.7109375" style="27" customWidth="1"/>
    <col min="11" max="11" width="9.7109375" style="27" customWidth="1"/>
    <col min="12" max="12" width="2.7109375" style="27" customWidth="1"/>
    <col min="13" max="13" width="9.7109375" style="27" customWidth="1"/>
    <col min="14" max="14" width="1.7109375" style="27" customWidth="1"/>
    <col min="15" max="15" width="9.28515625" style="27" bestFit="1" customWidth="1"/>
    <col min="16" max="16" width="1.7109375" style="28" customWidth="1"/>
    <col min="17" max="17" width="9.7109375" style="27" customWidth="1"/>
    <col min="18" max="18" width="1.7109375" style="27" customWidth="1"/>
    <col min="19" max="19" width="8.7109375" style="27" bestFit="1" customWidth="1"/>
    <col min="20" max="20" width="1.7109375" style="27" customWidth="1"/>
    <col min="21" max="21" width="9.5703125" style="27" bestFit="1" customWidth="1"/>
    <col min="22" max="22" width="1.7109375" style="27" customWidth="1"/>
    <col min="23" max="23" width="10.5703125" style="27" bestFit="1" customWidth="1"/>
    <col min="24" max="24" width="1.7109375" style="27" customWidth="1"/>
    <col min="25" max="25" width="10.85546875" style="27" bestFit="1" customWidth="1"/>
    <col min="26" max="26" width="1.7109375" style="27" customWidth="1"/>
    <col min="27" max="27" width="8.140625" style="27" bestFit="1" customWidth="1"/>
    <col min="28" max="28" width="1.7109375" style="27" customWidth="1"/>
    <col min="29" max="29" width="10.140625" style="27" customWidth="1"/>
    <col min="30" max="30" width="1.7109375" style="27" hidden="1" customWidth="1"/>
    <col min="31" max="31" width="10.85546875" style="27" hidden="1" customWidth="1"/>
    <col min="32" max="32" width="1.7109375" style="27" customWidth="1"/>
    <col min="33" max="33" width="10.85546875" style="27" bestFit="1" customWidth="1"/>
    <col min="34" max="16384" width="9.140625" style="27"/>
  </cols>
  <sheetData>
    <row r="1" spans="1:37" s="15" customFormat="1">
      <c r="A1" s="18" t="s">
        <v>20</v>
      </c>
      <c r="B1" s="18"/>
      <c r="C1" s="18"/>
      <c r="D1" s="18"/>
      <c r="E1" s="18"/>
      <c r="G1" s="3"/>
      <c r="H1" s="3"/>
      <c r="I1" s="3"/>
      <c r="J1" s="3"/>
      <c r="K1" s="3"/>
      <c r="L1" s="3"/>
      <c r="M1" s="3"/>
      <c r="N1" s="3"/>
      <c r="O1" s="3"/>
      <c r="P1" s="1"/>
      <c r="Q1" s="3"/>
      <c r="R1" s="3"/>
      <c r="S1" s="3"/>
      <c r="T1" s="3"/>
      <c r="U1" s="3"/>
      <c r="V1" s="3"/>
      <c r="W1" s="3"/>
      <c r="X1" s="27"/>
      <c r="Y1" s="3"/>
      <c r="Z1" s="3"/>
      <c r="AA1" s="3"/>
      <c r="AB1" s="3"/>
      <c r="AC1" s="3"/>
      <c r="AD1" s="3"/>
      <c r="AE1" s="3"/>
    </row>
    <row r="2" spans="1:37" s="15" customFormat="1">
      <c r="A2" s="18" t="s">
        <v>380</v>
      </c>
      <c r="B2" s="18"/>
      <c r="C2" s="18"/>
      <c r="D2" s="18"/>
      <c r="E2" s="18"/>
      <c r="G2" s="3"/>
      <c r="H2" s="3"/>
      <c r="I2" s="3"/>
      <c r="J2" s="3"/>
      <c r="K2" s="3"/>
      <c r="L2" s="3"/>
      <c r="M2" s="3"/>
      <c r="N2" s="3"/>
      <c r="O2" s="3"/>
      <c r="P2" s="1"/>
      <c r="Q2" s="3"/>
      <c r="R2" s="3"/>
      <c r="S2" s="3"/>
      <c r="T2" s="3"/>
      <c r="U2" s="3"/>
      <c r="V2" s="3"/>
      <c r="W2" s="3"/>
      <c r="X2" s="27"/>
      <c r="Y2" s="3"/>
      <c r="Z2" s="3"/>
      <c r="AA2" s="3"/>
      <c r="AB2" s="3"/>
      <c r="AC2" s="3"/>
      <c r="AD2" s="3"/>
      <c r="AE2" s="3"/>
    </row>
    <row r="3" spans="1:37" s="15" customFormat="1">
      <c r="A3" s="8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3"/>
      <c r="S3" s="3"/>
      <c r="T3" s="3"/>
      <c r="U3" s="3"/>
      <c r="V3" s="3"/>
      <c r="W3" s="3"/>
      <c r="X3" s="27"/>
      <c r="Y3" s="3"/>
      <c r="Z3" s="3"/>
      <c r="AA3" s="3"/>
      <c r="AB3" s="3"/>
      <c r="AC3" s="3"/>
      <c r="AD3" s="3"/>
      <c r="AE3" s="3"/>
    </row>
    <row r="4" spans="1:37" s="15" customFormat="1">
      <c r="A4" s="7" t="s">
        <v>257</v>
      </c>
      <c r="B4" s="18"/>
      <c r="C4" s="18"/>
      <c r="D4" s="18"/>
      <c r="E4" s="18"/>
      <c r="G4" s="3"/>
      <c r="H4" s="3"/>
      <c r="I4" s="3"/>
      <c r="J4" s="3"/>
      <c r="K4" s="3"/>
      <c r="L4" s="3"/>
      <c r="M4" s="3"/>
      <c r="N4" s="3"/>
      <c r="O4" s="3"/>
      <c r="P4" s="1"/>
      <c r="Q4" s="3"/>
      <c r="R4" s="3"/>
      <c r="S4" s="3"/>
      <c r="T4" s="3"/>
      <c r="U4" s="3"/>
      <c r="V4" s="3"/>
      <c r="W4" s="3"/>
      <c r="X4" s="27"/>
      <c r="Y4" s="3"/>
      <c r="Z4" s="3"/>
      <c r="AA4" s="3"/>
      <c r="AB4" s="3"/>
      <c r="AC4" s="3"/>
      <c r="AD4" s="3"/>
      <c r="AE4" s="3"/>
    </row>
    <row r="5" spans="1:37" s="15" customFormat="1">
      <c r="A5" s="7"/>
      <c r="B5" s="18"/>
      <c r="C5" s="18"/>
      <c r="D5" s="18"/>
      <c r="E5" s="18"/>
      <c r="G5" s="3"/>
      <c r="H5" s="3"/>
      <c r="I5" s="3"/>
      <c r="J5" s="3"/>
      <c r="K5" s="3"/>
      <c r="L5" s="3"/>
      <c r="M5" s="3"/>
      <c r="N5" s="3"/>
      <c r="O5" s="3"/>
      <c r="P5" s="1"/>
      <c r="Q5" s="3"/>
      <c r="R5" s="3"/>
      <c r="S5" s="3"/>
      <c r="T5" s="3"/>
      <c r="U5" s="3"/>
      <c r="V5" s="3"/>
      <c r="W5" s="3"/>
      <c r="X5" s="27"/>
      <c r="Y5" s="3"/>
      <c r="Z5" s="3"/>
      <c r="AA5" s="3"/>
      <c r="AB5" s="3"/>
      <c r="AC5" s="3"/>
      <c r="AD5" s="3"/>
      <c r="AE5" s="3"/>
    </row>
    <row r="6" spans="1:37" s="15" customFormat="1">
      <c r="A6" s="18"/>
      <c r="B6" s="18"/>
      <c r="C6" s="18"/>
      <c r="D6" s="18"/>
      <c r="E6" s="18"/>
      <c r="G6" s="3"/>
      <c r="H6" s="3"/>
      <c r="I6" s="3"/>
      <c r="J6" s="3"/>
      <c r="K6" s="3"/>
      <c r="L6" s="3"/>
      <c r="M6" s="3"/>
      <c r="N6" s="3"/>
      <c r="O6" s="3"/>
      <c r="P6" s="1"/>
      <c r="Q6" s="3"/>
      <c r="R6" s="3"/>
      <c r="S6" s="3"/>
      <c r="T6" s="3"/>
      <c r="U6" s="3"/>
      <c r="V6" s="3"/>
      <c r="W6" s="3"/>
      <c r="X6" s="27"/>
      <c r="Y6" s="3"/>
      <c r="Z6" s="3"/>
      <c r="AA6" s="3"/>
      <c r="AB6" s="3"/>
      <c r="AC6" s="3"/>
      <c r="AD6" s="3"/>
      <c r="AE6" s="3"/>
    </row>
    <row r="7" spans="1:37" s="20" customFormat="1">
      <c r="A7" s="29" t="s">
        <v>311</v>
      </c>
      <c r="F7" s="5"/>
      <c r="G7" s="119" t="s">
        <v>21</v>
      </c>
      <c r="H7" s="119"/>
      <c r="I7" s="119"/>
      <c r="J7" s="119"/>
      <c r="K7" s="119"/>
      <c r="L7" s="2" t="s">
        <v>22</v>
      </c>
      <c r="M7" s="2"/>
      <c r="N7" s="11"/>
      <c r="O7" s="119" t="s">
        <v>337</v>
      </c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49"/>
      <c r="AA7" s="11"/>
      <c r="AB7" s="11"/>
      <c r="AC7" s="11" t="s">
        <v>6</v>
      </c>
      <c r="AD7" s="11"/>
      <c r="AE7" s="11"/>
      <c r="AG7" s="15" t="s">
        <v>267</v>
      </c>
    </row>
    <row r="8" spans="1:37" s="20" customFormat="1">
      <c r="G8" s="11"/>
      <c r="H8" s="11"/>
      <c r="I8" s="11" t="s">
        <v>23</v>
      </c>
      <c r="J8" s="11"/>
      <c r="K8" s="11"/>
      <c r="L8" s="11"/>
      <c r="M8" s="11"/>
      <c r="N8" s="11"/>
      <c r="O8" s="11"/>
      <c r="P8" s="2"/>
      <c r="Q8" s="11"/>
      <c r="R8" s="11"/>
      <c r="S8" s="11"/>
      <c r="T8" s="11"/>
      <c r="U8" s="11"/>
      <c r="V8" s="11"/>
      <c r="W8" s="11" t="s">
        <v>17</v>
      </c>
      <c r="X8" s="11"/>
      <c r="Y8" s="11"/>
      <c r="Z8" s="49"/>
      <c r="AA8" s="2"/>
      <c r="AB8" s="2"/>
      <c r="AC8" s="11" t="s">
        <v>24</v>
      </c>
      <c r="AD8" s="11"/>
      <c r="AE8" s="11"/>
      <c r="AG8" s="20" t="s">
        <v>268</v>
      </c>
    </row>
    <row r="9" spans="1:37" s="20" customFormat="1">
      <c r="G9" s="11"/>
      <c r="H9" s="11"/>
      <c r="I9" s="11" t="s">
        <v>25</v>
      </c>
      <c r="J9" s="11"/>
      <c r="K9" s="11"/>
      <c r="L9" s="11"/>
      <c r="M9" s="11" t="s">
        <v>6</v>
      </c>
      <c r="N9" s="11"/>
      <c r="P9" s="21"/>
      <c r="Q9" s="20" t="s">
        <v>17</v>
      </c>
      <c r="U9" s="20" t="s">
        <v>27</v>
      </c>
      <c r="W9" s="9" t="s">
        <v>28</v>
      </c>
      <c r="Z9" s="49"/>
      <c r="AC9" s="2" t="s">
        <v>29</v>
      </c>
      <c r="AD9" s="2"/>
      <c r="AE9" s="2" t="s">
        <v>344</v>
      </c>
      <c r="AG9" s="11" t="s">
        <v>29</v>
      </c>
    </row>
    <row r="10" spans="1:37" s="20" customFormat="1">
      <c r="A10" s="9"/>
      <c r="B10" s="9"/>
      <c r="C10" s="9"/>
      <c r="D10" s="9"/>
      <c r="E10" s="9"/>
      <c r="F10" s="9"/>
      <c r="G10" s="11" t="s">
        <v>30</v>
      </c>
      <c r="H10" s="11"/>
      <c r="I10" s="11" t="s">
        <v>28</v>
      </c>
      <c r="J10" s="11"/>
      <c r="K10" s="11" t="s">
        <v>4</v>
      </c>
      <c r="L10" s="11"/>
      <c r="M10" s="11" t="s">
        <v>31</v>
      </c>
      <c r="N10" s="11"/>
      <c r="O10" s="2" t="s">
        <v>32</v>
      </c>
      <c r="P10" s="2"/>
      <c r="Q10" s="2" t="s">
        <v>33</v>
      </c>
      <c r="R10" s="2"/>
      <c r="S10" s="11" t="s">
        <v>34</v>
      </c>
      <c r="T10" s="11"/>
      <c r="U10" s="2" t="s">
        <v>37</v>
      </c>
      <c r="V10" s="2"/>
      <c r="W10" s="9" t="s">
        <v>38</v>
      </c>
      <c r="X10" s="2"/>
      <c r="Y10" s="11"/>
      <c r="Z10" s="49"/>
      <c r="AA10" s="2" t="s">
        <v>39</v>
      </c>
      <c r="AB10" s="2"/>
      <c r="AC10" s="2" t="s">
        <v>38</v>
      </c>
      <c r="AD10" s="11"/>
      <c r="AE10" s="11" t="s">
        <v>40</v>
      </c>
      <c r="AG10" s="11" t="s">
        <v>387</v>
      </c>
    </row>
    <row r="11" spans="1:37" s="20" customFormat="1">
      <c r="A11" s="48" t="s">
        <v>277</v>
      </c>
      <c r="C11" s="48" t="s">
        <v>10</v>
      </c>
      <c r="E11" s="48" t="s">
        <v>11</v>
      </c>
      <c r="F11" s="9"/>
      <c r="G11" s="77" t="s">
        <v>41</v>
      </c>
      <c r="H11" s="2"/>
      <c r="I11" s="77" t="s">
        <v>42</v>
      </c>
      <c r="J11" s="2"/>
      <c r="K11" s="77" t="s">
        <v>43</v>
      </c>
      <c r="L11" s="2"/>
      <c r="M11" s="77" t="s">
        <v>29</v>
      </c>
      <c r="N11" s="2"/>
      <c r="O11" s="77" t="s">
        <v>44</v>
      </c>
      <c r="P11" s="2"/>
      <c r="Q11" s="77" t="s">
        <v>45</v>
      </c>
      <c r="R11" s="2"/>
      <c r="S11" s="77" t="s">
        <v>46</v>
      </c>
      <c r="T11" s="2"/>
      <c r="U11" s="77" t="s">
        <v>44</v>
      </c>
      <c r="V11" s="2"/>
      <c r="W11" s="14" t="s">
        <v>49</v>
      </c>
      <c r="X11" s="2"/>
      <c r="Y11" s="77" t="s">
        <v>126</v>
      </c>
      <c r="Z11" s="86"/>
      <c r="AA11" s="48" t="s">
        <v>238</v>
      </c>
      <c r="AB11" s="21"/>
      <c r="AC11" s="77" t="s">
        <v>65</v>
      </c>
      <c r="AD11" s="2"/>
      <c r="AE11" s="77" t="s">
        <v>50</v>
      </c>
      <c r="AF11" s="21"/>
      <c r="AG11" s="77" t="s">
        <v>65</v>
      </c>
    </row>
    <row r="12" spans="1:37" s="20" customFormat="1">
      <c r="A12" s="21"/>
      <c r="C12" s="21"/>
      <c r="E12" s="21"/>
      <c r="F12" s="9"/>
      <c r="G12" s="2"/>
      <c r="H12" s="11"/>
      <c r="I12" s="2"/>
      <c r="J12" s="11"/>
      <c r="K12" s="2"/>
      <c r="L12" s="2"/>
      <c r="M12" s="2"/>
      <c r="N12" s="11"/>
      <c r="O12" s="2"/>
      <c r="P12" s="2"/>
      <c r="Q12" s="2"/>
      <c r="R12" s="2"/>
      <c r="S12" s="2"/>
      <c r="T12" s="2"/>
      <c r="U12" s="2"/>
      <c r="V12" s="2"/>
      <c r="W12" s="9"/>
      <c r="X12" s="11"/>
      <c r="Y12" s="2"/>
      <c r="Z12" s="49"/>
      <c r="AA12" s="21"/>
      <c r="AB12" s="21"/>
      <c r="AC12" s="2"/>
      <c r="AD12" s="11"/>
      <c r="AE12" s="2"/>
      <c r="AF12" s="21"/>
      <c r="AG12" s="2"/>
    </row>
    <row r="13" spans="1:37" s="20" customFormat="1">
      <c r="A13" s="32" t="s">
        <v>252</v>
      </c>
      <c r="C13" s="21"/>
      <c r="E13" s="21"/>
      <c r="F13" s="9"/>
      <c r="G13" s="2"/>
      <c r="H13" s="11"/>
      <c r="I13" s="2"/>
      <c r="J13" s="11"/>
      <c r="K13" s="2"/>
      <c r="L13" s="2"/>
      <c r="M13" s="2"/>
      <c r="N13" s="11"/>
      <c r="O13" s="2"/>
      <c r="P13" s="2"/>
      <c r="Q13" s="2"/>
      <c r="R13" s="2"/>
      <c r="S13" s="2"/>
      <c r="T13" s="2"/>
      <c r="U13" s="2"/>
      <c r="V13" s="2"/>
      <c r="W13" s="9"/>
      <c r="X13" s="11"/>
      <c r="Y13" s="2"/>
      <c r="Z13" s="49"/>
      <c r="AA13" s="21"/>
      <c r="AB13" s="21"/>
      <c r="AC13" s="2"/>
      <c r="AD13" s="11"/>
      <c r="AE13" s="11"/>
      <c r="AG13" s="2"/>
    </row>
    <row r="14" spans="1:37" s="20" customFormat="1">
      <c r="A14" s="32"/>
      <c r="C14" s="21"/>
      <c r="E14" s="21"/>
      <c r="F14" s="9"/>
      <c r="G14" s="2"/>
      <c r="H14" s="11"/>
      <c r="I14" s="2"/>
      <c r="J14" s="11"/>
      <c r="K14" s="2"/>
      <c r="L14" s="2"/>
      <c r="M14" s="2"/>
      <c r="N14" s="11"/>
      <c r="O14" s="2"/>
      <c r="P14" s="2"/>
      <c r="Q14" s="2"/>
      <c r="R14" s="2"/>
      <c r="S14" s="2"/>
      <c r="T14" s="2"/>
      <c r="U14" s="2"/>
      <c r="V14" s="2"/>
      <c r="W14" s="9"/>
      <c r="X14" s="11"/>
      <c r="Y14" s="2"/>
      <c r="Z14" s="49"/>
      <c r="AA14" s="21"/>
      <c r="AB14" s="21"/>
      <c r="AC14" s="2"/>
      <c r="AD14" s="11"/>
      <c r="AE14" s="11"/>
      <c r="AG14" s="2"/>
    </row>
    <row r="15" spans="1:37" s="20" customFormat="1">
      <c r="A15" s="3" t="s">
        <v>283</v>
      </c>
      <c r="B15" s="3"/>
      <c r="C15" s="3" t="s">
        <v>260</v>
      </c>
      <c r="E15" s="103">
        <v>50773</v>
      </c>
      <c r="F15" s="9"/>
      <c r="G15" s="19">
        <v>1252566</v>
      </c>
      <c r="H15" s="19"/>
      <c r="I15" s="19">
        <v>2687560</v>
      </c>
      <c r="J15" s="19"/>
      <c r="K15" s="19">
        <v>0</v>
      </c>
      <c r="L15" s="19"/>
      <c r="M15" s="19">
        <f>SUM(G15:L15)</f>
        <v>3940126</v>
      </c>
      <c r="N15" s="19"/>
      <c r="O15" s="19">
        <f>3087166+642838</f>
        <v>3730004</v>
      </c>
      <c r="P15" s="108"/>
      <c r="Q15" s="19">
        <v>4151021</v>
      </c>
      <c r="R15" s="19"/>
      <c r="S15" s="19">
        <v>59684</v>
      </c>
      <c r="T15" s="19"/>
      <c r="U15" s="19">
        <v>0</v>
      </c>
      <c r="V15" s="19"/>
      <c r="W15" s="19">
        <v>0</v>
      </c>
      <c r="X15" s="19"/>
      <c r="Y15" s="19">
        <v>106421</v>
      </c>
      <c r="Z15" s="109"/>
      <c r="AA15" s="19">
        <v>0</v>
      </c>
      <c r="AB15" s="19"/>
      <c r="AC15" s="19">
        <f t="shared" ref="AC15:AC23" si="0">SUM(O15:AA15)</f>
        <v>8047130</v>
      </c>
      <c r="AD15" s="19"/>
      <c r="AE15" s="19">
        <v>0</v>
      </c>
      <c r="AF15" s="19"/>
      <c r="AG15" s="19">
        <f t="shared" ref="AG15:AG46" si="1">+AC15+M15</f>
        <v>11987256</v>
      </c>
      <c r="AH15" s="102"/>
      <c r="AI15" s="102"/>
      <c r="AJ15" s="102"/>
      <c r="AK15" s="102"/>
    </row>
    <row r="16" spans="1:37" s="102" customFormat="1">
      <c r="A16" s="3" t="s">
        <v>239</v>
      </c>
      <c r="B16" s="103"/>
      <c r="C16" s="103" t="s">
        <v>143</v>
      </c>
      <c r="E16" s="103">
        <v>62042</v>
      </c>
      <c r="G16" s="3">
        <v>981009</v>
      </c>
      <c r="H16" s="3"/>
      <c r="I16" s="3">
        <v>1217150</v>
      </c>
      <c r="J16" s="3"/>
      <c r="K16" s="3">
        <v>0</v>
      </c>
      <c r="L16" s="3"/>
      <c r="M16" s="3">
        <f>SUM(G16:L16)</f>
        <v>2198159</v>
      </c>
      <c r="N16" s="3"/>
      <c r="O16" s="3">
        <f>2499022+391808</f>
        <v>2890830</v>
      </c>
      <c r="P16" s="1"/>
      <c r="Q16" s="3">
        <v>2656954</v>
      </c>
      <c r="R16" s="3"/>
      <c r="S16" s="3">
        <v>18048</v>
      </c>
      <c r="T16" s="3"/>
      <c r="U16" s="3">
        <v>0</v>
      </c>
      <c r="V16" s="3"/>
      <c r="W16" s="3">
        <v>0</v>
      </c>
      <c r="X16" s="3"/>
      <c r="Y16" s="3">
        <v>39622</v>
      </c>
      <c r="Z16" s="30"/>
      <c r="AA16" s="3">
        <v>0</v>
      </c>
      <c r="AB16" s="3"/>
      <c r="AC16" s="3">
        <f t="shared" si="0"/>
        <v>5605454</v>
      </c>
      <c r="AD16" s="3"/>
      <c r="AE16" s="3">
        <v>0</v>
      </c>
      <c r="AF16" s="3"/>
      <c r="AG16" s="3">
        <f t="shared" si="1"/>
        <v>7803613</v>
      </c>
    </row>
    <row r="17" spans="1:33" s="102" customFormat="1">
      <c r="A17" s="3" t="s">
        <v>348</v>
      </c>
      <c r="B17" s="103"/>
      <c r="C17" s="103" t="s">
        <v>144</v>
      </c>
      <c r="E17" s="103">
        <v>50815</v>
      </c>
      <c r="G17" s="3">
        <v>1149232</v>
      </c>
      <c r="H17" s="3"/>
      <c r="I17" s="3">
        <v>2979230</v>
      </c>
      <c r="J17" s="3"/>
      <c r="K17" s="3">
        <v>106892</v>
      </c>
      <c r="L17" s="3"/>
      <c r="M17" s="3">
        <f>SUM(G17:L17)</f>
        <v>4235354</v>
      </c>
      <c r="N17" s="3"/>
      <c r="O17" s="3">
        <f>3373300+445816</f>
        <v>3819116</v>
      </c>
      <c r="P17" s="1"/>
      <c r="Q17" s="3">
        <v>5916168</v>
      </c>
      <c r="R17" s="3"/>
      <c r="S17" s="3">
        <v>35</v>
      </c>
      <c r="T17" s="3"/>
      <c r="U17" s="3">
        <v>0</v>
      </c>
      <c r="V17" s="3"/>
      <c r="W17" s="3">
        <v>0</v>
      </c>
      <c r="X17" s="3"/>
      <c r="Y17" s="3">
        <v>56393</v>
      </c>
      <c r="Z17" s="30"/>
      <c r="AA17" s="3">
        <v>0</v>
      </c>
      <c r="AB17" s="3"/>
      <c r="AC17" s="3">
        <f t="shared" si="0"/>
        <v>9791712</v>
      </c>
      <c r="AD17" s="3"/>
      <c r="AE17" s="3">
        <v>0</v>
      </c>
      <c r="AF17" s="3"/>
      <c r="AG17" s="3">
        <f t="shared" si="1"/>
        <v>14027066</v>
      </c>
    </row>
    <row r="18" spans="1:33" s="102" customFormat="1">
      <c r="A18" s="3" t="s">
        <v>289</v>
      </c>
      <c r="B18" s="103"/>
      <c r="C18" s="103" t="s">
        <v>146</v>
      </c>
      <c r="E18" s="103">
        <v>51169</v>
      </c>
      <c r="G18" s="3">
        <v>1529541</v>
      </c>
      <c r="H18" s="3"/>
      <c r="I18" s="3">
        <v>778235</v>
      </c>
      <c r="J18" s="3"/>
      <c r="K18" s="3">
        <v>0</v>
      </c>
      <c r="L18" s="3"/>
      <c r="M18" s="3">
        <f t="shared" ref="M18:M88" si="2">SUM(G18:L18)</f>
        <v>2307776</v>
      </c>
      <c r="N18" s="3"/>
      <c r="O18" s="3">
        <f>5164209+448531</f>
        <v>5612740</v>
      </c>
      <c r="P18" s="1"/>
      <c r="Q18" s="3">
        <v>2635132</v>
      </c>
      <c r="R18" s="3"/>
      <c r="S18" s="3">
        <v>11915</v>
      </c>
      <c r="T18" s="3"/>
      <c r="U18" s="3">
        <v>0</v>
      </c>
      <c r="V18" s="3"/>
      <c r="W18" s="3">
        <v>0</v>
      </c>
      <c r="X18" s="3"/>
      <c r="Y18" s="3">
        <v>44607</v>
      </c>
      <c r="Z18" s="30"/>
      <c r="AA18" s="3">
        <v>0</v>
      </c>
      <c r="AB18" s="3"/>
      <c r="AC18" s="3">
        <f t="shared" si="0"/>
        <v>8304394</v>
      </c>
      <c r="AD18" s="3"/>
      <c r="AE18" s="3">
        <v>0</v>
      </c>
      <c r="AF18" s="3"/>
      <c r="AG18" s="3">
        <f t="shared" si="1"/>
        <v>10612170</v>
      </c>
    </row>
    <row r="19" spans="1:33" s="102" customFormat="1">
      <c r="A19" s="3" t="s">
        <v>290</v>
      </c>
      <c r="B19" s="103"/>
      <c r="C19" s="103" t="s">
        <v>149</v>
      </c>
      <c r="E19" s="103">
        <v>50856</v>
      </c>
      <c r="G19" s="3">
        <v>223220</v>
      </c>
      <c r="H19" s="3"/>
      <c r="I19" s="3">
        <v>936163</v>
      </c>
      <c r="J19" s="3"/>
      <c r="K19" s="3">
        <v>0</v>
      </c>
      <c r="L19" s="3"/>
      <c r="M19" s="3">
        <f t="shared" si="2"/>
        <v>1159383</v>
      </c>
      <c r="N19" s="3"/>
      <c r="O19" s="3">
        <v>1648106</v>
      </c>
      <c r="P19" s="1"/>
      <c r="Q19" s="3">
        <v>3973936</v>
      </c>
      <c r="R19" s="3"/>
      <c r="S19" s="3">
        <v>7189</v>
      </c>
      <c r="T19" s="3"/>
      <c r="U19" s="3">
        <v>0</v>
      </c>
      <c r="V19" s="3"/>
      <c r="W19" s="3">
        <v>0</v>
      </c>
      <c r="X19" s="3"/>
      <c r="Y19" s="3">
        <f>6755+22204</f>
        <v>28959</v>
      </c>
      <c r="Z19" s="30"/>
      <c r="AA19" s="3">
        <v>0</v>
      </c>
      <c r="AB19" s="3"/>
      <c r="AC19" s="3">
        <f t="shared" si="0"/>
        <v>5658190</v>
      </c>
      <c r="AD19" s="3"/>
      <c r="AE19" s="3">
        <v>0</v>
      </c>
      <c r="AF19" s="3"/>
      <c r="AG19" s="3">
        <f t="shared" si="1"/>
        <v>6817573</v>
      </c>
    </row>
    <row r="20" spans="1:33" s="102" customFormat="1">
      <c r="A20" s="3" t="s">
        <v>220</v>
      </c>
      <c r="B20" s="103"/>
      <c r="C20" s="103" t="s">
        <v>198</v>
      </c>
      <c r="E20" s="103">
        <v>51656</v>
      </c>
      <c r="G20" s="3">
        <v>1727270</v>
      </c>
      <c r="H20" s="3"/>
      <c r="I20" s="3">
        <v>1845668</v>
      </c>
      <c r="J20" s="3"/>
      <c r="K20" s="3">
        <v>0</v>
      </c>
      <c r="L20" s="3"/>
      <c r="M20" s="3">
        <f t="shared" si="2"/>
        <v>3572938</v>
      </c>
      <c r="N20" s="3"/>
      <c r="O20" s="3">
        <f>4314730+456775</f>
        <v>4771505</v>
      </c>
      <c r="P20" s="1"/>
      <c r="Q20" s="3">
        <v>6654098</v>
      </c>
      <c r="R20" s="3"/>
      <c r="S20" s="3">
        <v>38306</v>
      </c>
      <c r="T20" s="3"/>
      <c r="U20" s="3">
        <v>0</v>
      </c>
      <c r="V20" s="3"/>
      <c r="W20" s="3">
        <v>0</v>
      </c>
      <c r="X20" s="3"/>
      <c r="Y20" s="3">
        <v>59404</v>
      </c>
      <c r="Z20" s="30"/>
      <c r="AA20" s="3">
        <v>0</v>
      </c>
      <c r="AB20" s="3"/>
      <c r="AC20" s="3">
        <f t="shared" si="0"/>
        <v>11523313</v>
      </c>
      <c r="AD20" s="3"/>
      <c r="AE20" s="3">
        <v>0</v>
      </c>
      <c r="AF20" s="3"/>
      <c r="AG20" s="3">
        <f t="shared" si="1"/>
        <v>15096251</v>
      </c>
    </row>
    <row r="21" spans="1:33" s="102" customFormat="1">
      <c r="A21" s="3" t="s">
        <v>357</v>
      </c>
      <c r="B21" s="103"/>
      <c r="C21" s="103" t="s">
        <v>147</v>
      </c>
      <c r="E21" s="103">
        <v>50880</v>
      </c>
      <c r="G21" s="3">
        <v>633780</v>
      </c>
      <c r="H21" s="3"/>
      <c r="I21" s="3">
        <v>1347415</v>
      </c>
      <c r="J21" s="3"/>
      <c r="K21" s="3">
        <v>0</v>
      </c>
      <c r="L21" s="3"/>
      <c r="M21" s="3">
        <f t="shared" si="2"/>
        <v>1981195</v>
      </c>
      <c r="N21" s="3"/>
      <c r="O21" s="3">
        <v>15315423</v>
      </c>
      <c r="P21" s="1"/>
      <c r="Q21" s="3">
        <v>24783641</v>
      </c>
      <c r="R21" s="3"/>
      <c r="S21" s="3">
        <v>0</v>
      </c>
      <c r="T21" s="3"/>
      <c r="U21" s="3">
        <v>0</v>
      </c>
      <c r="V21" s="3"/>
      <c r="W21" s="3">
        <v>0</v>
      </c>
      <c r="X21" s="3"/>
      <c r="Y21" s="3">
        <v>326637</v>
      </c>
      <c r="Z21" s="30"/>
      <c r="AA21" s="3">
        <v>990000</v>
      </c>
      <c r="AB21" s="3"/>
      <c r="AC21" s="3">
        <f t="shared" si="0"/>
        <v>41415701</v>
      </c>
      <c r="AD21" s="3"/>
      <c r="AE21" s="3">
        <v>0</v>
      </c>
      <c r="AF21" s="3"/>
      <c r="AG21" s="3">
        <f>+AC21+M21+AE21</f>
        <v>43396896</v>
      </c>
    </row>
    <row r="22" spans="1:33" s="102" customFormat="1">
      <c r="A22" s="3" t="s">
        <v>273</v>
      </c>
      <c r="B22" s="103"/>
      <c r="C22" s="103" t="s">
        <v>173</v>
      </c>
      <c r="E22" s="103">
        <v>51201</v>
      </c>
      <c r="G22" s="3">
        <v>1982518</v>
      </c>
      <c r="H22" s="3"/>
      <c r="I22" s="3">
        <v>2999904</v>
      </c>
      <c r="J22" s="3"/>
      <c r="K22" s="3">
        <v>0</v>
      </c>
      <c r="L22" s="3"/>
      <c r="M22" s="3">
        <f>SUM(G22:L22)</f>
        <v>4982422</v>
      </c>
      <c r="N22" s="3"/>
      <c r="O22" s="3">
        <f>6603662+1641576</f>
        <v>8245238</v>
      </c>
      <c r="P22" s="1"/>
      <c r="Q22" s="3">
        <v>3837904</v>
      </c>
      <c r="R22" s="3"/>
      <c r="S22" s="3">
        <v>13877</v>
      </c>
      <c r="T22" s="3"/>
      <c r="U22" s="3">
        <v>0</v>
      </c>
      <c r="V22" s="3"/>
      <c r="W22" s="3">
        <v>0</v>
      </c>
      <c r="X22" s="3"/>
      <c r="Y22" s="3">
        <v>94623</v>
      </c>
      <c r="Z22" s="30"/>
      <c r="AA22" s="3">
        <v>0</v>
      </c>
      <c r="AB22" s="3"/>
      <c r="AC22" s="3">
        <f>SUM(O22:AA22)</f>
        <v>12191642</v>
      </c>
      <c r="AD22" s="3"/>
      <c r="AE22" s="3">
        <v>0</v>
      </c>
      <c r="AF22" s="3"/>
      <c r="AG22" s="3">
        <f>+AC22+M22</f>
        <v>17174064</v>
      </c>
    </row>
    <row r="23" spans="1:33" s="92" customFormat="1" hidden="1">
      <c r="A23" s="88" t="s">
        <v>271</v>
      </c>
      <c r="B23" s="89"/>
      <c r="C23" s="89" t="s">
        <v>214</v>
      </c>
      <c r="E23" s="89">
        <v>63511</v>
      </c>
      <c r="G23" s="88">
        <v>0</v>
      </c>
      <c r="H23" s="88"/>
      <c r="I23" s="88">
        <v>0</v>
      </c>
      <c r="J23" s="88"/>
      <c r="K23" s="88">
        <v>0</v>
      </c>
      <c r="L23" s="88"/>
      <c r="M23" s="88">
        <f t="shared" si="2"/>
        <v>0</v>
      </c>
      <c r="N23" s="88"/>
      <c r="O23" s="88">
        <v>0</v>
      </c>
      <c r="P23" s="93"/>
      <c r="Q23" s="88">
        <v>0</v>
      </c>
      <c r="R23" s="88"/>
      <c r="S23" s="88">
        <v>0</v>
      </c>
      <c r="T23" s="88"/>
      <c r="U23" s="88">
        <v>0</v>
      </c>
      <c r="V23" s="88"/>
      <c r="W23" s="88">
        <v>0</v>
      </c>
      <c r="X23" s="88"/>
      <c r="Y23" s="88">
        <v>0</v>
      </c>
      <c r="Z23" s="94"/>
      <c r="AA23" s="88">
        <v>0</v>
      </c>
      <c r="AB23" s="88"/>
      <c r="AC23" s="88">
        <f t="shared" si="0"/>
        <v>0</v>
      </c>
      <c r="AD23" s="88"/>
      <c r="AE23" s="88">
        <v>0</v>
      </c>
      <c r="AF23" s="88"/>
      <c r="AG23" s="88">
        <f t="shared" si="1"/>
        <v>0</v>
      </c>
    </row>
    <row r="24" spans="1:33" s="102" customFormat="1">
      <c r="A24" s="3" t="s">
        <v>356</v>
      </c>
      <c r="B24" s="103"/>
      <c r="C24" s="103" t="s">
        <v>156</v>
      </c>
      <c r="E24" s="103">
        <v>50906</v>
      </c>
      <c r="G24" s="3">
        <v>1284057</v>
      </c>
      <c r="H24" s="3"/>
      <c r="I24" s="3">
        <v>1125332</v>
      </c>
      <c r="J24" s="3"/>
      <c r="K24" s="3">
        <v>0</v>
      </c>
      <c r="L24" s="3"/>
      <c r="M24" s="3">
        <f t="shared" si="2"/>
        <v>2409389</v>
      </c>
      <c r="N24" s="3"/>
      <c r="O24" s="3">
        <v>1921467</v>
      </c>
      <c r="P24" s="1"/>
      <c r="Q24" s="3">
        <v>3807812</v>
      </c>
      <c r="R24" s="3"/>
      <c r="S24" s="3">
        <v>24236</v>
      </c>
      <c r="T24" s="3"/>
      <c r="U24" s="3">
        <v>0</v>
      </c>
      <c r="V24" s="3"/>
      <c r="W24" s="3">
        <v>0</v>
      </c>
      <c r="X24" s="3"/>
      <c r="Y24" s="3">
        <v>39867</v>
      </c>
      <c r="Z24" s="30"/>
      <c r="AA24" s="3">
        <v>0</v>
      </c>
      <c r="AB24" s="3"/>
      <c r="AC24" s="3">
        <f t="shared" ref="AC24:AC65" si="3">SUM(O24:AA24)</f>
        <v>5793382</v>
      </c>
      <c r="AD24" s="3"/>
      <c r="AE24" s="3">
        <v>0</v>
      </c>
      <c r="AF24" s="3"/>
      <c r="AG24" s="3">
        <f t="shared" si="1"/>
        <v>8202771</v>
      </c>
    </row>
    <row r="25" spans="1:33" s="102" customFormat="1">
      <c r="A25" s="3" t="s">
        <v>243</v>
      </c>
      <c r="B25" s="103"/>
      <c r="C25" s="103" t="s">
        <v>207</v>
      </c>
      <c r="E25" s="103">
        <v>65227</v>
      </c>
      <c r="G25" s="3">
        <v>96080</v>
      </c>
      <c r="H25" s="3"/>
      <c r="I25" s="3">
        <v>360238</v>
      </c>
      <c r="J25" s="3"/>
      <c r="K25" s="3">
        <v>0</v>
      </c>
      <c r="L25" s="3"/>
      <c r="M25" s="3">
        <f t="shared" si="2"/>
        <v>456318</v>
      </c>
      <c r="N25" s="3"/>
      <c r="O25" s="3">
        <f>1293881+27973</f>
        <v>1321854</v>
      </c>
      <c r="P25" s="1"/>
      <c r="Q25" s="3">
        <v>1985902</v>
      </c>
      <c r="R25" s="3"/>
      <c r="S25" s="3">
        <v>3986</v>
      </c>
      <c r="T25" s="3"/>
      <c r="U25" s="3">
        <v>0</v>
      </c>
      <c r="V25" s="3"/>
      <c r="W25" s="3">
        <v>0</v>
      </c>
      <c r="X25" s="3"/>
      <c r="Y25" s="3">
        <v>38904</v>
      </c>
      <c r="Z25" s="30"/>
      <c r="AA25" s="3">
        <v>0</v>
      </c>
      <c r="AB25" s="3"/>
      <c r="AC25" s="3">
        <f t="shared" si="3"/>
        <v>3350646</v>
      </c>
      <c r="AD25" s="3"/>
      <c r="AE25" s="3">
        <v>0</v>
      </c>
      <c r="AF25" s="3"/>
      <c r="AG25" s="3">
        <f t="shared" si="1"/>
        <v>3806964</v>
      </c>
    </row>
    <row r="26" spans="1:33" s="102" customFormat="1">
      <c r="A26" s="3" t="s">
        <v>241</v>
      </c>
      <c r="B26" s="103"/>
      <c r="C26" s="103" t="s">
        <v>157</v>
      </c>
      <c r="E26" s="103">
        <v>50922</v>
      </c>
      <c r="G26" s="3">
        <v>1597044</v>
      </c>
      <c r="H26" s="3"/>
      <c r="I26" s="3">
        <v>713283</v>
      </c>
      <c r="J26" s="3"/>
      <c r="K26" s="3">
        <v>0</v>
      </c>
      <c r="L26" s="3"/>
      <c r="M26" s="3">
        <f t="shared" si="2"/>
        <v>2310327</v>
      </c>
      <c r="N26" s="3"/>
      <c r="O26" s="3">
        <v>10181047</v>
      </c>
      <c r="P26" s="1"/>
      <c r="Q26" s="3">
        <v>3432150</v>
      </c>
      <c r="R26" s="3"/>
      <c r="S26" s="3">
        <f>38601-36172</f>
        <v>2429</v>
      </c>
      <c r="T26" s="3"/>
      <c r="U26" s="3">
        <v>0</v>
      </c>
      <c r="V26" s="3"/>
      <c r="W26" s="3">
        <v>0</v>
      </c>
      <c r="X26" s="3"/>
      <c r="Y26" s="3">
        <v>127056</v>
      </c>
      <c r="Z26" s="30"/>
      <c r="AA26" s="3">
        <v>0</v>
      </c>
      <c r="AB26" s="3"/>
      <c r="AC26" s="3">
        <f t="shared" si="3"/>
        <v>13742682</v>
      </c>
      <c r="AD26" s="3"/>
      <c r="AE26" s="3">
        <v>0</v>
      </c>
      <c r="AF26" s="3"/>
      <c r="AG26" s="3">
        <f t="shared" si="1"/>
        <v>16053009</v>
      </c>
    </row>
    <row r="27" spans="1:33" s="102" customFormat="1">
      <c r="A27" s="3" t="s">
        <v>240</v>
      </c>
      <c r="B27" s="103"/>
      <c r="C27" s="103" t="s">
        <v>159</v>
      </c>
      <c r="E27" s="103">
        <v>50989</v>
      </c>
      <c r="G27" s="3">
        <v>2200847</v>
      </c>
      <c r="H27" s="3"/>
      <c r="I27" s="3">
        <v>832670</v>
      </c>
      <c r="J27" s="3"/>
      <c r="K27" s="3">
        <v>0</v>
      </c>
      <c r="L27" s="3"/>
      <c r="M27" s="3">
        <f t="shared" si="2"/>
        <v>3033517</v>
      </c>
      <c r="N27" s="3"/>
      <c r="O27" s="3">
        <f>9863174+1386422</f>
        <v>11249596</v>
      </c>
      <c r="P27" s="1"/>
      <c r="Q27" s="3">
        <v>3830873</v>
      </c>
      <c r="R27" s="3"/>
      <c r="S27" s="3">
        <v>0</v>
      </c>
      <c r="T27" s="3"/>
      <c r="U27" s="3">
        <v>9029</v>
      </c>
      <c r="V27" s="3"/>
      <c r="W27" s="3">
        <v>0</v>
      </c>
      <c r="X27" s="3"/>
      <c r="Y27" s="3">
        <v>63068</v>
      </c>
      <c r="Z27" s="30"/>
      <c r="AA27" s="3">
        <v>0</v>
      </c>
      <c r="AB27" s="3"/>
      <c r="AC27" s="3">
        <f t="shared" si="3"/>
        <v>15152566</v>
      </c>
      <c r="AD27" s="3"/>
      <c r="AE27" s="3">
        <v>0</v>
      </c>
      <c r="AF27" s="3"/>
      <c r="AG27" s="3">
        <f>+AC27+M27+AE27</f>
        <v>18186083</v>
      </c>
    </row>
    <row r="28" spans="1:33" s="102" customFormat="1">
      <c r="A28" s="3" t="s">
        <v>358</v>
      </c>
      <c r="B28" s="103"/>
      <c r="C28" s="103" t="s">
        <v>162</v>
      </c>
      <c r="E28" s="103">
        <v>51003</v>
      </c>
      <c r="G28" s="3">
        <v>817339</v>
      </c>
      <c r="H28" s="3"/>
      <c r="I28" s="3">
        <v>1506654</v>
      </c>
      <c r="J28" s="3"/>
      <c r="K28" s="3">
        <v>0</v>
      </c>
      <c r="L28" s="3"/>
      <c r="M28" s="3">
        <f t="shared" si="2"/>
        <v>2323993</v>
      </c>
      <c r="N28" s="3"/>
      <c r="O28" s="3">
        <v>12342915</v>
      </c>
      <c r="P28" s="1"/>
      <c r="Q28" s="3">
        <v>5943589</v>
      </c>
      <c r="R28" s="3"/>
      <c r="S28" s="3">
        <v>61071</v>
      </c>
      <c r="T28" s="3"/>
      <c r="U28" s="3">
        <v>0</v>
      </c>
      <c r="V28" s="3"/>
      <c r="W28" s="3">
        <v>19162</v>
      </c>
      <c r="X28" s="3"/>
      <c r="Y28" s="3">
        <v>104341</v>
      </c>
      <c r="Z28" s="30"/>
      <c r="AA28" s="3">
        <v>0</v>
      </c>
      <c r="AB28" s="3"/>
      <c r="AC28" s="3">
        <f t="shared" si="3"/>
        <v>18471078</v>
      </c>
      <c r="AD28" s="3"/>
      <c r="AE28" s="3">
        <v>0</v>
      </c>
      <c r="AF28" s="3"/>
      <c r="AG28" s="3">
        <f t="shared" si="1"/>
        <v>20795071</v>
      </c>
    </row>
    <row r="29" spans="1:33" s="102" customFormat="1">
      <c r="A29" s="3" t="s">
        <v>242</v>
      </c>
      <c r="B29" s="103"/>
      <c r="C29" s="103" t="s">
        <v>160</v>
      </c>
      <c r="E29" s="103">
        <v>51029</v>
      </c>
      <c r="G29" s="3">
        <v>2690887</v>
      </c>
      <c r="H29" s="3"/>
      <c r="I29" s="3">
        <v>3004808</v>
      </c>
      <c r="J29" s="3"/>
      <c r="K29" s="3">
        <v>0</v>
      </c>
      <c r="L29" s="3"/>
      <c r="M29" s="3">
        <f t="shared" si="2"/>
        <v>5695695</v>
      </c>
      <c r="N29" s="3"/>
      <c r="O29" s="3">
        <v>7863901</v>
      </c>
      <c r="P29" s="1"/>
      <c r="Q29" s="3">
        <v>5475109</v>
      </c>
      <c r="R29" s="3"/>
      <c r="S29" s="3">
        <v>25976</v>
      </c>
      <c r="T29" s="3"/>
      <c r="U29" s="3">
        <v>0</v>
      </c>
      <c r="V29" s="3"/>
      <c r="W29" s="3">
        <v>0</v>
      </c>
      <c r="X29" s="3"/>
      <c r="Y29" s="3">
        <v>140821</v>
      </c>
      <c r="Z29" s="30"/>
      <c r="AA29" s="3">
        <v>0</v>
      </c>
      <c r="AB29" s="3"/>
      <c r="AC29" s="3">
        <f t="shared" si="3"/>
        <v>13505807</v>
      </c>
      <c r="AD29" s="3"/>
      <c r="AE29" s="3">
        <v>0</v>
      </c>
      <c r="AF29" s="3"/>
      <c r="AG29" s="3">
        <f t="shared" si="1"/>
        <v>19201502</v>
      </c>
    </row>
    <row r="30" spans="1:33" s="102" customFormat="1">
      <c r="A30" s="3" t="s">
        <v>244</v>
      </c>
      <c r="B30" s="103"/>
      <c r="C30" s="103" t="s">
        <v>209</v>
      </c>
      <c r="E30" s="103">
        <v>50963</v>
      </c>
      <c r="G30" s="3">
        <v>1630387</v>
      </c>
      <c r="H30" s="3"/>
      <c r="I30" s="3">
        <v>2978304</v>
      </c>
      <c r="J30" s="3"/>
      <c r="K30" s="3">
        <v>0</v>
      </c>
      <c r="L30" s="3"/>
      <c r="M30" s="3">
        <f t="shared" si="2"/>
        <v>4608691</v>
      </c>
      <c r="N30" s="3"/>
      <c r="O30" s="3">
        <f>5328742+385407+50000</f>
        <v>5764149</v>
      </c>
      <c r="P30" s="1"/>
      <c r="Q30" s="3">
        <v>6530103</v>
      </c>
      <c r="R30" s="3"/>
      <c r="S30" s="3">
        <v>33990</v>
      </c>
      <c r="T30" s="3"/>
      <c r="U30" s="3">
        <v>0</v>
      </c>
      <c r="V30" s="3"/>
      <c r="W30" s="3">
        <v>23229</v>
      </c>
      <c r="X30" s="3"/>
      <c r="Y30" s="3">
        <f>42834+1880+90456</f>
        <v>135170</v>
      </c>
      <c r="Z30" s="30"/>
      <c r="AA30" s="3">
        <v>0</v>
      </c>
      <c r="AB30" s="3"/>
      <c r="AC30" s="3">
        <f t="shared" si="3"/>
        <v>12486641</v>
      </c>
      <c r="AD30" s="3"/>
      <c r="AE30" s="3">
        <v>0</v>
      </c>
      <c r="AF30" s="3"/>
      <c r="AG30" s="3">
        <f>+AC30+M30+AE30</f>
        <v>17095332</v>
      </c>
    </row>
    <row r="31" spans="1:33" s="102" customFormat="1">
      <c r="A31" s="3" t="s">
        <v>208</v>
      </c>
      <c r="B31" s="103"/>
      <c r="C31" s="103" t="s">
        <v>165</v>
      </c>
      <c r="E31" s="103">
        <v>62067</v>
      </c>
      <c r="G31" s="3">
        <v>228905</v>
      </c>
      <c r="H31" s="3"/>
      <c r="I31" s="3">
        <v>4001742</v>
      </c>
      <c r="J31" s="3"/>
      <c r="K31" s="3">
        <v>0</v>
      </c>
      <c r="L31" s="3"/>
      <c r="M31" s="3">
        <f t="shared" si="2"/>
        <v>4230647</v>
      </c>
      <c r="N31" s="3"/>
      <c r="O31" s="3">
        <v>2636157</v>
      </c>
      <c r="P31" s="1"/>
      <c r="Q31" s="3">
        <v>3058062</v>
      </c>
      <c r="R31" s="3"/>
      <c r="S31" s="3">
        <v>177637</v>
      </c>
      <c r="T31" s="3"/>
      <c r="U31" s="3">
        <v>0</v>
      </c>
      <c r="V31" s="3"/>
      <c r="W31" s="3">
        <v>0</v>
      </c>
      <c r="X31" s="3"/>
      <c r="Y31" s="3">
        <v>79887</v>
      </c>
      <c r="Z31" s="30"/>
      <c r="AA31" s="3">
        <v>0</v>
      </c>
      <c r="AB31" s="3"/>
      <c r="AC31" s="3">
        <f t="shared" si="3"/>
        <v>5951743</v>
      </c>
      <c r="AD31" s="3"/>
      <c r="AE31" s="3">
        <v>0</v>
      </c>
      <c r="AF31" s="3"/>
      <c r="AG31" s="3">
        <f>+AC31+M31+AE31</f>
        <v>10182390</v>
      </c>
    </row>
    <row r="32" spans="1:33" s="28" customFormat="1">
      <c r="A32" s="3" t="s">
        <v>359</v>
      </c>
      <c r="B32" s="24"/>
      <c r="C32" s="24" t="s">
        <v>168</v>
      </c>
      <c r="E32" s="24">
        <v>51060</v>
      </c>
      <c r="G32" s="1">
        <v>4723881</v>
      </c>
      <c r="H32" s="1"/>
      <c r="I32" s="1">
        <v>4468645</v>
      </c>
      <c r="J32" s="1"/>
      <c r="K32" s="1">
        <v>0</v>
      </c>
      <c r="L32" s="1"/>
      <c r="M32" s="1">
        <f t="shared" si="2"/>
        <v>9192526</v>
      </c>
      <c r="N32" s="1"/>
      <c r="O32" s="1">
        <v>35116672</v>
      </c>
      <c r="P32" s="1"/>
      <c r="Q32" s="1">
        <v>20611783</v>
      </c>
      <c r="R32" s="1"/>
      <c r="S32" s="1">
        <v>0</v>
      </c>
      <c r="T32" s="1"/>
      <c r="U32" s="1">
        <v>950775</v>
      </c>
      <c r="V32" s="1"/>
      <c r="W32" s="1">
        <v>0</v>
      </c>
      <c r="X32" s="1"/>
      <c r="Y32" s="1">
        <v>794884</v>
      </c>
      <c r="Z32" s="110"/>
      <c r="AA32" s="1">
        <v>0</v>
      </c>
      <c r="AB32" s="1"/>
      <c r="AC32" s="1">
        <f t="shared" si="3"/>
        <v>57474114</v>
      </c>
      <c r="AD32" s="1"/>
      <c r="AE32" s="1">
        <v>0</v>
      </c>
      <c r="AF32" s="1"/>
      <c r="AG32" s="1">
        <f t="shared" si="1"/>
        <v>66666640</v>
      </c>
    </row>
    <row r="33" spans="1:33" s="102" customFormat="1">
      <c r="A33" s="3" t="s">
        <v>315</v>
      </c>
      <c r="B33" s="103"/>
      <c r="C33" s="103" t="s">
        <v>167</v>
      </c>
      <c r="E33" s="103">
        <v>51045</v>
      </c>
      <c r="G33" s="3">
        <v>1003948</v>
      </c>
      <c r="H33" s="3"/>
      <c r="I33" s="3">
        <v>722651</v>
      </c>
      <c r="J33" s="3"/>
      <c r="K33" s="3">
        <v>1971598</v>
      </c>
      <c r="L33" s="3"/>
      <c r="M33" s="3">
        <f t="shared" si="2"/>
        <v>3698197</v>
      </c>
      <c r="N33" s="3"/>
      <c r="O33" s="3">
        <v>9081695</v>
      </c>
      <c r="P33" s="1"/>
      <c r="Q33" s="3">
        <v>3623911</v>
      </c>
      <c r="R33" s="3"/>
      <c r="S33" s="3">
        <v>11344</v>
      </c>
      <c r="T33" s="3"/>
      <c r="U33" s="3">
        <v>0</v>
      </c>
      <c r="V33" s="3"/>
      <c r="W33" s="3">
        <v>0</v>
      </c>
      <c r="X33" s="3"/>
      <c r="Y33" s="3">
        <v>257081</v>
      </c>
      <c r="Z33" s="30"/>
      <c r="AA33" s="3">
        <v>0</v>
      </c>
      <c r="AB33" s="3"/>
      <c r="AC33" s="3">
        <f t="shared" si="3"/>
        <v>12974031</v>
      </c>
      <c r="AD33" s="3"/>
      <c r="AE33" s="3">
        <v>0</v>
      </c>
      <c r="AF33" s="3"/>
      <c r="AG33" s="3">
        <f t="shared" si="1"/>
        <v>16672228</v>
      </c>
    </row>
    <row r="34" spans="1:33" s="102" customFormat="1">
      <c r="A34" s="3" t="s">
        <v>210</v>
      </c>
      <c r="B34" s="103"/>
      <c r="C34" s="103" t="s">
        <v>170</v>
      </c>
      <c r="E34" s="103">
        <v>51128</v>
      </c>
      <c r="G34" s="3">
        <v>256628</v>
      </c>
      <c r="H34" s="3"/>
      <c r="I34" s="3">
        <v>619029</v>
      </c>
      <c r="J34" s="3"/>
      <c r="K34" s="3">
        <v>0</v>
      </c>
      <c r="L34" s="3"/>
      <c r="M34" s="3">
        <f t="shared" si="2"/>
        <v>875657</v>
      </c>
      <c r="N34" s="3"/>
      <c r="O34" s="3">
        <f>1587005+86588</f>
        <v>1673593</v>
      </c>
      <c r="P34" s="1"/>
      <c r="Q34" s="3">
        <v>2475472</v>
      </c>
      <c r="R34" s="3"/>
      <c r="S34" s="3">
        <v>7864</v>
      </c>
      <c r="T34" s="3"/>
      <c r="U34" s="3">
        <v>0</v>
      </c>
      <c r="V34" s="3"/>
      <c r="W34" s="3">
        <v>3550</v>
      </c>
      <c r="X34" s="3"/>
      <c r="Y34" s="3">
        <v>7654</v>
      </c>
      <c r="Z34" s="30"/>
      <c r="AA34" s="3">
        <v>0</v>
      </c>
      <c r="AB34" s="3"/>
      <c r="AC34" s="3">
        <f t="shared" si="3"/>
        <v>4168133</v>
      </c>
      <c r="AD34" s="3"/>
      <c r="AE34" s="3">
        <v>0</v>
      </c>
      <c r="AF34" s="3"/>
      <c r="AG34" s="3">
        <f t="shared" si="1"/>
        <v>5043790</v>
      </c>
    </row>
    <row r="35" spans="1:33" s="102" customFormat="1">
      <c r="A35" s="3" t="s">
        <v>245</v>
      </c>
      <c r="B35" s="103"/>
      <c r="C35" s="103" t="s">
        <v>171</v>
      </c>
      <c r="E35" s="103">
        <v>51144</v>
      </c>
      <c r="G35" s="3">
        <v>1993458</v>
      </c>
      <c r="H35" s="3"/>
      <c r="I35" s="3">
        <v>825324</v>
      </c>
      <c r="J35" s="3"/>
      <c r="K35" s="3">
        <v>0</v>
      </c>
      <c r="L35" s="3"/>
      <c r="M35" s="3">
        <v>2818782</v>
      </c>
      <c r="N35" s="3"/>
      <c r="O35" s="3">
        <v>3276464</v>
      </c>
      <c r="P35" s="1"/>
      <c r="Q35" s="3">
        <v>5646938</v>
      </c>
      <c r="R35" s="3"/>
      <c r="S35" s="3">
        <v>21396</v>
      </c>
      <c r="T35" s="3"/>
      <c r="U35" s="3">
        <v>54907</v>
      </c>
      <c r="V35" s="3"/>
      <c r="W35" s="3">
        <v>0</v>
      </c>
      <c r="X35" s="3"/>
      <c r="Y35" s="3">
        <v>33932</v>
      </c>
      <c r="Z35" s="30"/>
      <c r="AA35" s="3">
        <v>0</v>
      </c>
      <c r="AB35" s="3"/>
      <c r="AC35" s="3">
        <v>9033637</v>
      </c>
      <c r="AD35" s="3"/>
      <c r="AE35" s="3">
        <v>0</v>
      </c>
      <c r="AF35" s="3"/>
      <c r="AG35" s="3">
        <v>11852419</v>
      </c>
    </row>
    <row r="36" spans="1:33" s="102" customFormat="1">
      <c r="A36" s="3" t="s">
        <v>211</v>
      </c>
      <c r="B36" s="103"/>
      <c r="C36" s="103" t="s">
        <v>172</v>
      </c>
      <c r="E36" s="103">
        <v>51185</v>
      </c>
      <c r="G36" s="3">
        <v>2357235</v>
      </c>
      <c r="H36" s="3"/>
      <c r="I36" s="3">
        <v>4878104</v>
      </c>
      <c r="J36" s="3"/>
      <c r="K36" s="3">
        <v>0</v>
      </c>
      <c r="L36" s="3"/>
      <c r="M36" s="3">
        <f t="shared" si="2"/>
        <v>7235339</v>
      </c>
      <c r="N36" s="3"/>
      <c r="O36" s="3">
        <f>1627070+327010</f>
        <v>1954080</v>
      </c>
      <c r="P36" s="1"/>
      <c r="Q36" s="3">
        <v>5837537</v>
      </c>
      <c r="R36" s="3"/>
      <c r="S36" s="3">
        <v>31620</v>
      </c>
      <c r="T36" s="3"/>
      <c r="U36" s="3">
        <v>0</v>
      </c>
      <c r="V36" s="3"/>
      <c r="W36" s="3">
        <v>0</v>
      </c>
      <c r="X36" s="3"/>
      <c r="Y36" s="3">
        <v>267652</v>
      </c>
      <c r="Z36" s="30"/>
      <c r="AA36" s="3">
        <v>0</v>
      </c>
      <c r="AB36" s="3"/>
      <c r="AC36" s="3">
        <f t="shared" si="3"/>
        <v>8090889</v>
      </c>
      <c r="AD36" s="3"/>
      <c r="AE36" s="3">
        <v>0</v>
      </c>
      <c r="AF36" s="3"/>
      <c r="AG36" s="3">
        <f t="shared" si="1"/>
        <v>15326228</v>
      </c>
    </row>
    <row r="37" spans="1:33" s="92" customFormat="1" hidden="1">
      <c r="A37" s="88" t="s">
        <v>284</v>
      </c>
      <c r="B37" s="89"/>
      <c r="C37" s="89" t="s">
        <v>173</v>
      </c>
      <c r="E37" s="89">
        <v>47977</v>
      </c>
      <c r="G37" s="88">
        <v>0</v>
      </c>
      <c r="H37" s="88"/>
      <c r="I37" s="88">
        <v>0</v>
      </c>
      <c r="J37" s="88"/>
      <c r="K37" s="88">
        <v>0</v>
      </c>
      <c r="L37" s="88"/>
      <c r="M37" s="88">
        <f t="shared" si="2"/>
        <v>0</v>
      </c>
      <c r="N37" s="88"/>
      <c r="O37" s="88">
        <v>0</v>
      </c>
      <c r="P37" s="93"/>
      <c r="Q37" s="88">
        <v>0</v>
      </c>
      <c r="R37" s="88"/>
      <c r="S37" s="88">
        <v>0</v>
      </c>
      <c r="T37" s="88"/>
      <c r="U37" s="88">
        <v>0</v>
      </c>
      <c r="V37" s="88"/>
      <c r="W37" s="88">
        <v>0</v>
      </c>
      <c r="X37" s="88"/>
      <c r="Y37" s="88">
        <v>0</v>
      </c>
      <c r="Z37" s="94"/>
      <c r="AA37" s="88">
        <v>0</v>
      </c>
      <c r="AB37" s="88"/>
      <c r="AC37" s="88">
        <f t="shared" si="3"/>
        <v>0</v>
      </c>
      <c r="AD37" s="88"/>
      <c r="AE37" s="88">
        <v>0</v>
      </c>
      <c r="AF37" s="88"/>
      <c r="AG37" s="88">
        <f t="shared" si="1"/>
        <v>0</v>
      </c>
    </row>
    <row r="38" spans="1:33" s="102" customFormat="1">
      <c r="A38" s="3" t="s">
        <v>213</v>
      </c>
      <c r="B38" s="103"/>
      <c r="C38" s="103" t="s">
        <v>142</v>
      </c>
      <c r="E38" s="103">
        <v>51227</v>
      </c>
      <c r="G38" s="3">
        <v>1606164</v>
      </c>
      <c r="H38" s="3"/>
      <c r="I38" s="3">
        <v>2061151</v>
      </c>
      <c r="J38" s="3"/>
      <c r="K38" s="3">
        <v>98800</v>
      </c>
      <c r="L38" s="3"/>
      <c r="M38" s="3">
        <f t="shared" si="2"/>
        <v>3766115</v>
      </c>
      <c r="N38" s="3"/>
      <c r="O38" s="3">
        <v>10334263</v>
      </c>
      <c r="P38" s="1"/>
      <c r="Q38" s="3">
        <v>8759635</v>
      </c>
      <c r="R38" s="3"/>
      <c r="S38" s="3">
        <v>24266</v>
      </c>
      <c r="T38" s="3"/>
      <c r="U38" s="3">
        <v>0</v>
      </c>
      <c r="V38" s="3"/>
      <c r="W38" s="3">
        <v>0</v>
      </c>
      <c r="X38" s="3"/>
      <c r="Y38" s="3">
        <v>488373</v>
      </c>
      <c r="Z38" s="30"/>
      <c r="AA38" s="3">
        <v>0</v>
      </c>
      <c r="AB38" s="3"/>
      <c r="AC38" s="3">
        <f t="shared" si="3"/>
        <v>19606537</v>
      </c>
      <c r="AD38" s="3"/>
      <c r="AE38" s="3">
        <v>0</v>
      </c>
      <c r="AF38" s="3"/>
      <c r="AG38" s="3">
        <f t="shared" si="1"/>
        <v>23372652</v>
      </c>
    </row>
    <row r="39" spans="1:33" s="102" customFormat="1">
      <c r="A39" s="3" t="s">
        <v>360</v>
      </c>
      <c r="B39" s="103"/>
      <c r="C39" s="103" t="s">
        <v>176</v>
      </c>
      <c r="E39" s="103">
        <v>51243</v>
      </c>
      <c r="G39" s="3">
        <v>1686080</v>
      </c>
      <c r="H39" s="3"/>
      <c r="I39" s="3">
        <v>952846</v>
      </c>
      <c r="J39" s="3"/>
      <c r="K39" s="3">
        <v>0</v>
      </c>
      <c r="L39" s="3"/>
      <c r="M39" s="3">
        <f t="shared" si="2"/>
        <v>2638926</v>
      </c>
      <c r="N39" s="3"/>
      <c r="O39" s="3">
        <v>6065671</v>
      </c>
      <c r="P39" s="1"/>
      <c r="Q39" s="3">
        <v>3982445</v>
      </c>
      <c r="R39" s="3"/>
      <c r="S39" s="3">
        <v>0</v>
      </c>
      <c r="T39" s="3"/>
      <c r="U39" s="3">
        <v>0</v>
      </c>
      <c r="V39" s="3"/>
      <c r="W39" s="3">
        <v>0</v>
      </c>
      <c r="X39" s="3"/>
      <c r="Y39" s="3">
        <v>190687</v>
      </c>
      <c r="Z39" s="30"/>
      <c r="AA39" s="3">
        <v>0</v>
      </c>
      <c r="AB39" s="3"/>
      <c r="AC39" s="3">
        <f t="shared" si="3"/>
        <v>10238803</v>
      </c>
      <c r="AD39" s="3"/>
      <c r="AE39" s="3">
        <v>0</v>
      </c>
      <c r="AF39" s="3"/>
      <c r="AG39" s="3">
        <f t="shared" si="1"/>
        <v>12877729</v>
      </c>
    </row>
    <row r="40" spans="1:33" s="102" customFormat="1">
      <c r="A40" s="3" t="s">
        <v>246</v>
      </c>
      <c r="B40" s="103"/>
      <c r="C40" s="103" t="s">
        <v>186</v>
      </c>
      <c r="E40" s="103">
        <v>51391</v>
      </c>
      <c r="G40" s="3">
        <v>669752</v>
      </c>
      <c r="H40" s="3"/>
      <c r="I40" s="3">
        <v>624219</v>
      </c>
      <c r="J40" s="3"/>
      <c r="K40" s="3">
        <v>0</v>
      </c>
      <c r="L40" s="3"/>
      <c r="M40" s="3">
        <f t="shared" si="2"/>
        <v>1293971</v>
      </c>
      <c r="N40" s="3"/>
      <c r="O40" s="3">
        <v>6238395</v>
      </c>
      <c r="P40" s="1"/>
      <c r="Q40" s="3">
        <v>5509621</v>
      </c>
      <c r="R40" s="3"/>
      <c r="S40" s="3">
        <v>29484</v>
      </c>
      <c r="T40" s="3"/>
      <c r="U40" s="3">
        <v>0</v>
      </c>
      <c r="V40" s="3"/>
      <c r="W40" s="3">
        <v>867</v>
      </c>
      <c r="X40" s="3"/>
      <c r="Y40" s="3">
        <v>46396</v>
      </c>
      <c r="Z40" s="30"/>
      <c r="AA40" s="3">
        <v>0</v>
      </c>
      <c r="AB40" s="3"/>
      <c r="AC40" s="3">
        <f t="shared" si="3"/>
        <v>11824763</v>
      </c>
      <c r="AD40" s="3"/>
      <c r="AE40" s="3">
        <v>0</v>
      </c>
      <c r="AF40" s="3"/>
      <c r="AG40" s="3">
        <f t="shared" si="1"/>
        <v>13118734</v>
      </c>
    </row>
    <row r="41" spans="1:33" s="102" customFormat="1">
      <c r="A41" s="3" t="s">
        <v>217</v>
      </c>
      <c r="B41" s="103"/>
      <c r="C41" s="103" t="s">
        <v>178</v>
      </c>
      <c r="E41" s="103">
        <v>62109</v>
      </c>
      <c r="G41" s="3">
        <v>27844</v>
      </c>
      <c r="H41" s="3"/>
      <c r="I41" s="3">
        <v>517540</v>
      </c>
      <c r="J41" s="3"/>
      <c r="K41" s="3">
        <v>0</v>
      </c>
      <c r="L41" s="3"/>
      <c r="M41" s="3">
        <f t="shared" si="2"/>
        <v>545384</v>
      </c>
      <c r="N41" s="3"/>
      <c r="O41" s="3">
        <v>7668789</v>
      </c>
      <c r="P41" s="1"/>
      <c r="Q41" s="3">
        <v>7695597</v>
      </c>
      <c r="R41" s="3"/>
      <c r="S41" s="3">
        <v>9128</v>
      </c>
      <c r="T41" s="3"/>
      <c r="U41" s="3">
        <v>16208</v>
      </c>
      <c r="V41" s="3"/>
      <c r="W41" s="3">
        <v>0</v>
      </c>
      <c r="X41" s="3"/>
      <c r="Y41" s="3">
        <f>340990+94532</f>
        <v>435522</v>
      </c>
      <c r="Z41" s="30"/>
      <c r="AA41" s="3">
        <v>0</v>
      </c>
      <c r="AB41" s="3"/>
      <c r="AC41" s="3">
        <f t="shared" si="3"/>
        <v>15825244</v>
      </c>
      <c r="AD41" s="3"/>
      <c r="AE41" s="3">
        <v>0</v>
      </c>
      <c r="AF41" s="3"/>
      <c r="AG41" s="3">
        <f t="shared" si="1"/>
        <v>16370628</v>
      </c>
    </row>
    <row r="42" spans="1:33" s="102" customFormat="1">
      <c r="A42" s="3" t="s">
        <v>361</v>
      </c>
      <c r="B42" s="103"/>
      <c r="C42" s="103" t="s">
        <v>181</v>
      </c>
      <c r="E42" s="103">
        <v>51284</v>
      </c>
      <c r="G42" s="3">
        <v>3670603</v>
      </c>
      <c r="H42" s="3"/>
      <c r="I42" s="3">
        <v>2531532</v>
      </c>
      <c r="J42" s="3"/>
      <c r="K42" s="3">
        <v>0</v>
      </c>
      <c r="L42" s="3"/>
      <c r="M42" s="3">
        <f t="shared" si="2"/>
        <v>6202135</v>
      </c>
      <c r="N42" s="3"/>
      <c r="O42" s="3">
        <v>13819189</v>
      </c>
      <c r="P42" s="1"/>
      <c r="Q42" s="3">
        <v>14975795</v>
      </c>
      <c r="R42" s="3"/>
      <c r="S42" s="3">
        <v>0</v>
      </c>
      <c r="T42" s="3"/>
      <c r="U42" s="3">
        <v>0</v>
      </c>
      <c r="V42" s="3"/>
      <c r="W42" s="3">
        <v>112027</v>
      </c>
      <c r="X42" s="3"/>
      <c r="Y42" s="3">
        <v>278141</v>
      </c>
      <c r="Z42" s="30"/>
      <c r="AA42" s="3">
        <v>0</v>
      </c>
      <c r="AB42" s="3"/>
      <c r="AC42" s="3">
        <f t="shared" si="3"/>
        <v>29185152</v>
      </c>
      <c r="AD42" s="3"/>
      <c r="AE42" s="3">
        <v>0</v>
      </c>
      <c r="AF42" s="3"/>
      <c r="AG42" s="3">
        <f t="shared" si="1"/>
        <v>35387287</v>
      </c>
    </row>
    <row r="43" spans="1:33" s="102" customFormat="1">
      <c r="A43" s="3" t="s">
        <v>362</v>
      </c>
      <c r="B43" s="103"/>
      <c r="C43" s="103" t="s">
        <v>183</v>
      </c>
      <c r="E43" s="103">
        <v>51300</v>
      </c>
      <c r="G43" s="3">
        <v>2439547</v>
      </c>
      <c r="H43" s="3"/>
      <c r="I43" s="3">
        <v>3770100</v>
      </c>
      <c r="J43" s="3"/>
      <c r="K43" s="3">
        <v>483677</v>
      </c>
      <c r="L43" s="3"/>
      <c r="M43" s="3">
        <f t="shared" si="2"/>
        <v>6693324</v>
      </c>
      <c r="N43" s="3"/>
      <c r="O43" s="3">
        <f>7426940+333443+2643234+1540892</f>
        <v>11944509</v>
      </c>
      <c r="P43" s="1"/>
      <c r="Q43" s="3">
        <v>6848329</v>
      </c>
      <c r="R43" s="3"/>
      <c r="S43" s="3">
        <v>30957</v>
      </c>
      <c r="T43" s="3"/>
      <c r="U43" s="3">
        <v>41128</v>
      </c>
      <c r="V43" s="3"/>
      <c r="W43" s="3">
        <v>0</v>
      </c>
      <c r="X43" s="3"/>
      <c r="Y43" s="3">
        <v>85197</v>
      </c>
      <c r="Z43" s="30"/>
      <c r="AA43" s="3">
        <v>0</v>
      </c>
      <c r="AB43" s="3"/>
      <c r="AC43" s="3">
        <f t="shared" si="3"/>
        <v>18950120</v>
      </c>
      <c r="AD43" s="3"/>
      <c r="AE43" s="3">
        <v>0</v>
      </c>
      <c r="AF43" s="3"/>
      <c r="AG43" s="3">
        <f t="shared" si="1"/>
        <v>25643444</v>
      </c>
    </row>
    <row r="44" spans="1:33" s="102" customFormat="1">
      <c r="A44" s="3" t="s">
        <v>212</v>
      </c>
      <c r="B44" s="103"/>
      <c r="C44" s="103" t="s">
        <v>174</v>
      </c>
      <c r="E44" s="103">
        <v>51334</v>
      </c>
      <c r="G44" s="3">
        <v>1055740</v>
      </c>
      <c r="H44" s="3"/>
      <c r="I44" s="3">
        <v>1320137</v>
      </c>
      <c r="J44" s="3"/>
      <c r="K44" s="3">
        <v>0</v>
      </c>
      <c r="L44" s="3"/>
      <c r="M44" s="3">
        <f t="shared" si="2"/>
        <v>2375877</v>
      </c>
      <c r="N44" s="3"/>
      <c r="O44" s="3">
        <v>5592781</v>
      </c>
      <c r="P44" s="1"/>
      <c r="Q44" s="3">
        <v>5783952</v>
      </c>
      <c r="R44" s="3"/>
      <c r="S44" s="3">
        <v>11344</v>
      </c>
      <c r="T44" s="3"/>
      <c r="U44" s="3">
        <v>0</v>
      </c>
      <c r="V44" s="3"/>
      <c r="W44" s="3">
        <v>449351</v>
      </c>
      <c r="X44" s="3"/>
      <c r="Y44" s="3">
        <v>123305</v>
      </c>
      <c r="Z44" s="30"/>
      <c r="AA44" s="3">
        <v>0</v>
      </c>
      <c r="AB44" s="3"/>
      <c r="AC44" s="3">
        <f t="shared" si="3"/>
        <v>11960733</v>
      </c>
      <c r="AD44" s="3"/>
      <c r="AE44" s="3">
        <v>0</v>
      </c>
      <c r="AF44" s="3"/>
      <c r="AG44" s="3">
        <f t="shared" si="1"/>
        <v>14336610</v>
      </c>
    </row>
    <row r="45" spans="1:33" s="102" customFormat="1">
      <c r="A45" s="3" t="s">
        <v>322</v>
      </c>
      <c r="B45" s="103"/>
      <c r="C45" s="103" t="s">
        <v>204</v>
      </c>
      <c r="E45" s="103">
        <v>51359</v>
      </c>
      <c r="G45" s="3">
        <v>1019490</v>
      </c>
      <c r="H45" s="3"/>
      <c r="I45" s="3">
        <v>7385283</v>
      </c>
      <c r="J45" s="3"/>
      <c r="K45" s="3">
        <v>0</v>
      </c>
      <c r="L45" s="3"/>
      <c r="M45" s="3">
        <f t="shared" si="2"/>
        <v>8404773</v>
      </c>
      <c r="N45" s="3"/>
      <c r="O45" s="3">
        <f>11224048+4877192</f>
        <v>16101240</v>
      </c>
      <c r="P45" s="1"/>
      <c r="Q45" s="3">
        <v>10294347</v>
      </c>
      <c r="R45" s="3"/>
      <c r="S45" s="3">
        <f>123400+290476</f>
        <v>413876</v>
      </c>
      <c r="T45" s="3"/>
      <c r="U45" s="3">
        <v>298427</v>
      </c>
      <c r="V45" s="3"/>
      <c r="W45" s="3">
        <v>0</v>
      </c>
      <c r="X45" s="3"/>
      <c r="Y45" s="3">
        <v>18519</v>
      </c>
      <c r="Z45" s="30"/>
      <c r="AA45" s="3">
        <v>0</v>
      </c>
      <c r="AB45" s="3"/>
      <c r="AC45" s="3">
        <f t="shared" si="3"/>
        <v>27126409</v>
      </c>
      <c r="AD45" s="3"/>
      <c r="AE45" s="3">
        <v>0</v>
      </c>
      <c r="AF45" s="3"/>
      <c r="AG45" s="3">
        <f t="shared" si="1"/>
        <v>35531182</v>
      </c>
    </row>
    <row r="46" spans="1:33" s="102" customFormat="1">
      <c r="A46" s="3" t="s">
        <v>363</v>
      </c>
      <c r="B46" s="103"/>
      <c r="C46" s="103" t="s">
        <v>190</v>
      </c>
      <c r="E46" s="103">
        <v>51433</v>
      </c>
      <c r="G46" s="3">
        <v>2143745</v>
      </c>
      <c r="H46" s="3"/>
      <c r="I46" s="3">
        <v>2510462</v>
      </c>
      <c r="J46" s="3"/>
      <c r="K46" s="3">
        <v>0</v>
      </c>
      <c r="L46" s="3"/>
      <c r="M46" s="3">
        <f t="shared" si="2"/>
        <v>4654207</v>
      </c>
      <c r="N46" s="3"/>
      <c r="O46" s="3">
        <v>5015145</v>
      </c>
      <c r="P46" s="1"/>
      <c r="Q46" s="3">
        <v>9631561</v>
      </c>
      <c r="R46" s="3"/>
      <c r="S46" s="3">
        <v>20543</v>
      </c>
      <c r="T46" s="3"/>
      <c r="U46" s="3">
        <v>4876</v>
      </c>
      <c r="V46" s="3"/>
      <c r="W46" s="3">
        <v>22560</v>
      </c>
      <c r="X46" s="3"/>
      <c r="Y46" s="3">
        <f>29822+272847</f>
        <v>302669</v>
      </c>
      <c r="Z46" s="30"/>
      <c r="AA46" s="3">
        <v>0</v>
      </c>
      <c r="AB46" s="3"/>
      <c r="AC46" s="3">
        <f t="shared" si="3"/>
        <v>14997354</v>
      </c>
      <c r="AD46" s="3"/>
      <c r="AE46" s="3">
        <v>0</v>
      </c>
      <c r="AF46" s="3"/>
      <c r="AG46" s="3">
        <f t="shared" si="1"/>
        <v>19651561</v>
      </c>
    </row>
    <row r="47" spans="1:33" s="102" customFormat="1">
      <c r="A47" s="3" t="s">
        <v>247</v>
      </c>
      <c r="B47" s="103"/>
      <c r="C47" s="103" t="s">
        <v>218</v>
      </c>
      <c r="E47" s="103">
        <v>51375</v>
      </c>
      <c r="G47" s="3">
        <v>772827</v>
      </c>
      <c r="H47" s="3"/>
      <c r="I47" s="3">
        <v>1149373</v>
      </c>
      <c r="J47" s="3"/>
      <c r="K47" s="3">
        <v>0</v>
      </c>
      <c r="L47" s="3"/>
      <c r="M47" s="3">
        <f t="shared" si="2"/>
        <v>1922200</v>
      </c>
      <c r="N47" s="3"/>
      <c r="O47" s="3">
        <f>822223+253527</f>
        <v>1075750</v>
      </c>
      <c r="P47" s="1"/>
      <c r="Q47" s="3">
        <v>4347943</v>
      </c>
      <c r="R47" s="3"/>
      <c r="S47" s="3">
        <v>0</v>
      </c>
      <c r="T47" s="3"/>
      <c r="U47" s="3">
        <v>226</v>
      </c>
      <c r="V47" s="3"/>
      <c r="W47" s="3">
        <v>5155</v>
      </c>
      <c r="X47" s="3"/>
      <c r="Y47" s="3">
        <v>40253</v>
      </c>
      <c r="Z47" s="30"/>
      <c r="AA47" s="3">
        <v>0</v>
      </c>
      <c r="AB47" s="3"/>
      <c r="AC47" s="3">
        <f t="shared" si="3"/>
        <v>5469327</v>
      </c>
      <c r="AD47" s="3"/>
      <c r="AE47" s="3">
        <v>0</v>
      </c>
      <c r="AF47" s="3"/>
      <c r="AG47" s="3">
        <f t="shared" ref="AG47:AG65" si="4">+AC47+M47</f>
        <v>7391527</v>
      </c>
    </row>
    <row r="48" spans="1:33" s="102" customFormat="1">
      <c r="A48" s="3" t="s">
        <v>364</v>
      </c>
      <c r="B48" s="103"/>
      <c r="C48" s="103" t="s">
        <v>189</v>
      </c>
      <c r="E48" s="103">
        <v>51417</v>
      </c>
      <c r="G48" s="3">
        <v>835771</v>
      </c>
      <c r="H48" s="3"/>
      <c r="I48" s="3">
        <v>1956179</v>
      </c>
      <c r="J48" s="3"/>
      <c r="K48" s="3">
        <v>0</v>
      </c>
      <c r="L48" s="3"/>
      <c r="M48" s="3">
        <f t="shared" si="2"/>
        <v>2791950</v>
      </c>
      <c r="N48" s="3"/>
      <c r="O48" s="3">
        <v>4208880</v>
      </c>
      <c r="P48" s="1"/>
      <c r="Q48" s="3">
        <v>9574081</v>
      </c>
      <c r="R48" s="3"/>
      <c r="S48" s="3">
        <v>69493</v>
      </c>
      <c r="T48" s="3"/>
      <c r="U48" s="3">
        <v>0</v>
      </c>
      <c r="V48" s="3"/>
      <c r="W48" s="3">
        <v>0</v>
      </c>
      <c r="X48" s="3"/>
      <c r="Y48" s="3">
        <v>201892</v>
      </c>
      <c r="Z48" s="30"/>
      <c r="AA48" s="3">
        <v>0</v>
      </c>
      <c r="AB48" s="3"/>
      <c r="AC48" s="3">
        <f t="shared" si="3"/>
        <v>14054346</v>
      </c>
      <c r="AD48" s="3"/>
      <c r="AE48" s="3">
        <v>0</v>
      </c>
      <c r="AF48" s="3"/>
      <c r="AG48" s="3">
        <f t="shared" si="4"/>
        <v>16846296</v>
      </c>
    </row>
    <row r="49" spans="1:34" s="102" customFormat="1">
      <c r="A49" s="3" t="s">
        <v>248</v>
      </c>
      <c r="B49" s="103"/>
      <c r="C49" s="103" t="s">
        <v>157</v>
      </c>
      <c r="E49" s="103">
        <v>50948</v>
      </c>
      <c r="G49" s="3">
        <v>160748</v>
      </c>
      <c r="H49" s="3"/>
      <c r="I49" s="3">
        <v>967653</v>
      </c>
      <c r="J49" s="3"/>
      <c r="K49" s="3">
        <v>0</v>
      </c>
      <c r="L49" s="3"/>
      <c r="M49" s="3">
        <f t="shared" si="2"/>
        <v>1128401</v>
      </c>
      <c r="N49" s="3"/>
      <c r="O49" s="3">
        <v>9072020</v>
      </c>
      <c r="P49" s="1"/>
      <c r="Q49" s="3">
        <v>3949859</v>
      </c>
      <c r="R49" s="3"/>
      <c r="S49" s="3">
        <v>43686</v>
      </c>
      <c r="T49" s="3"/>
      <c r="U49" s="3">
        <v>0</v>
      </c>
      <c r="V49" s="3"/>
      <c r="W49" s="3">
        <v>2391</v>
      </c>
      <c r="X49" s="3"/>
      <c r="Y49" s="3">
        <v>37457</v>
      </c>
      <c r="Z49" s="30"/>
      <c r="AA49" s="3">
        <v>5011</v>
      </c>
      <c r="AB49" s="3"/>
      <c r="AC49" s="3">
        <f t="shared" si="3"/>
        <v>13110424</v>
      </c>
      <c r="AD49" s="3"/>
      <c r="AE49" s="3">
        <v>0</v>
      </c>
      <c r="AF49" s="3"/>
      <c r="AG49" s="3">
        <f t="shared" si="4"/>
        <v>14238825</v>
      </c>
      <c r="AH49" s="111"/>
    </row>
    <row r="50" spans="1:34" s="102" customFormat="1">
      <c r="A50" s="3" t="s">
        <v>249</v>
      </c>
      <c r="B50" s="103"/>
      <c r="C50" s="103" t="s">
        <v>196</v>
      </c>
      <c r="E50" s="103">
        <v>63495</v>
      </c>
      <c r="G50" s="3">
        <v>1266083</v>
      </c>
      <c r="H50" s="3"/>
      <c r="I50" s="3">
        <v>835185</v>
      </c>
      <c r="J50" s="3"/>
      <c r="K50" s="3">
        <v>0</v>
      </c>
      <c r="L50" s="3"/>
      <c r="M50" s="3">
        <f t="shared" si="2"/>
        <v>2101268</v>
      </c>
      <c r="N50" s="3"/>
      <c r="O50" s="3">
        <v>2799858</v>
      </c>
      <c r="P50" s="1"/>
      <c r="Q50" s="3">
        <v>2481299</v>
      </c>
      <c r="R50" s="3"/>
      <c r="S50" s="3">
        <v>0</v>
      </c>
      <c r="T50" s="3"/>
      <c r="U50" s="3">
        <v>0</v>
      </c>
      <c r="V50" s="3"/>
      <c r="W50" s="3">
        <v>0</v>
      </c>
      <c r="X50" s="3"/>
      <c r="Y50" s="3">
        <v>41529</v>
      </c>
      <c r="Z50" s="30"/>
      <c r="AA50" s="3">
        <v>0</v>
      </c>
      <c r="AB50" s="3"/>
      <c r="AC50" s="3">
        <f t="shared" si="3"/>
        <v>5322686</v>
      </c>
      <c r="AD50" s="3"/>
      <c r="AE50" s="3">
        <v>0</v>
      </c>
      <c r="AF50" s="3"/>
      <c r="AG50" s="3">
        <f t="shared" si="4"/>
        <v>7423954</v>
      </c>
    </row>
    <row r="51" spans="1:34" s="102" customFormat="1">
      <c r="A51" s="3" t="s">
        <v>383</v>
      </c>
      <c r="B51" s="103"/>
      <c r="C51" s="103" t="s">
        <v>192</v>
      </c>
      <c r="E51" s="103">
        <v>51490</v>
      </c>
      <c r="G51" s="3">
        <v>1997375</v>
      </c>
      <c r="H51" s="3"/>
      <c r="I51" s="3">
        <v>1336486</v>
      </c>
      <c r="J51" s="3"/>
      <c r="K51" s="3">
        <v>0</v>
      </c>
      <c r="L51" s="3"/>
      <c r="M51" s="3">
        <f t="shared" si="2"/>
        <v>3333861</v>
      </c>
      <c r="N51" s="3"/>
      <c r="O51" s="3">
        <f>1860578+538914</f>
        <v>2399492</v>
      </c>
      <c r="P51" s="1"/>
      <c r="Q51" s="3">
        <v>4118234</v>
      </c>
      <c r="R51" s="3"/>
      <c r="S51" s="3">
        <v>60283</v>
      </c>
      <c r="T51" s="3"/>
      <c r="U51" s="3">
        <v>0</v>
      </c>
      <c r="V51" s="3"/>
      <c r="W51" s="3">
        <v>100</v>
      </c>
      <c r="X51" s="3"/>
      <c r="Y51" s="3">
        <v>171374</v>
      </c>
      <c r="Z51" s="30"/>
      <c r="AA51" s="3">
        <v>0</v>
      </c>
      <c r="AB51" s="3"/>
      <c r="AC51" s="3">
        <f t="shared" si="3"/>
        <v>6749483</v>
      </c>
      <c r="AD51" s="3"/>
      <c r="AE51" s="3">
        <v>0</v>
      </c>
      <c r="AF51" s="3"/>
      <c r="AG51" s="3">
        <f t="shared" si="4"/>
        <v>10083344</v>
      </c>
    </row>
    <row r="52" spans="1:34" s="102" customFormat="1">
      <c r="A52" s="3" t="s">
        <v>205</v>
      </c>
      <c r="B52" s="103"/>
      <c r="C52" s="103" t="s">
        <v>150</v>
      </c>
      <c r="E52" s="103">
        <v>50799</v>
      </c>
      <c r="G52" s="3">
        <v>268047</v>
      </c>
      <c r="H52" s="3"/>
      <c r="I52" s="3">
        <v>1419059</v>
      </c>
      <c r="J52" s="3"/>
      <c r="K52" s="3">
        <v>0</v>
      </c>
      <c r="L52" s="3"/>
      <c r="M52" s="3">
        <f t="shared" si="2"/>
        <v>1687106</v>
      </c>
      <c r="N52" s="3"/>
      <c r="O52" s="3">
        <f>1736555+157500+474821</f>
        <v>2368876</v>
      </c>
      <c r="P52" s="1"/>
      <c r="Q52" s="3">
        <v>2503724</v>
      </c>
      <c r="R52" s="3"/>
      <c r="S52" s="3">
        <v>80313</v>
      </c>
      <c r="T52" s="3"/>
      <c r="U52" s="3">
        <v>0</v>
      </c>
      <c r="V52" s="3"/>
      <c r="W52" s="3">
        <v>90</v>
      </c>
      <c r="X52" s="3"/>
      <c r="Y52" s="3">
        <v>25262</v>
      </c>
      <c r="Z52" s="30"/>
      <c r="AA52" s="3">
        <v>0</v>
      </c>
      <c r="AB52" s="3"/>
      <c r="AC52" s="3">
        <f t="shared" si="3"/>
        <v>4978265</v>
      </c>
      <c r="AD52" s="3"/>
      <c r="AE52" s="3">
        <v>0</v>
      </c>
      <c r="AF52" s="3"/>
      <c r="AG52" s="3">
        <f t="shared" si="4"/>
        <v>6665371</v>
      </c>
    </row>
    <row r="53" spans="1:34" s="102" customFormat="1">
      <c r="A53" s="3" t="s">
        <v>365</v>
      </c>
      <c r="B53" s="103"/>
      <c r="C53" s="103" t="s">
        <v>152</v>
      </c>
      <c r="E53" s="103">
        <v>51532</v>
      </c>
      <c r="G53" s="3">
        <v>163575</v>
      </c>
      <c r="H53" s="3"/>
      <c r="I53" s="3">
        <v>605697</v>
      </c>
      <c r="J53" s="3"/>
      <c r="K53" s="3">
        <v>0</v>
      </c>
      <c r="L53" s="3"/>
      <c r="M53" s="3">
        <f t="shared" si="2"/>
        <v>769272</v>
      </c>
      <c r="N53" s="3"/>
      <c r="O53" s="3">
        <v>4892062</v>
      </c>
      <c r="P53" s="1"/>
      <c r="Q53" s="3">
        <v>6368413</v>
      </c>
      <c r="R53" s="3"/>
      <c r="S53" s="3">
        <v>8307</v>
      </c>
      <c r="T53" s="3"/>
      <c r="U53" s="3">
        <v>0</v>
      </c>
      <c r="V53" s="3"/>
      <c r="W53" s="3">
        <v>0</v>
      </c>
      <c r="X53" s="3"/>
      <c r="Y53" s="3">
        <v>69793</v>
      </c>
      <c r="Z53" s="30"/>
      <c r="AA53" s="3">
        <v>0</v>
      </c>
      <c r="AB53" s="3"/>
      <c r="AC53" s="3">
        <f t="shared" si="3"/>
        <v>11338575</v>
      </c>
      <c r="AD53" s="3"/>
      <c r="AE53" s="3">
        <v>0</v>
      </c>
      <c r="AF53" s="3"/>
      <c r="AG53" s="3">
        <f t="shared" si="4"/>
        <v>12107847</v>
      </c>
    </row>
    <row r="54" spans="1:34" s="102" customFormat="1">
      <c r="A54" s="3" t="s">
        <v>219</v>
      </c>
      <c r="B54" s="103"/>
      <c r="C54" s="103" t="s">
        <v>195</v>
      </c>
      <c r="E54" s="103">
        <v>62026</v>
      </c>
      <c r="G54" s="3">
        <v>323767</v>
      </c>
      <c r="H54" s="3"/>
      <c r="I54" s="3">
        <v>642421</v>
      </c>
      <c r="J54" s="3"/>
      <c r="K54" s="3">
        <v>0</v>
      </c>
      <c r="L54" s="3"/>
      <c r="M54" s="3">
        <f>SUM(G54:L54)</f>
        <v>966188</v>
      </c>
      <c r="N54" s="3"/>
      <c r="O54" s="3">
        <v>2114746</v>
      </c>
      <c r="P54" s="1"/>
      <c r="Q54" s="3">
        <v>4405178</v>
      </c>
      <c r="R54" s="3"/>
      <c r="S54" s="3">
        <v>17154</v>
      </c>
      <c r="T54" s="3"/>
      <c r="U54" s="3">
        <v>0</v>
      </c>
      <c r="V54" s="3"/>
      <c r="W54" s="3">
        <v>0</v>
      </c>
      <c r="X54" s="3"/>
      <c r="Y54" s="3">
        <v>41895</v>
      </c>
      <c r="Z54" s="30"/>
      <c r="AA54" s="3">
        <v>0</v>
      </c>
      <c r="AB54" s="3"/>
      <c r="AC54" s="3">
        <f t="shared" si="3"/>
        <v>6578973</v>
      </c>
      <c r="AD54" s="3"/>
      <c r="AE54" s="3">
        <v>0</v>
      </c>
      <c r="AF54" s="3"/>
      <c r="AG54" s="3">
        <f>+AC54+M54</f>
        <v>7545161</v>
      </c>
    </row>
    <row r="55" spans="1:34" s="102" customFormat="1">
      <c r="A55" s="3" t="s">
        <v>272</v>
      </c>
      <c r="B55" s="103"/>
      <c r="C55" s="103" t="s">
        <v>214</v>
      </c>
      <c r="E55" s="103">
        <v>63511</v>
      </c>
      <c r="G55" s="3">
        <v>517551</v>
      </c>
      <c r="H55" s="3"/>
      <c r="I55" s="3">
        <v>703457</v>
      </c>
      <c r="J55" s="3"/>
      <c r="K55" s="3">
        <v>0</v>
      </c>
      <c r="L55" s="3"/>
      <c r="M55" s="3">
        <f>SUM(G55:L55)</f>
        <v>1221008</v>
      </c>
      <c r="N55" s="3"/>
      <c r="O55" s="3">
        <v>8759331</v>
      </c>
      <c r="P55" s="1"/>
      <c r="Q55" s="3">
        <v>3165698</v>
      </c>
      <c r="R55" s="3"/>
      <c r="S55" s="3">
        <v>35337</v>
      </c>
      <c r="T55" s="3"/>
      <c r="U55" s="3">
        <v>0</v>
      </c>
      <c r="V55" s="3"/>
      <c r="W55" s="3">
        <v>0</v>
      </c>
      <c r="X55" s="3"/>
      <c r="Y55" s="3">
        <v>275016</v>
      </c>
      <c r="Z55" s="30"/>
      <c r="AA55" s="3">
        <v>0</v>
      </c>
      <c r="AB55" s="3"/>
      <c r="AC55" s="3">
        <f t="shared" si="3"/>
        <v>12235382</v>
      </c>
      <c r="AD55" s="3"/>
      <c r="AE55" s="3">
        <v>0</v>
      </c>
      <c r="AF55" s="3"/>
      <c r="AG55" s="3">
        <f t="shared" ref="AG55:AG56" si="5">+AC55+M55</f>
        <v>13456390</v>
      </c>
    </row>
    <row r="56" spans="1:34" s="102" customFormat="1">
      <c r="A56" s="3" t="s">
        <v>285</v>
      </c>
      <c r="B56" s="103"/>
      <c r="C56" s="103" t="s">
        <v>145</v>
      </c>
      <c r="E56" s="103">
        <v>51607</v>
      </c>
      <c r="G56" s="3">
        <v>33131</v>
      </c>
      <c r="H56" s="3"/>
      <c r="I56" s="3">
        <v>850910</v>
      </c>
      <c r="J56" s="3"/>
      <c r="K56" s="3">
        <v>0</v>
      </c>
      <c r="L56" s="3"/>
      <c r="M56" s="3">
        <f t="shared" si="2"/>
        <v>884041</v>
      </c>
      <c r="N56" s="3"/>
      <c r="O56" s="3">
        <v>3131345</v>
      </c>
      <c r="P56" s="1"/>
      <c r="Q56" s="3">
        <v>3806056</v>
      </c>
      <c r="R56" s="3"/>
      <c r="S56" s="3">
        <v>6088</v>
      </c>
      <c r="T56" s="3"/>
      <c r="U56" s="3">
        <v>0</v>
      </c>
      <c r="V56" s="3"/>
      <c r="W56" s="3">
        <v>0</v>
      </c>
      <c r="X56" s="3"/>
      <c r="Y56" s="3">
        <v>23268</v>
      </c>
      <c r="Z56" s="30"/>
      <c r="AA56" s="3">
        <v>-25000</v>
      </c>
      <c r="AB56" s="3"/>
      <c r="AC56" s="3">
        <f t="shared" si="3"/>
        <v>6941757</v>
      </c>
      <c r="AD56" s="3"/>
      <c r="AE56" s="3">
        <v>0</v>
      </c>
      <c r="AF56" s="3"/>
      <c r="AG56" s="3">
        <f t="shared" si="5"/>
        <v>7825798</v>
      </c>
    </row>
    <row r="57" spans="1:34" s="102" customFormat="1">
      <c r="A57" s="3" t="s">
        <v>215</v>
      </c>
      <c r="B57" s="103"/>
      <c r="C57" s="103" t="s">
        <v>216</v>
      </c>
      <c r="E57" s="103">
        <v>65268</v>
      </c>
      <c r="G57" s="3">
        <v>33036</v>
      </c>
      <c r="H57" s="3"/>
      <c r="I57" s="3">
        <v>2852088</v>
      </c>
      <c r="J57" s="3"/>
      <c r="K57" s="3">
        <v>0</v>
      </c>
      <c r="L57" s="3"/>
      <c r="M57" s="3">
        <f t="shared" si="2"/>
        <v>2885124</v>
      </c>
      <c r="N57" s="3"/>
      <c r="O57" s="3">
        <v>3792221</v>
      </c>
      <c r="P57" s="1"/>
      <c r="Q57" s="3">
        <v>4156997</v>
      </c>
      <c r="R57" s="3"/>
      <c r="S57" s="3">
        <v>1837</v>
      </c>
      <c r="T57" s="3"/>
      <c r="U57" s="3">
        <v>9490</v>
      </c>
      <c r="V57" s="3"/>
      <c r="W57" s="3">
        <v>1450</v>
      </c>
      <c r="X57" s="3"/>
      <c r="Y57" s="3">
        <v>902559</v>
      </c>
      <c r="Z57" s="30"/>
      <c r="AA57" s="3">
        <v>-273069</v>
      </c>
      <c r="AB57" s="3"/>
      <c r="AC57" s="3">
        <f t="shared" si="3"/>
        <v>8591485</v>
      </c>
      <c r="AD57" s="3"/>
      <c r="AE57" s="3">
        <v>0</v>
      </c>
      <c r="AF57" s="3"/>
      <c r="AG57" s="3">
        <f t="shared" si="4"/>
        <v>11476609</v>
      </c>
    </row>
    <row r="58" spans="1:34" s="102" customFormat="1">
      <c r="A58" s="3" t="s">
        <v>366</v>
      </c>
      <c r="B58" s="103"/>
      <c r="C58" s="103" t="s">
        <v>197</v>
      </c>
      <c r="E58" s="103">
        <v>51631</v>
      </c>
      <c r="G58" s="3">
        <v>530928</v>
      </c>
      <c r="H58" s="3"/>
      <c r="I58" s="3">
        <v>2343537</v>
      </c>
      <c r="J58" s="3"/>
      <c r="K58" s="3">
        <v>0</v>
      </c>
      <c r="L58" s="3"/>
      <c r="M58" s="3">
        <f t="shared" si="2"/>
        <v>2874465</v>
      </c>
      <c r="N58" s="3"/>
      <c r="O58" s="3">
        <v>4885650</v>
      </c>
      <c r="P58" s="1"/>
      <c r="Q58" s="3">
        <v>6246588</v>
      </c>
      <c r="R58" s="3"/>
      <c r="S58" s="3">
        <v>28139</v>
      </c>
      <c r="T58" s="3"/>
      <c r="U58" s="3">
        <v>0</v>
      </c>
      <c r="V58" s="3"/>
      <c r="W58" s="3">
        <v>0</v>
      </c>
      <c r="X58" s="3"/>
      <c r="Y58" s="3">
        <v>89451</v>
      </c>
      <c r="Z58" s="30"/>
      <c r="AA58" s="3">
        <v>-124510</v>
      </c>
      <c r="AB58" s="3"/>
      <c r="AC58" s="3">
        <f t="shared" si="3"/>
        <v>11125318</v>
      </c>
      <c r="AD58" s="3"/>
      <c r="AE58" s="3">
        <v>0</v>
      </c>
      <c r="AF58" s="3"/>
      <c r="AG58" s="3">
        <f t="shared" si="4"/>
        <v>13999783</v>
      </c>
    </row>
    <row r="59" spans="1:34" s="102" customFormat="1">
      <c r="A59" s="3" t="s">
        <v>206</v>
      </c>
      <c r="B59" s="103"/>
      <c r="C59" s="103" t="s">
        <v>154</v>
      </c>
      <c r="E59" s="103">
        <v>62802</v>
      </c>
      <c r="G59" s="3">
        <v>322543</v>
      </c>
      <c r="H59" s="3"/>
      <c r="I59" s="3">
        <v>1013224</v>
      </c>
      <c r="J59" s="3"/>
      <c r="K59" s="3">
        <v>0</v>
      </c>
      <c r="L59" s="3"/>
      <c r="M59" s="3">
        <f t="shared" si="2"/>
        <v>1335767</v>
      </c>
      <c r="N59" s="3"/>
      <c r="O59" s="3">
        <v>3739896</v>
      </c>
      <c r="P59" s="1"/>
      <c r="Q59" s="3">
        <v>2920702</v>
      </c>
      <c r="R59" s="3"/>
      <c r="S59" s="3">
        <v>55767</v>
      </c>
      <c r="T59" s="3"/>
      <c r="U59" s="3">
        <v>0</v>
      </c>
      <c r="V59" s="3"/>
      <c r="W59" s="3">
        <v>0</v>
      </c>
      <c r="X59" s="3"/>
      <c r="Y59" s="3">
        <v>22673</v>
      </c>
      <c r="Z59" s="30"/>
      <c r="AA59" s="3">
        <v>0</v>
      </c>
      <c r="AB59" s="3"/>
      <c r="AC59" s="3">
        <f t="shared" si="3"/>
        <v>6739038</v>
      </c>
      <c r="AD59" s="3"/>
      <c r="AE59" s="3">
        <v>0</v>
      </c>
      <c r="AF59" s="3"/>
      <c r="AG59" s="3">
        <f t="shared" si="4"/>
        <v>8074805</v>
      </c>
    </row>
    <row r="60" spans="1:34" s="102" customFormat="1">
      <c r="A60" s="3" t="s">
        <v>354</v>
      </c>
      <c r="B60" s="103"/>
      <c r="C60" s="103" t="s">
        <v>180</v>
      </c>
      <c r="E60" s="103">
        <v>62125</v>
      </c>
      <c r="G60" s="3">
        <v>1321322</v>
      </c>
      <c r="H60" s="3"/>
      <c r="I60" s="3">
        <v>5107897</v>
      </c>
      <c r="J60" s="3"/>
      <c r="K60" s="3">
        <v>1500</v>
      </c>
      <c r="L60" s="3"/>
      <c r="M60" s="3">
        <f t="shared" si="2"/>
        <v>6430719</v>
      </c>
      <c r="N60" s="3"/>
      <c r="O60" s="3">
        <f>5169355+802996+337650</f>
        <v>6310001</v>
      </c>
      <c r="P60" s="1"/>
      <c r="Q60" s="3">
        <v>8096071</v>
      </c>
      <c r="R60" s="3"/>
      <c r="S60" s="3">
        <v>19880</v>
      </c>
      <c r="T60" s="3"/>
      <c r="U60" s="3">
        <v>0</v>
      </c>
      <c r="V60" s="3"/>
      <c r="W60" s="3">
        <v>0</v>
      </c>
      <c r="X60" s="3"/>
      <c r="Y60" s="3">
        <v>95677</v>
      </c>
      <c r="Z60" s="30"/>
      <c r="AA60" s="3">
        <v>0</v>
      </c>
      <c r="AB60" s="3"/>
      <c r="AC60" s="3">
        <f t="shared" si="3"/>
        <v>14521629</v>
      </c>
      <c r="AD60" s="3"/>
      <c r="AE60" s="3">
        <v>0</v>
      </c>
      <c r="AF60" s="3"/>
      <c r="AG60" s="3">
        <f t="shared" si="4"/>
        <v>20952348</v>
      </c>
    </row>
    <row r="61" spans="1:34" s="102" customFormat="1">
      <c r="A61" s="3" t="s">
        <v>250</v>
      </c>
      <c r="B61" s="103"/>
      <c r="C61" s="103" t="s">
        <v>191</v>
      </c>
      <c r="E61" s="103">
        <v>51458</v>
      </c>
      <c r="G61" s="3">
        <v>929898</v>
      </c>
      <c r="H61" s="3"/>
      <c r="I61" s="3">
        <v>1590984</v>
      </c>
      <c r="J61" s="3"/>
      <c r="K61" s="3">
        <v>0</v>
      </c>
      <c r="L61" s="3"/>
      <c r="M61" s="3">
        <f t="shared" si="2"/>
        <v>2520882</v>
      </c>
      <c r="N61" s="3"/>
      <c r="O61" s="3">
        <v>4312157</v>
      </c>
      <c r="P61" s="1"/>
      <c r="Q61" s="3">
        <v>8315036</v>
      </c>
      <c r="R61" s="3"/>
      <c r="S61" s="3">
        <v>74315</v>
      </c>
      <c r="T61" s="3"/>
      <c r="U61" s="3">
        <v>0</v>
      </c>
      <c r="V61" s="3"/>
      <c r="W61" s="3">
        <v>0</v>
      </c>
      <c r="X61" s="3"/>
      <c r="Y61" s="3">
        <v>176492</v>
      </c>
      <c r="Z61" s="30"/>
      <c r="AA61" s="3">
        <v>0</v>
      </c>
      <c r="AB61" s="3"/>
      <c r="AC61" s="3">
        <f t="shared" si="3"/>
        <v>12878000</v>
      </c>
      <c r="AD61" s="3"/>
      <c r="AE61" s="3">
        <v>0</v>
      </c>
      <c r="AF61" s="3"/>
      <c r="AG61" s="3">
        <f t="shared" si="4"/>
        <v>15398882</v>
      </c>
    </row>
    <row r="62" spans="1:34" s="102" customFormat="1">
      <c r="A62" s="3" t="s">
        <v>251</v>
      </c>
      <c r="B62" s="103"/>
      <c r="C62" s="103" t="s">
        <v>200</v>
      </c>
      <c r="E62" s="103">
        <v>51672</v>
      </c>
      <c r="G62" s="3">
        <v>1152957</v>
      </c>
      <c r="H62" s="3"/>
      <c r="I62" s="3">
        <v>1084284</v>
      </c>
      <c r="J62" s="3"/>
      <c r="K62" s="3">
        <v>0</v>
      </c>
      <c r="L62" s="3"/>
      <c r="M62" s="3">
        <f t="shared" si="2"/>
        <v>2237241</v>
      </c>
      <c r="N62" s="3"/>
      <c r="O62" s="3">
        <f>2426423+944576+436545</f>
        <v>3807544</v>
      </c>
      <c r="P62" s="1"/>
      <c r="Q62" s="3">
        <v>4420748</v>
      </c>
      <c r="R62" s="3"/>
      <c r="S62" s="3">
        <v>30259</v>
      </c>
      <c r="T62" s="3"/>
      <c r="U62" s="3">
        <v>29602</v>
      </c>
      <c r="V62" s="3"/>
      <c r="W62" s="3">
        <v>0</v>
      </c>
      <c r="X62" s="3"/>
      <c r="Y62" s="3">
        <v>22566</v>
      </c>
      <c r="Z62" s="30"/>
      <c r="AA62" s="3">
        <v>0</v>
      </c>
      <c r="AB62" s="3"/>
      <c r="AC62" s="3">
        <f t="shared" si="3"/>
        <v>8310719</v>
      </c>
      <c r="AD62" s="3"/>
      <c r="AE62" s="3">
        <v>0</v>
      </c>
      <c r="AF62" s="3"/>
      <c r="AG62" s="3">
        <f>+AC62+M62+AE62</f>
        <v>10547960</v>
      </c>
    </row>
    <row r="63" spans="1:34" s="102" customFormat="1">
      <c r="A63" s="3" t="s">
        <v>385</v>
      </c>
      <c r="B63" s="103"/>
      <c r="C63" s="103" t="s">
        <v>201</v>
      </c>
      <c r="E63" s="103">
        <v>51474</v>
      </c>
      <c r="G63" s="3">
        <v>3597567</v>
      </c>
      <c r="H63" s="3"/>
      <c r="I63" s="3">
        <v>1093144</v>
      </c>
      <c r="J63" s="3"/>
      <c r="K63" s="3">
        <v>0</v>
      </c>
      <c r="L63" s="3"/>
      <c r="M63" s="3">
        <f t="shared" si="2"/>
        <v>4690711</v>
      </c>
      <c r="N63" s="3"/>
      <c r="O63" s="3">
        <v>9175408</v>
      </c>
      <c r="P63" s="1"/>
      <c r="Q63" s="3">
        <v>5859104</v>
      </c>
      <c r="R63" s="3"/>
      <c r="S63" s="3">
        <v>107789</v>
      </c>
      <c r="T63" s="3"/>
      <c r="U63" s="3">
        <v>144689</v>
      </c>
      <c r="V63" s="3"/>
      <c r="W63" s="3">
        <v>0</v>
      </c>
      <c r="X63" s="3"/>
      <c r="Y63" s="3">
        <v>208554</v>
      </c>
      <c r="Z63" s="30"/>
      <c r="AA63" s="3">
        <v>0</v>
      </c>
      <c r="AB63" s="3"/>
      <c r="AC63" s="3">
        <f t="shared" si="3"/>
        <v>15495544</v>
      </c>
      <c r="AD63" s="3"/>
      <c r="AE63" s="3">
        <v>0</v>
      </c>
      <c r="AF63" s="3"/>
      <c r="AG63" s="3">
        <f t="shared" si="4"/>
        <v>20186255</v>
      </c>
    </row>
    <row r="64" spans="1:34" s="102" customFormat="1">
      <c r="A64" s="3" t="s">
        <v>264</v>
      </c>
      <c r="B64" s="103"/>
      <c r="C64" s="103" t="s">
        <v>202</v>
      </c>
      <c r="E64" s="103">
        <v>51698</v>
      </c>
      <c r="G64" s="3">
        <v>156167</v>
      </c>
      <c r="H64" s="3"/>
      <c r="I64" s="3">
        <v>1255505</v>
      </c>
      <c r="J64" s="3"/>
      <c r="K64" s="3">
        <v>31800</v>
      </c>
      <c r="L64" s="3"/>
      <c r="M64" s="3">
        <f t="shared" si="2"/>
        <v>1443472</v>
      </c>
      <c r="N64" s="3"/>
      <c r="O64" s="3">
        <v>1937618</v>
      </c>
      <c r="P64" s="1"/>
      <c r="Q64" s="3">
        <v>3319427</v>
      </c>
      <c r="R64" s="3"/>
      <c r="S64" s="3">
        <v>161715</v>
      </c>
      <c r="T64" s="3"/>
      <c r="U64" s="3">
        <v>33735</v>
      </c>
      <c r="V64" s="3"/>
      <c r="W64" s="3">
        <v>0</v>
      </c>
      <c r="X64" s="3"/>
      <c r="Y64" s="3">
        <v>31323</v>
      </c>
      <c r="Z64" s="30"/>
      <c r="AA64" s="3">
        <v>0</v>
      </c>
      <c r="AB64" s="3"/>
      <c r="AC64" s="3">
        <f t="shared" si="3"/>
        <v>5483818</v>
      </c>
      <c r="AD64" s="3"/>
      <c r="AE64" s="3">
        <v>0</v>
      </c>
      <c r="AF64" s="3"/>
      <c r="AG64" s="3">
        <f t="shared" si="4"/>
        <v>6927290</v>
      </c>
    </row>
    <row r="65" spans="1:33" s="102" customFormat="1">
      <c r="A65" s="3" t="s">
        <v>352</v>
      </c>
      <c r="B65" s="103"/>
      <c r="C65" s="103" t="s">
        <v>203</v>
      </c>
      <c r="E65" s="103">
        <v>51714</v>
      </c>
      <c r="G65" s="3">
        <v>1561075</v>
      </c>
      <c r="H65" s="3"/>
      <c r="I65" s="3">
        <v>1650293</v>
      </c>
      <c r="J65" s="3"/>
      <c r="K65" s="3">
        <v>0</v>
      </c>
      <c r="L65" s="3"/>
      <c r="M65" s="3">
        <f t="shared" si="2"/>
        <v>3211368</v>
      </c>
      <c r="N65" s="3"/>
      <c r="O65" s="3">
        <f>4008434+1031277+286323</f>
        <v>5326034</v>
      </c>
      <c r="P65" s="1"/>
      <c r="Q65" s="3">
        <v>6950989</v>
      </c>
      <c r="R65" s="3"/>
      <c r="S65" s="3">
        <v>12733</v>
      </c>
      <c r="T65" s="3"/>
      <c r="U65" s="3">
        <v>1334</v>
      </c>
      <c r="V65" s="3"/>
      <c r="W65" s="3">
        <v>0</v>
      </c>
      <c r="X65" s="3"/>
      <c r="Y65" s="3">
        <f>10010+6262</f>
        <v>16272</v>
      </c>
      <c r="Z65" s="30"/>
      <c r="AA65" s="3">
        <v>0</v>
      </c>
      <c r="AB65" s="3"/>
      <c r="AC65" s="3">
        <f t="shared" si="3"/>
        <v>12307362</v>
      </c>
      <c r="AD65" s="3"/>
      <c r="AE65" s="3">
        <v>0</v>
      </c>
      <c r="AF65" s="3"/>
      <c r="AG65" s="3">
        <f t="shared" si="4"/>
        <v>15518730</v>
      </c>
    </row>
    <row r="66" spans="1:33">
      <c r="A66" s="3"/>
      <c r="B66" s="15"/>
      <c r="C66" s="15"/>
      <c r="E66" s="15"/>
      <c r="G66" s="3"/>
      <c r="H66" s="3"/>
      <c r="I66" s="3"/>
      <c r="J66" s="3"/>
      <c r="K66" s="3"/>
      <c r="L66" s="3"/>
      <c r="M66" s="3"/>
      <c r="N66" s="3"/>
      <c r="O66" s="3"/>
      <c r="P66" s="1"/>
      <c r="Q66" s="3"/>
      <c r="R66" s="3"/>
      <c r="S66" s="3"/>
      <c r="T66" s="3"/>
      <c r="U66" s="3"/>
      <c r="V66" s="3"/>
      <c r="W66" s="3"/>
      <c r="X66" s="3"/>
      <c r="Y66" s="3"/>
      <c r="Z66" s="30"/>
      <c r="AA66" s="3"/>
      <c r="AB66" s="3"/>
      <c r="AC66" s="3"/>
      <c r="AD66" s="3"/>
      <c r="AE66" s="3"/>
      <c r="AF66" s="3"/>
      <c r="AG66" s="3"/>
    </row>
    <row r="67" spans="1:33">
      <c r="A67" s="3"/>
      <c r="B67" s="15"/>
      <c r="C67" s="15"/>
      <c r="E67" s="15"/>
      <c r="G67" s="3"/>
      <c r="H67" s="3"/>
      <c r="I67" s="3"/>
      <c r="J67" s="3"/>
      <c r="K67" s="3"/>
      <c r="L67" s="3"/>
      <c r="M67" s="3"/>
      <c r="N67" s="3"/>
      <c r="O67" s="3"/>
      <c r="P67" s="1"/>
      <c r="Q67" s="3"/>
      <c r="R67" s="3"/>
      <c r="S67" s="3"/>
      <c r="T67" s="3"/>
      <c r="U67" s="3"/>
      <c r="V67" s="3"/>
      <c r="W67" s="3"/>
      <c r="X67" s="3"/>
      <c r="Y67" s="3"/>
      <c r="Z67" s="30"/>
      <c r="AA67" s="3"/>
      <c r="AB67" s="3"/>
      <c r="AC67" s="3"/>
      <c r="AD67" s="3"/>
      <c r="AE67" s="3"/>
      <c r="AF67" s="3"/>
      <c r="AG67" s="16"/>
    </row>
    <row r="68" spans="1:33">
      <c r="A68" s="34" t="s">
        <v>253</v>
      </c>
      <c r="B68" s="15"/>
      <c r="C68" s="15"/>
      <c r="E68" s="15"/>
      <c r="G68" s="3"/>
      <c r="H68" s="3"/>
      <c r="I68" s="3"/>
      <c r="J68" s="3"/>
      <c r="K68" s="3"/>
      <c r="L68" s="3"/>
      <c r="M68" s="3"/>
      <c r="N68" s="3"/>
      <c r="O68" s="3"/>
      <c r="P68" s="1"/>
      <c r="Q68" s="3"/>
      <c r="R68" s="3"/>
      <c r="S68" s="3"/>
      <c r="T68" s="3"/>
      <c r="U68" s="3"/>
      <c r="V68" s="3"/>
      <c r="W68" s="3"/>
      <c r="X68" s="3"/>
      <c r="Y68" s="3"/>
      <c r="Z68" s="30"/>
      <c r="AA68" s="3"/>
      <c r="AB68" s="3"/>
      <c r="AC68" s="3"/>
      <c r="AD68" s="3"/>
      <c r="AE68" s="3"/>
      <c r="AF68" s="3"/>
      <c r="AG68" s="3"/>
    </row>
    <row r="69" spans="1:33">
      <c r="A69" s="34"/>
      <c r="B69" s="15"/>
      <c r="C69" s="15"/>
      <c r="E69" s="15"/>
      <c r="G69" s="3"/>
      <c r="H69" s="3"/>
      <c r="I69" s="3"/>
      <c r="J69" s="3"/>
      <c r="K69" s="3"/>
      <c r="L69" s="3"/>
      <c r="M69" s="3"/>
      <c r="N69" s="3"/>
      <c r="O69" s="3"/>
      <c r="P69" s="1"/>
      <c r="Q69" s="3"/>
      <c r="R69" s="3"/>
      <c r="S69" s="3"/>
      <c r="T69" s="3"/>
      <c r="U69" s="3"/>
      <c r="V69" s="3"/>
      <c r="W69" s="3"/>
      <c r="X69" s="3"/>
      <c r="Y69" s="3"/>
      <c r="Z69" s="30"/>
      <c r="AA69" s="3"/>
      <c r="AB69" s="3"/>
      <c r="AC69" s="3"/>
      <c r="AD69" s="3"/>
      <c r="AE69" s="3"/>
      <c r="AF69" s="3"/>
      <c r="AG69" s="3"/>
    </row>
    <row r="70" spans="1:33" s="65" customFormat="1" hidden="1">
      <c r="A70" s="58" t="s">
        <v>327</v>
      </c>
      <c r="B70" s="58"/>
      <c r="C70" s="58" t="s">
        <v>260</v>
      </c>
      <c r="E70" s="75">
        <v>45740</v>
      </c>
      <c r="G70" s="58">
        <v>0</v>
      </c>
      <c r="H70" s="58"/>
      <c r="I70" s="58">
        <v>0</v>
      </c>
      <c r="J70" s="58"/>
      <c r="K70" s="58">
        <v>0</v>
      </c>
      <c r="L70" s="58"/>
      <c r="M70" s="58">
        <f t="shared" si="2"/>
        <v>0</v>
      </c>
      <c r="N70" s="58"/>
      <c r="O70" s="58">
        <v>0</v>
      </c>
      <c r="P70" s="68"/>
      <c r="Q70" s="58">
        <v>0</v>
      </c>
      <c r="R70" s="58"/>
      <c r="S70" s="58">
        <v>0</v>
      </c>
      <c r="T70" s="58"/>
      <c r="U70" s="58">
        <v>0</v>
      </c>
      <c r="V70" s="58"/>
      <c r="W70" s="58">
        <v>0</v>
      </c>
      <c r="X70" s="58"/>
      <c r="Y70" s="58">
        <v>0</v>
      </c>
      <c r="Z70" s="67"/>
      <c r="AA70" s="58">
        <v>0</v>
      </c>
      <c r="AB70" s="58"/>
      <c r="AC70" s="58">
        <f>SUM(O70:AA70)</f>
        <v>0</v>
      </c>
      <c r="AD70" s="58"/>
      <c r="AE70" s="58">
        <v>0</v>
      </c>
      <c r="AF70" s="58"/>
      <c r="AG70" s="58">
        <f t="shared" ref="AG70:AG101" si="6">+AC70+M70</f>
        <v>0</v>
      </c>
    </row>
    <row r="71" spans="1:33" s="65" customFormat="1" hidden="1">
      <c r="A71" s="58" t="s">
        <v>328</v>
      </c>
      <c r="B71" s="58"/>
      <c r="C71" s="58" t="s">
        <v>144</v>
      </c>
      <c r="E71" s="75">
        <v>45849</v>
      </c>
      <c r="G71" s="58">
        <v>0</v>
      </c>
      <c r="H71" s="58"/>
      <c r="I71" s="58">
        <v>0</v>
      </c>
      <c r="J71" s="58"/>
      <c r="K71" s="58">
        <v>0</v>
      </c>
      <c r="L71" s="58"/>
      <c r="M71" s="58">
        <f>SUM(G71:L71)</f>
        <v>0</v>
      </c>
      <c r="N71" s="58"/>
      <c r="O71" s="58">
        <v>0</v>
      </c>
      <c r="P71" s="68"/>
      <c r="Q71" s="58">
        <v>0</v>
      </c>
      <c r="R71" s="58"/>
      <c r="S71" s="58">
        <v>0</v>
      </c>
      <c r="T71" s="58"/>
      <c r="U71" s="58">
        <v>0</v>
      </c>
      <c r="V71" s="58"/>
      <c r="W71" s="58">
        <v>0</v>
      </c>
      <c r="X71" s="58"/>
      <c r="Y71" s="58">
        <v>0</v>
      </c>
      <c r="Z71" s="67"/>
      <c r="AA71" s="58">
        <v>0</v>
      </c>
      <c r="AB71" s="58"/>
      <c r="AC71" s="58">
        <f>SUM(O71:AA71)</f>
        <v>0</v>
      </c>
      <c r="AD71" s="58"/>
      <c r="AE71" s="58">
        <v>0</v>
      </c>
      <c r="AF71" s="58"/>
      <c r="AG71" s="58">
        <f t="shared" si="6"/>
        <v>0</v>
      </c>
    </row>
    <row r="72" spans="1:33" s="102" customFormat="1">
      <c r="A72" s="3" t="s">
        <v>148</v>
      </c>
      <c r="B72" s="103"/>
      <c r="C72" s="103" t="s">
        <v>145</v>
      </c>
      <c r="E72" s="103">
        <v>135145</v>
      </c>
      <c r="G72" s="19">
        <v>3724678</v>
      </c>
      <c r="H72" s="19"/>
      <c r="I72" s="19">
        <v>4862289</v>
      </c>
      <c r="J72" s="19"/>
      <c r="K72" s="19">
        <v>0</v>
      </c>
      <c r="L72" s="19"/>
      <c r="M72" s="19">
        <f t="shared" si="2"/>
        <v>8586967</v>
      </c>
      <c r="N72" s="19"/>
      <c r="O72" s="19">
        <v>0</v>
      </c>
      <c r="P72" s="108"/>
      <c r="Q72" s="19">
        <v>82190</v>
      </c>
      <c r="R72" s="19"/>
      <c r="S72" s="19">
        <v>6207</v>
      </c>
      <c r="T72" s="19"/>
      <c r="U72" s="19">
        <v>0</v>
      </c>
      <c r="V72" s="19"/>
      <c r="W72" s="19">
        <v>96</v>
      </c>
      <c r="X72" s="19"/>
      <c r="Y72" s="19">
        <v>203171</v>
      </c>
      <c r="Z72" s="109"/>
      <c r="AA72" s="19">
        <v>0</v>
      </c>
      <c r="AB72" s="19"/>
      <c r="AC72" s="19">
        <f>SUM(O72:AA72)</f>
        <v>291664</v>
      </c>
      <c r="AD72" s="19"/>
      <c r="AE72" s="19">
        <v>0</v>
      </c>
      <c r="AF72" s="19"/>
      <c r="AG72" s="19">
        <f t="shared" si="6"/>
        <v>8878631</v>
      </c>
    </row>
    <row r="73" spans="1:33" s="65" customFormat="1" hidden="1">
      <c r="A73" s="58" t="s">
        <v>329</v>
      </c>
      <c r="B73" s="58"/>
      <c r="C73" s="58" t="s">
        <v>261</v>
      </c>
      <c r="E73" s="59">
        <v>45930</v>
      </c>
      <c r="G73" s="58">
        <v>0</v>
      </c>
      <c r="H73" s="58"/>
      <c r="I73" s="58">
        <v>0</v>
      </c>
      <c r="J73" s="58"/>
      <c r="K73" s="58">
        <v>0</v>
      </c>
      <c r="L73" s="58"/>
      <c r="M73" s="58">
        <f>SUM(G73:L73)</f>
        <v>0</v>
      </c>
      <c r="N73" s="58"/>
      <c r="O73" s="58">
        <v>0</v>
      </c>
      <c r="P73" s="68"/>
      <c r="Q73" s="58">
        <v>0</v>
      </c>
      <c r="R73" s="58"/>
      <c r="S73" s="58">
        <v>0</v>
      </c>
      <c r="T73" s="58"/>
      <c r="U73" s="58">
        <v>0</v>
      </c>
      <c r="V73" s="58"/>
      <c r="W73" s="58">
        <v>0</v>
      </c>
      <c r="X73" s="58"/>
      <c r="Y73" s="58">
        <v>0</v>
      </c>
      <c r="Z73" s="67"/>
      <c r="AA73" s="58">
        <v>0</v>
      </c>
      <c r="AB73" s="58"/>
      <c r="AC73" s="58">
        <f t="shared" ref="AC73:AC131" si="7">SUM(O73:AA73)</f>
        <v>0</v>
      </c>
      <c r="AD73" s="58"/>
      <c r="AE73" s="58">
        <v>0</v>
      </c>
      <c r="AF73" s="58"/>
      <c r="AG73" s="58">
        <f t="shared" si="6"/>
        <v>0</v>
      </c>
    </row>
    <row r="74" spans="1:33" s="102" customFormat="1">
      <c r="A74" s="103" t="s">
        <v>286</v>
      </c>
      <c r="B74" s="103"/>
      <c r="C74" s="103" t="s">
        <v>150</v>
      </c>
      <c r="E74" s="103">
        <v>46029</v>
      </c>
      <c r="G74" s="3">
        <v>3507980</v>
      </c>
      <c r="H74" s="3"/>
      <c r="I74" s="3">
        <v>785819</v>
      </c>
      <c r="J74" s="3"/>
      <c r="K74" s="3">
        <v>0</v>
      </c>
      <c r="L74" s="3"/>
      <c r="M74" s="3">
        <f t="shared" si="2"/>
        <v>4293799</v>
      </c>
      <c r="N74" s="3"/>
      <c r="O74" s="3">
        <v>0</v>
      </c>
      <c r="P74" s="1"/>
      <c r="Q74" s="3">
        <v>175566</v>
      </c>
      <c r="R74" s="3"/>
      <c r="S74" s="3">
        <v>6562</v>
      </c>
      <c r="T74" s="3"/>
      <c r="U74" s="3">
        <v>0</v>
      </c>
      <c r="V74" s="3"/>
      <c r="W74" s="3">
        <v>0</v>
      </c>
      <c r="X74" s="3"/>
      <c r="Y74" s="3">
        <v>0</v>
      </c>
      <c r="Z74" s="30"/>
      <c r="AA74" s="3">
        <v>0</v>
      </c>
      <c r="AB74" s="3"/>
      <c r="AC74" s="3">
        <f t="shared" si="7"/>
        <v>182128</v>
      </c>
      <c r="AD74" s="3"/>
      <c r="AE74" s="3">
        <v>0</v>
      </c>
      <c r="AF74" s="3"/>
      <c r="AG74" s="3">
        <f t="shared" si="6"/>
        <v>4475927</v>
      </c>
    </row>
    <row r="75" spans="1:33" s="102" customFormat="1">
      <c r="A75" s="103" t="s">
        <v>287</v>
      </c>
      <c r="B75" s="103"/>
      <c r="C75" s="103" t="s">
        <v>147</v>
      </c>
      <c r="E75" s="103">
        <v>46086</v>
      </c>
      <c r="G75" s="3">
        <v>14751541</v>
      </c>
      <c r="H75" s="3"/>
      <c r="I75" s="3">
        <v>6098997</v>
      </c>
      <c r="J75" s="3"/>
      <c r="K75" s="3">
        <v>0</v>
      </c>
      <c r="L75" s="3"/>
      <c r="M75" s="3">
        <f t="shared" si="2"/>
        <v>20850538</v>
      </c>
      <c r="N75" s="3"/>
      <c r="O75" s="3">
        <v>0</v>
      </c>
      <c r="P75" s="1"/>
      <c r="Q75" s="3">
        <v>2397984</v>
      </c>
      <c r="R75" s="3"/>
      <c r="S75" s="3">
        <v>1107</v>
      </c>
      <c r="T75" s="3"/>
      <c r="U75" s="3">
        <v>0</v>
      </c>
      <c r="V75" s="3"/>
      <c r="W75" s="3">
        <v>0</v>
      </c>
      <c r="X75" s="3"/>
      <c r="Y75" s="3">
        <v>707262</v>
      </c>
      <c r="Z75" s="30"/>
      <c r="AA75" s="3">
        <v>0</v>
      </c>
      <c r="AB75" s="3"/>
      <c r="AC75" s="3">
        <f t="shared" si="7"/>
        <v>3106353</v>
      </c>
      <c r="AD75" s="3"/>
      <c r="AE75" s="3">
        <v>0</v>
      </c>
      <c r="AF75" s="3"/>
      <c r="AG75" s="3">
        <f t="shared" si="6"/>
        <v>23956891</v>
      </c>
    </row>
    <row r="76" spans="1:33" s="102" customFormat="1">
      <c r="A76" s="103" t="s">
        <v>288</v>
      </c>
      <c r="B76" s="103"/>
      <c r="C76" s="103" t="s">
        <v>152</v>
      </c>
      <c r="E76" s="103">
        <v>46227</v>
      </c>
      <c r="G76" s="3">
        <v>4426362</v>
      </c>
      <c r="H76" s="3"/>
      <c r="I76" s="3">
        <v>604882</v>
      </c>
      <c r="J76" s="3"/>
      <c r="K76" s="3">
        <v>0</v>
      </c>
      <c r="L76" s="3"/>
      <c r="M76" s="3">
        <f t="shared" si="2"/>
        <v>5031244</v>
      </c>
      <c r="N76" s="3"/>
      <c r="O76" s="3">
        <v>0</v>
      </c>
      <c r="P76" s="1"/>
      <c r="Q76" s="3">
        <v>1010208</v>
      </c>
      <c r="R76" s="3"/>
      <c r="S76" s="3">
        <v>1489</v>
      </c>
      <c r="T76" s="3"/>
      <c r="U76" s="3">
        <v>0</v>
      </c>
      <c r="V76" s="3"/>
      <c r="W76" s="3">
        <v>0</v>
      </c>
      <c r="X76" s="3"/>
      <c r="Y76" s="3">
        <v>196</v>
      </c>
      <c r="Z76" s="30"/>
      <c r="AA76" s="3">
        <v>0</v>
      </c>
      <c r="AB76" s="3"/>
      <c r="AC76" s="3">
        <f t="shared" si="7"/>
        <v>1011893</v>
      </c>
      <c r="AD76" s="3"/>
      <c r="AE76" s="3">
        <v>0</v>
      </c>
      <c r="AF76" s="3"/>
      <c r="AG76" s="3">
        <f t="shared" si="6"/>
        <v>6043137</v>
      </c>
    </row>
    <row r="77" spans="1:33" s="102" customFormat="1">
      <c r="A77" s="3" t="s">
        <v>153</v>
      </c>
      <c r="B77" s="103"/>
      <c r="C77" s="103" t="s">
        <v>154</v>
      </c>
      <c r="E77" s="103">
        <v>46292</v>
      </c>
      <c r="G77" s="3">
        <v>15482991</v>
      </c>
      <c r="H77" s="3"/>
      <c r="I77" s="3">
        <v>1156286</v>
      </c>
      <c r="J77" s="3"/>
      <c r="K77" s="3">
        <v>0</v>
      </c>
      <c r="L77" s="3"/>
      <c r="M77" s="3">
        <f t="shared" si="2"/>
        <v>16639277</v>
      </c>
      <c r="N77" s="3"/>
      <c r="O77" s="3">
        <v>0</v>
      </c>
      <c r="P77" s="1"/>
      <c r="Q77" s="3">
        <v>723939</v>
      </c>
      <c r="R77" s="3"/>
      <c r="S77" s="3">
        <v>2529</v>
      </c>
      <c r="T77" s="3"/>
      <c r="U77" s="3">
        <v>0</v>
      </c>
      <c r="V77" s="3"/>
      <c r="W77" s="3">
        <v>6965</v>
      </c>
      <c r="X77" s="3"/>
      <c r="Y77" s="3">
        <v>84086</v>
      </c>
      <c r="Z77" s="30"/>
      <c r="AA77" s="3">
        <v>0</v>
      </c>
      <c r="AB77" s="3"/>
      <c r="AC77" s="3">
        <f t="shared" si="7"/>
        <v>817519</v>
      </c>
      <c r="AD77" s="3"/>
      <c r="AE77" s="3">
        <v>0</v>
      </c>
      <c r="AF77" s="3"/>
      <c r="AG77" s="3">
        <f t="shared" si="6"/>
        <v>17456796</v>
      </c>
    </row>
    <row r="78" spans="1:33" s="92" customFormat="1" hidden="1">
      <c r="A78" s="89" t="s">
        <v>276</v>
      </c>
      <c r="B78" s="89"/>
      <c r="C78" s="89" t="s">
        <v>155</v>
      </c>
      <c r="E78" s="89">
        <v>46375</v>
      </c>
      <c r="G78" s="88">
        <v>0</v>
      </c>
      <c r="H78" s="88"/>
      <c r="I78" s="88">
        <v>0</v>
      </c>
      <c r="J78" s="88"/>
      <c r="K78" s="88">
        <v>0</v>
      </c>
      <c r="L78" s="88"/>
      <c r="M78" s="88">
        <f t="shared" si="2"/>
        <v>0</v>
      </c>
      <c r="N78" s="88"/>
      <c r="O78" s="88">
        <v>0</v>
      </c>
      <c r="P78" s="93"/>
      <c r="Q78" s="88">
        <v>0</v>
      </c>
      <c r="R78" s="88"/>
      <c r="S78" s="88">
        <v>0</v>
      </c>
      <c r="T78" s="88"/>
      <c r="U78" s="88">
        <v>0</v>
      </c>
      <c r="V78" s="88"/>
      <c r="W78" s="88">
        <v>0</v>
      </c>
      <c r="X78" s="88"/>
      <c r="Y78" s="88">
        <v>0</v>
      </c>
      <c r="Z78" s="94"/>
      <c r="AA78" s="88">
        <v>0</v>
      </c>
      <c r="AB78" s="88"/>
      <c r="AC78" s="88">
        <f t="shared" si="7"/>
        <v>0</v>
      </c>
      <c r="AD78" s="88"/>
      <c r="AE78" s="88">
        <v>0</v>
      </c>
      <c r="AF78" s="88"/>
      <c r="AG78" s="88">
        <f t="shared" si="6"/>
        <v>0</v>
      </c>
    </row>
    <row r="79" spans="1:33" s="102" customFormat="1">
      <c r="A79" s="103" t="s">
        <v>304</v>
      </c>
      <c r="B79" s="103"/>
      <c r="C79" s="103" t="s">
        <v>156</v>
      </c>
      <c r="E79" s="103">
        <v>46417</v>
      </c>
      <c r="G79" s="3">
        <v>8779109</v>
      </c>
      <c r="H79" s="3"/>
      <c r="I79" s="3">
        <v>1598545</v>
      </c>
      <c r="J79" s="3"/>
      <c r="K79" s="3">
        <v>0</v>
      </c>
      <c r="L79" s="3"/>
      <c r="M79" s="3">
        <f t="shared" si="2"/>
        <v>10377654</v>
      </c>
      <c r="N79" s="3"/>
      <c r="O79" s="3">
        <v>0</v>
      </c>
      <c r="P79" s="1"/>
      <c r="Q79" s="3">
        <v>473345</v>
      </c>
      <c r="R79" s="3"/>
      <c r="S79" s="3">
        <v>46</v>
      </c>
      <c r="T79" s="3"/>
      <c r="U79" s="3">
        <v>0</v>
      </c>
      <c r="V79" s="3"/>
      <c r="W79" s="3">
        <v>0</v>
      </c>
      <c r="X79" s="3"/>
      <c r="Y79" s="3">
        <v>6273</v>
      </c>
      <c r="Z79" s="30"/>
      <c r="AA79" s="3">
        <v>0</v>
      </c>
      <c r="AB79" s="3"/>
      <c r="AC79" s="3">
        <f t="shared" si="7"/>
        <v>479664</v>
      </c>
      <c r="AD79" s="3"/>
      <c r="AE79" s="3">
        <v>0</v>
      </c>
      <c r="AF79" s="3"/>
      <c r="AG79" s="3">
        <f t="shared" si="6"/>
        <v>10857318</v>
      </c>
    </row>
    <row r="80" spans="1:33" s="102" customFormat="1">
      <c r="A80" s="3" t="s">
        <v>306</v>
      </c>
      <c r="B80" s="103"/>
      <c r="C80" s="103" t="s">
        <v>157</v>
      </c>
      <c r="E80" s="103">
        <v>46532</v>
      </c>
      <c r="G80" s="3">
        <v>43947088</v>
      </c>
      <c r="H80" s="3"/>
      <c r="I80" s="3">
        <v>13154457</v>
      </c>
      <c r="J80" s="3"/>
      <c r="K80" s="3">
        <v>0</v>
      </c>
      <c r="L80" s="3"/>
      <c r="M80" s="3">
        <f t="shared" si="2"/>
        <v>57101545</v>
      </c>
      <c r="N80" s="3"/>
      <c r="O80" s="3">
        <v>0</v>
      </c>
      <c r="P80" s="1"/>
      <c r="Q80" s="3">
        <v>5321192</v>
      </c>
      <c r="R80" s="3"/>
      <c r="S80" s="3">
        <v>44275</v>
      </c>
      <c r="T80" s="3"/>
      <c r="U80" s="3">
        <v>0</v>
      </c>
      <c r="V80" s="3"/>
      <c r="W80" s="3">
        <v>67456</v>
      </c>
      <c r="X80" s="3"/>
      <c r="Y80" s="3">
        <v>1254927</v>
      </c>
      <c r="Z80" s="30"/>
      <c r="AA80" s="3">
        <v>0</v>
      </c>
      <c r="AB80" s="3"/>
      <c r="AC80" s="3">
        <f t="shared" si="7"/>
        <v>6687850</v>
      </c>
      <c r="AD80" s="3"/>
      <c r="AE80" s="3">
        <v>0</v>
      </c>
      <c r="AF80" s="3"/>
      <c r="AG80" s="3">
        <f t="shared" si="6"/>
        <v>63789395</v>
      </c>
    </row>
    <row r="81" spans="1:33" s="65" customFormat="1" hidden="1">
      <c r="A81" s="58" t="s">
        <v>309</v>
      </c>
      <c r="B81" s="59"/>
      <c r="C81" s="59" t="s">
        <v>158</v>
      </c>
      <c r="E81" s="59">
        <v>46615</v>
      </c>
      <c r="G81" s="58">
        <v>0</v>
      </c>
      <c r="H81" s="58"/>
      <c r="I81" s="58">
        <v>0</v>
      </c>
      <c r="J81" s="58"/>
      <c r="K81" s="58">
        <v>0</v>
      </c>
      <c r="L81" s="58"/>
      <c r="M81" s="58">
        <f t="shared" si="2"/>
        <v>0</v>
      </c>
      <c r="N81" s="58"/>
      <c r="O81" s="58">
        <v>0</v>
      </c>
      <c r="P81" s="68"/>
      <c r="Q81" s="58">
        <v>0</v>
      </c>
      <c r="R81" s="58"/>
      <c r="S81" s="58">
        <v>0</v>
      </c>
      <c r="T81" s="58"/>
      <c r="U81" s="58">
        <v>0</v>
      </c>
      <c r="V81" s="58"/>
      <c r="W81" s="58">
        <v>0</v>
      </c>
      <c r="X81" s="58"/>
      <c r="Y81" s="58">
        <v>0</v>
      </c>
      <c r="Z81" s="67"/>
      <c r="AA81" s="58">
        <v>0</v>
      </c>
      <c r="AB81" s="58"/>
      <c r="AC81" s="58">
        <f t="shared" si="7"/>
        <v>0</v>
      </c>
      <c r="AD81" s="58"/>
      <c r="AE81" s="58">
        <v>0</v>
      </c>
      <c r="AF81" s="58"/>
      <c r="AG81" s="58">
        <f t="shared" si="6"/>
        <v>0</v>
      </c>
    </row>
    <row r="82" spans="1:33" s="92" customFormat="1" hidden="1">
      <c r="A82" s="88" t="s">
        <v>305</v>
      </c>
      <c r="B82" s="89"/>
      <c r="C82" s="89" t="s">
        <v>159</v>
      </c>
      <c r="E82" s="89">
        <v>46730</v>
      </c>
      <c r="G82" s="88">
        <v>0</v>
      </c>
      <c r="H82" s="88"/>
      <c r="I82" s="88">
        <v>0</v>
      </c>
      <c r="J82" s="88"/>
      <c r="K82" s="88">
        <v>0</v>
      </c>
      <c r="L82" s="88"/>
      <c r="M82" s="88">
        <f t="shared" si="2"/>
        <v>0</v>
      </c>
      <c r="N82" s="88"/>
      <c r="O82" s="88">
        <v>0</v>
      </c>
      <c r="P82" s="93"/>
      <c r="Q82" s="88">
        <v>0</v>
      </c>
      <c r="R82" s="88"/>
      <c r="S82" s="88">
        <v>0</v>
      </c>
      <c r="T82" s="88"/>
      <c r="U82" s="88">
        <v>0</v>
      </c>
      <c r="V82" s="88"/>
      <c r="W82" s="88">
        <v>0</v>
      </c>
      <c r="X82" s="88"/>
      <c r="Y82" s="88">
        <v>0</v>
      </c>
      <c r="Z82" s="94"/>
      <c r="AA82" s="88">
        <v>0</v>
      </c>
      <c r="AB82" s="88"/>
      <c r="AC82" s="88">
        <f t="shared" si="7"/>
        <v>0</v>
      </c>
      <c r="AD82" s="88"/>
      <c r="AE82" s="88">
        <v>0</v>
      </c>
      <c r="AF82" s="88"/>
      <c r="AG82" s="88">
        <f t="shared" si="6"/>
        <v>0</v>
      </c>
    </row>
    <row r="83" spans="1:33" s="102" customFormat="1">
      <c r="A83" s="3" t="s">
        <v>303</v>
      </c>
      <c r="B83" s="103"/>
      <c r="C83" s="3" t="s">
        <v>198</v>
      </c>
      <c r="E83" s="103">
        <v>50260</v>
      </c>
      <c r="G83" s="3">
        <v>8937142</v>
      </c>
      <c r="H83" s="3"/>
      <c r="I83" s="3">
        <v>1433200</v>
      </c>
      <c r="J83" s="3"/>
      <c r="K83" s="3">
        <v>0</v>
      </c>
      <c r="L83" s="3"/>
      <c r="M83" s="3">
        <f t="shared" si="2"/>
        <v>10370342</v>
      </c>
      <c r="N83" s="3"/>
      <c r="O83" s="3">
        <v>0</v>
      </c>
      <c r="P83" s="1"/>
      <c r="Q83" s="3">
        <v>1558446</v>
      </c>
      <c r="R83" s="3"/>
      <c r="S83" s="3">
        <v>1526</v>
      </c>
      <c r="T83" s="3"/>
      <c r="U83" s="3">
        <v>0</v>
      </c>
      <c r="V83" s="3"/>
      <c r="W83" s="3">
        <v>0</v>
      </c>
      <c r="X83" s="3"/>
      <c r="Y83" s="3">
        <v>17488</v>
      </c>
      <c r="Z83" s="30"/>
      <c r="AA83" s="3">
        <v>0</v>
      </c>
      <c r="AB83" s="3"/>
      <c r="AC83" s="3">
        <f t="shared" si="7"/>
        <v>1577460</v>
      </c>
      <c r="AD83" s="3"/>
      <c r="AE83" s="3">
        <v>0</v>
      </c>
      <c r="AF83" s="3"/>
      <c r="AG83" s="3">
        <f t="shared" si="6"/>
        <v>11947802</v>
      </c>
    </row>
    <row r="84" spans="1:33" s="102" customFormat="1">
      <c r="A84" s="3" t="s">
        <v>312</v>
      </c>
      <c r="B84" s="103"/>
      <c r="C84" s="103" t="s">
        <v>162</v>
      </c>
      <c r="E84" s="103">
        <v>46938</v>
      </c>
      <c r="G84" s="3">
        <v>66296352</v>
      </c>
      <c r="H84" s="3"/>
      <c r="I84" s="3">
        <v>8792045</v>
      </c>
      <c r="J84" s="3"/>
      <c r="K84" s="3">
        <v>0</v>
      </c>
      <c r="L84" s="3"/>
      <c r="M84" s="3">
        <f>SUM(G84:L84)</f>
        <v>75088397</v>
      </c>
      <c r="N84" s="3"/>
      <c r="O84" s="3">
        <v>0</v>
      </c>
      <c r="P84" s="1"/>
      <c r="Q84" s="3">
        <v>5023787</v>
      </c>
      <c r="R84" s="3"/>
      <c r="S84" s="3">
        <v>21395</v>
      </c>
      <c r="T84" s="3"/>
      <c r="U84" s="3">
        <v>0</v>
      </c>
      <c r="V84" s="3"/>
      <c r="W84" s="3">
        <v>0</v>
      </c>
      <c r="X84" s="3"/>
      <c r="Y84" s="3">
        <v>359482</v>
      </c>
      <c r="Z84" s="30"/>
      <c r="AA84" s="3">
        <v>0</v>
      </c>
      <c r="AB84" s="3"/>
      <c r="AC84" s="3">
        <f>SUM(P84:AA84)</f>
        <v>5404664</v>
      </c>
      <c r="AD84" s="3"/>
      <c r="AE84" s="3">
        <v>0</v>
      </c>
      <c r="AF84" s="3"/>
      <c r="AG84" s="3">
        <f>+AC84+M84+AE84</f>
        <v>80493061</v>
      </c>
    </row>
    <row r="85" spans="1:33" s="92" customFormat="1" hidden="1">
      <c r="A85" s="89" t="s">
        <v>274</v>
      </c>
      <c r="B85" s="89"/>
      <c r="C85" s="89" t="s">
        <v>160</v>
      </c>
      <c r="E85" s="89">
        <v>125690</v>
      </c>
      <c r="G85" s="88">
        <v>0</v>
      </c>
      <c r="H85" s="88"/>
      <c r="I85" s="88">
        <v>0</v>
      </c>
      <c r="J85" s="88"/>
      <c r="K85" s="88">
        <v>0</v>
      </c>
      <c r="L85" s="88"/>
      <c r="M85" s="88">
        <f t="shared" si="2"/>
        <v>0</v>
      </c>
      <c r="N85" s="88"/>
      <c r="O85" s="88">
        <v>0</v>
      </c>
      <c r="P85" s="93"/>
      <c r="Q85" s="88">
        <v>0</v>
      </c>
      <c r="R85" s="88"/>
      <c r="S85" s="88">
        <v>0</v>
      </c>
      <c r="T85" s="88"/>
      <c r="U85" s="88">
        <v>0</v>
      </c>
      <c r="V85" s="88"/>
      <c r="W85" s="88">
        <v>0</v>
      </c>
      <c r="X85" s="88"/>
      <c r="Y85" s="88">
        <v>0</v>
      </c>
      <c r="Z85" s="94"/>
      <c r="AA85" s="88">
        <v>0</v>
      </c>
      <c r="AB85" s="88"/>
      <c r="AC85" s="88">
        <f t="shared" si="7"/>
        <v>0</v>
      </c>
      <c r="AD85" s="88"/>
      <c r="AE85" s="88">
        <v>0</v>
      </c>
      <c r="AF85" s="88"/>
      <c r="AG85" s="88">
        <f t="shared" si="6"/>
        <v>0</v>
      </c>
    </row>
    <row r="86" spans="1:33" s="102" customFormat="1">
      <c r="A86" s="3" t="s">
        <v>314</v>
      </c>
      <c r="B86" s="103"/>
      <c r="C86" s="103" t="s">
        <v>161</v>
      </c>
      <c r="E86" s="103">
        <v>46839</v>
      </c>
      <c r="G86" s="3">
        <v>5197579</v>
      </c>
      <c r="H86" s="3"/>
      <c r="I86" s="3">
        <v>583452</v>
      </c>
      <c r="J86" s="3"/>
      <c r="K86" s="3">
        <v>0</v>
      </c>
      <c r="L86" s="3"/>
      <c r="M86" s="3">
        <f t="shared" si="2"/>
        <v>5781031</v>
      </c>
      <c r="N86" s="3"/>
      <c r="O86" s="3">
        <v>0</v>
      </c>
      <c r="P86" s="1"/>
      <c r="Q86" s="3">
        <v>611787</v>
      </c>
      <c r="R86" s="3"/>
      <c r="S86" s="3">
        <v>1805</v>
      </c>
      <c r="T86" s="3"/>
      <c r="U86" s="3">
        <v>0</v>
      </c>
      <c r="V86" s="3"/>
      <c r="W86" s="3">
        <v>0</v>
      </c>
      <c r="X86" s="3"/>
      <c r="Y86" s="3">
        <f>1900048+23331</f>
        <v>1923379</v>
      </c>
      <c r="Z86" s="30"/>
      <c r="AA86" s="3">
        <v>0</v>
      </c>
      <c r="AB86" s="3"/>
      <c r="AC86" s="3">
        <f t="shared" si="7"/>
        <v>2536971</v>
      </c>
      <c r="AD86" s="3"/>
      <c r="AE86" s="3">
        <v>0</v>
      </c>
      <c r="AF86" s="3"/>
      <c r="AG86" s="3">
        <f t="shared" si="6"/>
        <v>8318002</v>
      </c>
    </row>
    <row r="87" spans="1:33" s="102" customFormat="1">
      <c r="A87" s="3" t="s">
        <v>164</v>
      </c>
      <c r="B87" s="103"/>
      <c r="C87" s="103" t="s">
        <v>165</v>
      </c>
      <c r="E87" s="103">
        <v>125682</v>
      </c>
      <c r="G87" s="3">
        <v>2262143</v>
      </c>
      <c r="H87" s="3"/>
      <c r="I87" s="3">
        <v>2922739</v>
      </c>
      <c r="J87" s="3"/>
      <c r="K87" s="3">
        <v>0</v>
      </c>
      <c r="L87" s="3"/>
      <c r="M87" s="3">
        <f t="shared" si="2"/>
        <v>5184882</v>
      </c>
      <c r="N87" s="3"/>
      <c r="O87" s="3">
        <v>0</v>
      </c>
      <c r="P87" s="1"/>
      <c r="Q87" s="3">
        <v>389947</v>
      </c>
      <c r="R87" s="3"/>
      <c r="S87" s="3">
        <v>7423</v>
      </c>
      <c r="T87" s="3"/>
      <c r="U87" s="3">
        <v>0</v>
      </c>
      <c r="V87" s="3"/>
      <c r="W87" s="3">
        <v>0</v>
      </c>
      <c r="X87" s="3"/>
      <c r="Y87" s="3">
        <v>10008</v>
      </c>
      <c r="Z87" s="30"/>
      <c r="AA87" s="3">
        <v>0</v>
      </c>
      <c r="AB87" s="3"/>
      <c r="AC87" s="3">
        <f t="shared" si="7"/>
        <v>407378</v>
      </c>
      <c r="AD87" s="3"/>
      <c r="AE87" s="3">
        <v>0</v>
      </c>
      <c r="AF87" s="3"/>
      <c r="AG87" s="3">
        <f t="shared" si="6"/>
        <v>5592260</v>
      </c>
    </row>
    <row r="88" spans="1:33" s="102" customFormat="1">
      <c r="A88" s="107" t="s">
        <v>313</v>
      </c>
      <c r="B88" s="103"/>
      <c r="C88" s="103" t="s">
        <v>166</v>
      </c>
      <c r="E88" s="103">
        <v>47159</v>
      </c>
      <c r="G88" s="3">
        <v>10535710</v>
      </c>
      <c r="H88" s="3"/>
      <c r="I88" s="3">
        <v>210611</v>
      </c>
      <c r="J88" s="3"/>
      <c r="K88" s="3">
        <v>0</v>
      </c>
      <c r="L88" s="3"/>
      <c r="M88" s="3">
        <f t="shared" si="2"/>
        <v>10746321</v>
      </c>
      <c r="N88" s="3"/>
      <c r="O88" s="3">
        <v>0</v>
      </c>
      <c r="P88" s="1"/>
      <c r="Q88" s="3">
        <v>1738459</v>
      </c>
      <c r="R88" s="3"/>
      <c r="S88" s="3">
        <v>5229</v>
      </c>
      <c r="T88" s="3"/>
      <c r="U88" s="3">
        <v>0</v>
      </c>
      <c r="V88" s="3"/>
      <c r="W88" s="3">
        <v>0</v>
      </c>
      <c r="X88" s="3"/>
      <c r="Y88" s="3">
        <v>77342</v>
      </c>
      <c r="Z88" s="30"/>
      <c r="AA88" s="3">
        <v>0</v>
      </c>
      <c r="AB88" s="3"/>
      <c r="AC88" s="3">
        <f t="shared" si="7"/>
        <v>1821030</v>
      </c>
      <c r="AD88" s="3"/>
      <c r="AE88" s="3">
        <v>0</v>
      </c>
      <c r="AF88" s="3"/>
      <c r="AG88" s="3">
        <f t="shared" si="6"/>
        <v>12567351</v>
      </c>
    </row>
    <row r="89" spans="1:33" s="102" customFormat="1">
      <c r="A89" s="103" t="s">
        <v>291</v>
      </c>
      <c r="B89" s="103"/>
      <c r="C89" s="103" t="s">
        <v>167</v>
      </c>
      <c r="E89" s="103">
        <v>47233</v>
      </c>
      <c r="G89" s="3">
        <v>9352578</v>
      </c>
      <c r="H89" s="3"/>
      <c r="I89" s="3">
        <v>933933</v>
      </c>
      <c r="J89" s="3"/>
      <c r="K89" s="3">
        <v>0</v>
      </c>
      <c r="L89" s="3"/>
      <c r="M89" s="3">
        <f t="shared" ref="M89:M131" si="8">SUM(G89:L89)</f>
        <v>10286511</v>
      </c>
      <c r="N89" s="3"/>
      <c r="O89" s="3">
        <v>0</v>
      </c>
      <c r="P89" s="1"/>
      <c r="Q89" s="3">
        <v>1192053</v>
      </c>
      <c r="R89" s="3"/>
      <c r="S89" s="3">
        <v>0</v>
      </c>
      <c r="T89" s="3"/>
      <c r="U89" s="3">
        <v>0</v>
      </c>
      <c r="V89" s="3"/>
      <c r="W89" s="3">
        <v>0</v>
      </c>
      <c r="X89" s="3"/>
      <c r="Y89" s="3">
        <v>228757</v>
      </c>
      <c r="Z89" s="30"/>
      <c r="AA89" s="3">
        <v>0</v>
      </c>
      <c r="AB89" s="3"/>
      <c r="AC89" s="3">
        <f t="shared" si="7"/>
        <v>1420810</v>
      </c>
      <c r="AD89" s="3"/>
      <c r="AE89" s="3">
        <v>0</v>
      </c>
      <c r="AF89" s="3"/>
      <c r="AG89" s="3">
        <f t="shared" si="6"/>
        <v>11707321</v>
      </c>
    </row>
    <row r="90" spans="1:33" s="102" customFormat="1">
      <c r="A90" s="103" t="s">
        <v>292</v>
      </c>
      <c r="B90" s="103"/>
      <c r="C90" s="103" t="s">
        <v>168</v>
      </c>
      <c r="E90" s="103">
        <v>47324</v>
      </c>
      <c r="G90" s="3">
        <v>31346299</v>
      </c>
      <c r="H90" s="3"/>
      <c r="I90" s="3">
        <v>8792365</v>
      </c>
      <c r="J90" s="3"/>
      <c r="K90" s="3">
        <v>0</v>
      </c>
      <c r="L90" s="3"/>
      <c r="M90" s="3">
        <f t="shared" si="8"/>
        <v>40138664</v>
      </c>
      <c r="N90" s="3"/>
      <c r="O90" s="3">
        <v>0</v>
      </c>
      <c r="P90" s="1"/>
      <c r="Q90" s="3">
        <v>3169089</v>
      </c>
      <c r="R90" s="3"/>
      <c r="S90" s="3">
        <v>0</v>
      </c>
      <c r="T90" s="3"/>
      <c r="U90" s="3">
        <v>0</v>
      </c>
      <c r="V90" s="3"/>
      <c r="W90" s="3">
        <v>0</v>
      </c>
      <c r="X90" s="3"/>
      <c r="Y90" s="3">
        <v>120159</v>
      </c>
      <c r="Z90" s="30"/>
      <c r="AA90" s="3">
        <v>0</v>
      </c>
      <c r="AB90" s="3"/>
      <c r="AC90" s="3">
        <f t="shared" si="7"/>
        <v>3289248</v>
      </c>
      <c r="AD90" s="3"/>
      <c r="AE90" s="3">
        <v>0</v>
      </c>
      <c r="AF90" s="3"/>
      <c r="AG90" s="3">
        <f t="shared" si="6"/>
        <v>43427912</v>
      </c>
    </row>
    <row r="91" spans="1:33" s="102" customFormat="1">
      <c r="A91" s="103" t="s">
        <v>293</v>
      </c>
      <c r="B91" s="103"/>
      <c r="C91" s="103" t="s">
        <v>169</v>
      </c>
      <c r="E91" s="103">
        <v>47407</v>
      </c>
      <c r="G91" s="3">
        <v>5146856</v>
      </c>
      <c r="H91" s="3"/>
      <c r="I91" s="3">
        <v>546736</v>
      </c>
      <c r="J91" s="3"/>
      <c r="K91" s="3">
        <v>0</v>
      </c>
      <c r="L91" s="3"/>
      <c r="M91" s="3">
        <f t="shared" si="8"/>
        <v>5693592</v>
      </c>
      <c r="N91" s="3"/>
      <c r="O91" s="3">
        <v>0</v>
      </c>
      <c r="P91" s="1"/>
      <c r="Q91" s="3">
        <v>272625</v>
      </c>
      <c r="R91" s="3"/>
      <c r="S91" s="3">
        <v>3322</v>
      </c>
      <c r="T91" s="3"/>
      <c r="U91" s="3">
        <v>0</v>
      </c>
      <c r="V91" s="3"/>
      <c r="W91" s="3">
        <v>0</v>
      </c>
      <c r="X91" s="3"/>
      <c r="Y91" s="3">
        <v>61103</v>
      </c>
      <c r="Z91" s="30"/>
      <c r="AA91" s="3">
        <v>0</v>
      </c>
      <c r="AB91" s="3"/>
      <c r="AC91" s="3">
        <f t="shared" si="7"/>
        <v>337050</v>
      </c>
      <c r="AD91" s="3"/>
      <c r="AE91" s="3">
        <v>0</v>
      </c>
      <c r="AF91" s="3"/>
      <c r="AG91" s="3">
        <f t="shared" si="6"/>
        <v>6030642</v>
      </c>
    </row>
    <row r="92" spans="1:33" s="65" customFormat="1" hidden="1">
      <c r="A92" s="59" t="s">
        <v>349</v>
      </c>
      <c r="B92" s="59"/>
      <c r="C92" s="59" t="s">
        <v>19</v>
      </c>
      <c r="E92" s="59">
        <v>47480</v>
      </c>
      <c r="G92" s="58">
        <v>0</v>
      </c>
      <c r="H92" s="58"/>
      <c r="I92" s="58">
        <v>0</v>
      </c>
      <c r="J92" s="58"/>
      <c r="K92" s="58">
        <v>0</v>
      </c>
      <c r="L92" s="58"/>
      <c r="M92" s="58">
        <f t="shared" si="8"/>
        <v>0</v>
      </c>
      <c r="N92" s="58"/>
      <c r="O92" s="58">
        <v>0</v>
      </c>
      <c r="P92" s="68"/>
      <c r="Q92" s="58">
        <v>0</v>
      </c>
      <c r="R92" s="58"/>
      <c r="S92" s="58">
        <v>0</v>
      </c>
      <c r="T92" s="58"/>
      <c r="U92" s="58">
        <v>0</v>
      </c>
      <c r="V92" s="58"/>
      <c r="W92" s="58">
        <v>0</v>
      </c>
      <c r="X92" s="58"/>
      <c r="Y92" s="58">
        <v>0</v>
      </c>
      <c r="Z92" s="67"/>
      <c r="AA92" s="58">
        <v>0</v>
      </c>
      <c r="AB92" s="58"/>
      <c r="AC92" s="58">
        <f t="shared" si="7"/>
        <v>0</v>
      </c>
      <c r="AD92" s="58"/>
      <c r="AE92" s="58">
        <v>0</v>
      </c>
      <c r="AF92" s="58"/>
      <c r="AG92" s="58">
        <f t="shared" si="6"/>
        <v>0</v>
      </c>
    </row>
    <row r="93" spans="1:33" s="102" customFormat="1">
      <c r="A93" s="103" t="s">
        <v>294</v>
      </c>
      <c r="B93" s="103"/>
      <c r="C93" s="103" t="s">
        <v>170</v>
      </c>
      <c r="E93" s="103">
        <v>47779</v>
      </c>
      <c r="G93" s="3">
        <v>4119142</v>
      </c>
      <c r="H93" s="3"/>
      <c r="I93" s="3">
        <v>147913</v>
      </c>
      <c r="J93" s="3"/>
      <c r="K93" s="3">
        <v>0</v>
      </c>
      <c r="L93" s="3"/>
      <c r="M93" s="3">
        <f t="shared" si="8"/>
        <v>4267055</v>
      </c>
      <c r="N93" s="3"/>
      <c r="O93" s="3">
        <v>0</v>
      </c>
      <c r="P93" s="1"/>
      <c r="Q93" s="3">
        <v>722979</v>
      </c>
      <c r="R93" s="3"/>
      <c r="S93" s="3">
        <v>7871</v>
      </c>
      <c r="T93" s="3"/>
      <c r="U93" s="3">
        <v>0</v>
      </c>
      <c r="V93" s="3"/>
      <c r="W93" s="3">
        <v>0</v>
      </c>
      <c r="X93" s="3"/>
      <c r="Y93" s="3">
        <v>0</v>
      </c>
      <c r="Z93" s="30"/>
      <c r="AA93" s="3">
        <v>0</v>
      </c>
      <c r="AB93" s="3"/>
      <c r="AC93" s="3">
        <f t="shared" si="7"/>
        <v>730850</v>
      </c>
      <c r="AD93" s="3"/>
      <c r="AE93" s="3">
        <v>0</v>
      </c>
      <c r="AF93" s="3"/>
      <c r="AG93" s="3">
        <f t="shared" si="6"/>
        <v>4997905</v>
      </c>
    </row>
    <row r="94" spans="1:33" s="102" customFormat="1">
      <c r="A94" s="103" t="s">
        <v>295</v>
      </c>
      <c r="B94" s="103"/>
      <c r="C94" s="103" t="s">
        <v>171</v>
      </c>
      <c r="E94" s="103">
        <v>47811</v>
      </c>
      <c r="G94" s="3">
        <v>4600665</v>
      </c>
      <c r="H94" s="3"/>
      <c r="I94" s="3">
        <v>990501</v>
      </c>
      <c r="J94" s="3"/>
      <c r="K94" s="3">
        <v>0</v>
      </c>
      <c r="L94" s="3"/>
      <c r="M94" s="3">
        <v>5591166</v>
      </c>
      <c r="N94" s="3"/>
      <c r="O94" s="3">
        <v>0</v>
      </c>
      <c r="P94" s="1"/>
      <c r="Q94" s="3">
        <v>291306</v>
      </c>
      <c r="R94" s="3"/>
      <c r="S94" s="3">
        <v>3854</v>
      </c>
      <c r="T94" s="3"/>
      <c r="U94" s="3">
        <v>0</v>
      </c>
      <c r="V94" s="3"/>
      <c r="W94" s="3">
        <v>0</v>
      </c>
      <c r="X94" s="3"/>
      <c r="Y94" s="3">
        <v>4360</v>
      </c>
      <c r="Z94" s="30"/>
      <c r="AA94" s="3">
        <v>0</v>
      </c>
      <c r="AB94" s="3"/>
      <c r="AC94" s="3">
        <v>299520</v>
      </c>
      <c r="AD94" s="3"/>
      <c r="AE94" s="3">
        <v>0</v>
      </c>
      <c r="AF94" s="3"/>
      <c r="AG94" s="3">
        <v>5890686</v>
      </c>
    </row>
    <row r="95" spans="1:33" s="102" customFormat="1">
      <c r="A95" s="103" t="s">
        <v>296</v>
      </c>
      <c r="B95" s="103"/>
      <c r="C95" s="103" t="s">
        <v>146</v>
      </c>
      <c r="E95" s="103">
        <v>47860</v>
      </c>
      <c r="G95" s="3">
        <v>9549385</v>
      </c>
      <c r="H95" s="3"/>
      <c r="I95" s="3">
        <v>2999660</v>
      </c>
      <c r="J95" s="3"/>
      <c r="K95" s="3">
        <v>0</v>
      </c>
      <c r="L95" s="3"/>
      <c r="M95" s="3">
        <v>12549045</v>
      </c>
      <c r="N95" s="3"/>
      <c r="O95" s="3">
        <v>4805893</v>
      </c>
      <c r="P95" s="1"/>
      <c r="Q95" s="3">
        <v>1910036</v>
      </c>
      <c r="R95" s="3"/>
      <c r="S95" s="3">
        <v>50</v>
      </c>
      <c r="T95" s="3"/>
      <c r="U95" s="3">
        <v>0</v>
      </c>
      <c r="V95" s="3"/>
      <c r="W95" s="3">
        <v>16150</v>
      </c>
      <c r="X95" s="3"/>
      <c r="Y95" s="3">
        <v>15586</v>
      </c>
      <c r="Z95" s="30"/>
      <c r="AA95" s="3">
        <v>0</v>
      </c>
      <c r="AB95" s="3"/>
      <c r="AC95" s="3">
        <v>6747715</v>
      </c>
      <c r="AD95" s="3"/>
      <c r="AE95" s="3">
        <v>0</v>
      </c>
      <c r="AF95" s="3"/>
      <c r="AG95" s="3">
        <v>19296760</v>
      </c>
    </row>
    <row r="96" spans="1:33" s="102" customFormat="1">
      <c r="A96" s="103" t="s">
        <v>297</v>
      </c>
      <c r="B96" s="103"/>
      <c r="C96" s="103" t="s">
        <v>172</v>
      </c>
      <c r="E96" s="103">
        <v>47910</v>
      </c>
      <c r="G96" s="3">
        <v>2380151</v>
      </c>
      <c r="H96" s="3"/>
      <c r="I96" s="3">
        <v>222618</v>
      </c>
      <c r="J96" s="3"/>
      <c r="K96" s="3">
        <v>0</v>
      </c>
      <c r="L96" s="3"/>
      <c r="M96" s="3">
        <f t="shared" si="8"/>
        <v>2602769</v>
      </c>
      <c r="N96" s="3"/>
      <c r="O96" s="3">
        <v>0</v>
      </c>
      <c r="P96" s="1"/>
      <c r="Q96" s="3">
        <v>256011</v>
      </c>
      <c r="R96" s="3"/>
      <c r="S96" s="3">
        <v>2974</v>
      </c>
      <c r="T96" s="3"/>
      <c r="U96" s="3">
        <v>0</v>
      </c>
      <c r="V96" s="3"/>
      <c r="W96" s="3">
        <v>663</v>
      </c>
      <c r="X96" s="3"/>
      <c r="Y96" s="3">
        <v>25891</v>
      </c>
      <c r="Z96" s="30"/>
      <c r="AA96" s="3">
        <v>0</v>
      </c>
      <c r="AB96" s="3"/>
      <c r="AC96" s="3">
        <f t="shared" si="7"/>
        <v>285539</v>
      </c>
      <c r="AD96" s="3"/>
      <c r="AE96" s="3">
        <v>0</v>
      </c>
      <c r="AF96" s="3"/>
      <c r="AG96" s="3">
        <f t="shared" si="6"/>
        <v>2888308</v>
      </c>
    </row>
    <row r="97" spans="1:33" s="65" customFormat="1" hidden="1">
      <c r="A97" s="58" t="s">
        <v>386</v>
      </c>
      <c r="B97" s="58"/>
      <c r="C97" s="58" t="s">
        <v>173</v>
      </c>
      <c r="E97" s="59">
        <v>47977</v>
      </c>
      <c r="G97" s="58">
        <v>0</v>
      </c>
      <c r="H97" s="58"/>
      <c r="I97" s="58">
        <v>0</v>
      </c>
      <c r="J97" s="58"/>
      <c r="K97" s="58">
        <v>0</v>
      </c>
      <c r="L97" s="58"/>
      <c r="M97" s="58">
        <f>SUM(G97:L97)</f>
        <v>0</v>
      </c>
      <c r="N97" s="58"/>
      <c r="O97" s="58">
        <v>0</v>
      </c>
      <c r="P97" s="68"/>
      <c r="Q97" s="58">
        <v>0</v>
      </c>
      <c r="R97" s="58"/>
      <c r="S97" s="58">
        <v>0</v>
      </c>
      <c r="T97" s="58"/>
      <c r="U97" s="58">
        <v>0</v>
      </c>
      <c r="V97" s="58"/>
      <c r="W97" s="58">
        <v>0</v>
      </c>
      <c r="X97" s="58"/>
      <c r="Y97" s="58">
        <v>0</v>
      </c>
      <c r="Z97" s="67"/>
      <c r="AA97" s="58">
        <v>0</v>
      </c>
      <c r="AB97" s="58"/>
      <c r="AC97" s="58">
        <f t="shared" si="7"/>
        <v>0</v>
      </c>
      <c r="AD97" s="58"/>
      <c r="AE97" s="58">
        <v>0</v>
      </c>
      <c r="AF97" s="58"/>
      <c r="AG97" s="58">
        <f>+AC97+M97+AE97</f>
        <v>0</v>
      </c>
    </row>
    <row r="98" spans="1:33" s="102" customFormat="1">
      <c r="A98" s="103" t="s">
        <v>298</v>
      </c>
      <c r="B98" s="103"/>
      <c r="C98" s="103" t="s">
        <v>174</v>
      </c>
      <c r="E98" s="103">
        <v>48058</v>
      </c>
      <c r="G98" s="3">
        <v>3769049</v>
      </c>
      <c r="H98" s="3"/>
      <c r="I98" s="3">
        <v>127581</v>
      </c>
      <c r="J98" s="3"/>
      <c r="K98" s="3">
        <v>0</v>
      </c>
      <c r="L98" s="3"/>
      <c r="M98" s="3">
        <f t="shared" si="8"/>
        <v>3896630</v>
      </c>
      <c r="N98" s="3"/>
      <c r="O98" s="3">
        <v>0</v>
      </c>
      <c r="P98" s="1"/>
      <c r="Q98" s="3">
        <v>180035</v>
      </c>
      <c r="R98" s="3"/>
      <c r="S98" s="3">
        <v>0</v>
      </c>
      <c r="T98" s="3"/>
      <c r="U98" s="3">
        <v>0</v>
      </c>
      <c r="V98" s="3"/>
      <c r="W98" s="3">
        <v>7501</v>
      </c>
      <c r="X98" s="3"/>
      <c r="Y98" s="3">
        <v>330950</v>
      </c>
      <c r="Z98" s="30"/>
      <c r="AA98" s="3">
        <v>0</v>
      </c>
      <c r="AB98" s="3"/>
      <c r="AC98" s="3">
        <f t="shared" si="7"/>
        <v>518486</v>
      </c>
      <c r="AD98" s="3"/>
      <c r="AE98" s="3">
        <v>0</v>
      </c>
      <c r="AF98" s="3"/>
      <c r="AG98" s="3">
        <f t="shared" si="6"/>
        <v>4415116</v>
      </c>
    </row>
    <row r="99" spans="1:33" s="92" customFormat="1" hidden="1">
      <c r="A99" s="89" t="s">
        <v>351</v>
      </c>
      <c r="B99" s="89"/>
      <c r="C99" s="89" t="s">
        <v>142</v>
      </c>
      <c r="E99" s="89">
        <v>48108</v>
      </c>
      <c r="G99" s="88">
        <v>0</v>
      </c>
      <c r="H99" s="88"/>
      <c r="I99" s="88">
        <v>0</v>
      </c>
      <c r="J99" s="88"/>
      <c r="K99" s="88">
        <v>0</v>
      </c>
      <c r="L99" s="88"/>
      <c r="M99" s="88">
        <f t="shared" si="8"/>
        <v>0</v>
      </c>
      <c r="N99" s="88"/>
      <c r="O99" s="88">
        <v>0</v>
      </c>
      <c r="P99" s="93"/>
      <c r="Q99" s="88">
        <v>0</v>
      </c>
      <c r="R99" s="88"/>
      <c r="S99" s="88">
        <v>0</v>
      </c>
      <c r="T99" s="88"/>
      <c r="U99" s="88">
        <v>0</v>
      </c>
      <c r="V99" s="88"/>
      <c r="W99" s="88">
        <v>0</v>
      </c>
      <c r="X99" s="88"/>
      <c r="Y99" s="88">
        <v>0</v>
      </c>
      <c r="Z99" s="94"/>
      <c r="AA99" s="88">
        <v>0</v>
      </c>
      <c r="AB99" s="88"/>
      <c r="AC99" s="88">
        <f t="shared" si="7"/>
        <v>0</v>
      </c>
      <c r="AD99" s="88"/>
      <c r="AE99" s="88">
        <v>0</v>
      </c>
      <c r="AF99" s="88"/>
      <c r="AG99" s="88">
        <f t="shared" si="6"/>
        <v>0</v>
      </c>
    </row>
    <row r="100" spans="1:33" s="102" customFormat="1">
      <c r="A100" s="103" t="s">
        <v>350</v>
      </c>
      <c r="B100" s="103"/>
      <c r="C100" s="103" t="s">
        <v>175</v>
      </c>
      <c r="E100" s="103">
        <v>48199</v>
      </c>
      <c r="G100" s="3">
        <v>17087384</v>
      </c>
      <c r="H100" s="3"/>
      <c r="I100" s="3">
        <v>3972656</v>
      </c>
      <c r="J100" s="3"/>
      <c r="K100" s="3">
        <v>0</v>
      </c>
      <c r="L100" s="3"/>
      <c r="M100" s="3">
        <f t="shared" si="8"/>
        <v>21060040</v>
      </c>
      <c r="N100" s="3"/>
      <c r="O100" s="3">
        <v>0</v>
      </c>
      <c r="P100" s="1"/>
      <c r="Q100" s="3">
        <v>2679532</v>
      </c>
      <c r="R100" s="3"/>
      <c r="S100" s="3">
        <v>10312</v>
      </c>
      <c r="T100" s="3"/>
      <c r="U100" s="3">
        <v>0</v>
      </c>
      <c r="V100" s="3"/>
      <c r="W100" s="3">
        <v>0</v>
      </c>
      <c r="X100" s="3"/>
      <c r="Y100" s="3">
        <v>240997</v>
      </c>
      <c r="Z100" s="30"/>
      <c r="AA100" s="3">
        <v>0</v>
      </c>
      <c r="AB100" s="3"/>
      <c r="AC100" s="3">
        <f t="shared" si="7"/>
        <v>2930841</v>
      </c>
      <c r="AD100" s="3"/>
      <c r="AE100" s="3">
        <v>0</v>
      </c>
      <c r="AF100" s="3"/>
      <c r="AG100" s="3">
        <f t="shared" si="6"/>
        <v>23990881</v>
      </c>
    </row>
    <row r="101" spans="1:33" s="65" customFormat="1" hidden="1">
      <c r="A101" s="58" t="s">
        <v>316</v>
      </c>
      <c r="B101" s="59"/>
      <c r="C101" s="59" t="s">
        <v>151</v>
      </c>
      <c r="E101" s="59">
        <v>137364</v>
      </c>
      <c r="G101" s="58">
        <v>0</v>
      </c>
      <c r="H101" s="58"/>
      <c r="I101" s="58">
        <v>0</v>
      </c>
      <c r="J101" s="58"/>
      <c r="K101" s="58">
        <v>0</v>
      </c>
      <c r="L101" s="58"/>
      <c r="M101" s="58">
        <f t="shared" si="8"/>
        <v>0</v>
      </c>
      <c r="N101" s="58"/>
      <c r="O101" s="58">
        <v>0</v>
      </c>
      <c r="P101" s="68"/>
      <c r="Q101" s="58">
        <v>0</v>
      </c>
      <c r="R101" s="58"/>
      <c r="S101" s="58">
        <v>0</v>
      </c>
      <c r="T101" s="58"/>
      <c r="U101" s="58">
        <v>0</v>
      </c>
      <c r="V101" s="58"/>
      <c r="W101" s="58">
        <v>0</v>
      </c>
      <c r="X101" s="58"/>
      <c r="Y101" s="58">
        <v>0</v>
      </c>
      <c r="Z101" s="67"/>
      <c r="AA101" s="58">
        <v>0</v>
      </c>
      <c r="AB101" s="58"/>
      <c r="AC101" s="58">
        <f t="shared" si="7"/>
        <v>0</v>
      </c>
      <c r="AD101" s="58"/>
      <c r="AE101" s="58">
        <v>0</v>
      </c>
      <c r="AF101" s="58"/>
      <c r="AG101" s="58">
        <f t="shared" si="6"/>
        <v>0</v>
      </c>
    </row>
    <row r="102" spans="1:33" s="102" customFormat="1">
      <c r="A102" s="3" t="s">
        <v>317</v>
      </c>
      <c r="B102" s="103"/>
      <c r="C102" s="103" t="s">
        <v>176</v>
      </c>
      <c r="E102" s="103">
        <v>48280</v>
      </c>
      <c r="G102" s="3">
        <v>16061500</v>
      </c>
      <c r="H102" s="3"/>
      <c r="I102" s="3">
        <v>3707781</v>
      </c>
      <c r="J102" s="3"/>
      <c r="K102" s="3">
        <v>0</v>
      </c>
      <c r="L102" s="3"/>
      <c r="M102" s="3">
        <f t="shared" si="8"/>
        <v>19769281</v>
      </c>
      <c r="N102" s="3"/>
      <c r="O102" s="3">
        <v>0</v>
      </c>
      <c r="P102" s="1"/>
      <c r="Q102" s="3">
        <v>1685600</v>
      </c>
      <c r="R102" s="3"/>
      <c r="S102" s="3">
        <v>18669</v>
      </c>
      <c r="T102" s="3"/>
      <c r="U102" s="3">
        <v>0</v>
      </c>
      <c r="V102" s="3"/>
      <c r="W102" s="3">
        <v>0</v>
      </c>
      <c r="X102" s="3"/>
      <c r="Y102" s="3">
        <v>137438</v>
      </c>
      <c r="Z102" s="30"/>
      <c r="AA102" s="3">
        <v>0</v>
      </c>
      <c r="AB102" s="3"/>
      <c r="AC102" s="3">
        <f t="shared" si="7"/>
        <v>1841707</v>
      </c>
      <c r="AD102" s="3"/>
      <c r="AE102" s="3">
        <v>0</v>
      </c>
      <c r="AF102" s="3"/>
      <c r="AG102" s="3">
        <f t="shared" ref="AG102:AG131" si="9">+AC102+M102</f>
        <v>21610988</v>
      </c>
    </row>
    <row r="103" spans="1:33" s="102" customFormat="1">
      <c r="A103" s="3" t="s">
        <v>177</v>
      </c>
      <c r="B103" s="103"/>
      <c r="C103" s="103" t="s">
        <v>178</v>
      </c>
      <c r="E103" s="103">
        <v>48454</v>
      </c>
      <c r="G103" s="3">
        <v>3512957</v>
      </c>
      <c r="H103" s="3"/>
      <c r="I103" s="3">
        <v>120229</v>
      </c>
      <c r="J103" s="3"/>
      <c r="K103" s="3">
        <v>0</v>
      </c>
      <c r="L103" s="3"/>
      <c r="M103" s="3">
        <f t="shared" si="8"/>
        <v>3633186</v>
      </c>
      <c r="N103" s="3"/>
      <c r="O103" s="3">
        <v>0</v>
      </c>
      <c r="P103" s="1"/>
      <c r="Q103" s="3">
        <v>1260220</v>
      </c>
      <c r="R103" s="3"/>
      <c r="S103" s="3">
        <v>879</v>
      </c>
      <c r="T103" s="3"/>
      <c r="U103" s="3">
        <v>0</v>
      </c>
      <c r="V103" s="3"/>
      <c r="W103" s="3">
        <v>0</v>
      </c>
      <c r="X103" s="3"/>
      <c r="Y103" s="3">
        <v>8178</v>
      </c>
      <c r="Z103" s="30"/>
      <c r="AA103" s="3">
        <v>0</v>
      </c>
      <c r="AB103" s="3"/>
      <c r="AC103" s="3">
        <f t="shared" si="7"/>
        <v>1269277</v>
      </c>
      <c r="AD103" s="3"/>
      <c r="AE103" s="3">
        <v>0</v>
      </c>
      <c r="AF103" s="3"/>
      <c r="AG103" s="3">
        <f t="shared" si="9"/>
        <v>4902463</v>
      </c>
    </row>
    <row r="104" spans="1:33" s="65" customFormat="1" hidden="1">
      <c r="A104" s="58" t="s">
        <v>318</v>
      </c>
      <c r="B104" s="59"/>
      <c r="C104" s="59" t="s">
        <v>179</v>
      </c>
      <c r="E104" s="59">
        <v>48546</v>
      </c>
      <c r="G104" s="58">
        <v>0</v>
      </c>
      <c r="H104" s="58"/>
      <c r="I104" s="58">
        <v>0</v>
      </c>
      <c r="J104" s="58"/>
      <c r="K104" s="58">
        <v>0</v>
      </c>
      <c r="L104" s="58"/>
      <c r="M104" s="58">
        <f t="shared" si="8"/>
        <v>0</v>
      </c>
      <c r="N104" s="58"/>
      <c r="O104" s="58">
        <v>0</v>
      </c>
      <c r="P104" s="68"/>
      <c r="Q104" s="58">
        <v>0</v>
      </c>
      <c r="R104" s="58"/>
      <c r="S104" s="58">
        <v>0</v>
      </c>
      <c r="T104" s="58"/>
      <c r="U104" s="58">
        <v>0</v>
      </c>
      <c r="V104" s="58"/>
      <c r="W104" s="58">
        <v>0</v>
      </c>
      <c r="X104" s="58"/>
      <c r="Y104" s="58">
        <v>0</v>
      </c>
      <c r="Z104" s="67"/>
      <c r="AA104" s="58">
        <v>0</v>
      </c>
      <c r="AB104" s="58"/>
      <c r="AC104" s="58">
        <f t="shared" si="7"/>
        <v>0</v>
      </c>
      <c r="AD104" s="58"/>
      <c r="AE104" s="58">
        <v>0</v>
      </c>
      <c r="AF104" s="58"/>
      <c r="AG104" s="58">
        <f t="shared" si="9"/>
        <v>0</v>
      </c>
    </row>
    <row r="105" spans="1:33" s="102" customFormat="1">
      <c r="A105" s="3" t="s">
        <v>319</v>
      </c>
      <c r="B105" s="103"/>
      <c r="C105" s="103" t="s">
        <v>180</v>
      </c>
      <c r="E105" s="103">
        <v>48603</v>
      </c>
      <c r="G105" s="3">
        <v>11835586</v>
      </c>
      <c r="H105" s="3"/>
      <c r="I105" s="3">
        <v>983130</v>
      </c>
      <c r="J105" s="3"/>
      <c r="K105" s="3">
        <v>0</v>
      </c>
      <c r="L105" s="3"/>
      <c r="M105" s="3">
        <f t="shared" si="8"/>
        <v>12818716</v>
      </c>
      <c r="N105" s="3"/>
      <c r="O105" s="3">
        <v>0</v>
      </c>
      <c r="P105" s="1"/>
      <c r="Q105" s="3">
        <v>429019</v>
      </c>
      <c r="R105" s="3"/>
      <c r="S105" s="3">
        <v>396</v>
      </c>
      <c r="T105" s="3"/>
      <c r="U105" s="3">
        <v>0</v>
      </c>
      <c r="V105" s="3"/>
      <c r="W105" s="3">
        <v>1000</v>
      </c>
      <c r="X105" s="3"/>
      <c r="Y105" s="3">
        <v>118760</v>
      </c>
      <c r="Z105" s="30"/>
      <c r="AA105" s="3">
        <v>0</v>
      </c>
      <c r="AB105" s="3"/>
      <c r="AC105" s="3">
        <f t="shared" si="7"/>
        <v>549175</v>
      </c>
      <c r="AD105" s="3"/>
      <c r="AE105" s="3">
        <v>0</v>
      </c>
      <c r="AF105" s="3"/>
      <c r="AG105" s="3">
        <f t="shared" si="9"/>
        <v>13367891</v>
      </c>
    </row>
    <row r="106" spans="1:33" s="65" customFormat="1" hidden="1">
      <c r="A106" s="58" t="s">
        <v>275</v>
      </c>
      <c r="B106" s="58"/>
      <c r="C106" s="58" t="s">
        <v>189</v>
      </c>
      <c r="E106" s="59">
        <v>12351</v>
      </c>
      <c r="G106" s="58">
        <v>0</v>
      </c>
      <c r="H106" s="58"/>
      <c r="I106" s="58">
        <v>0</v>
      </c>
      <c r="J106" s="58"/>
      <c r="K106" s="58">
        <v>0</v>
      </c>
      <c r="L106" s="58"/>
      <c r="M106" s="58">
        <f>SUM(G106:L106)</f>
        <v>0</v>
      </c>
      <c r="N106" s="58"/>
      <c r="O106" s="58">
        <v>0</v>
      </c>
      <c r="P106" s="68"/>
      <c r="Q106" s="58">
        <v>0</v>
      </c>
      <c r="R106" s="58"/>
      <c r="S106" s="58">
        <v>0</v>
      </c>
      <c r="T106" s="58"/>
      <c r="U106" s="58">
        <v>0</v>
      </c>
      <c r="V106" s="58"/>
      <c r="W106" s="58">
        <v>0</v>
      </c>
      <c r="X106" s="58"/>
      <c r="Y106" s="58">
        <v>0</v>
      </c>
      <c r="Z106" s="67"/>
      <c r="AA106" s="58">
        <v>0</v>
      </c>
      <c r="AB106" s="58"/>
      <c r="AC106" s="58">
        <f t="shared" si="7"/>
        <v>0</v>
      </c>
      <c r="AD106" s="58"/>
      <c r="AE106" s="58">
        <v>0</v>
      </c>
      <c r="AF106" s="58"/>
      <c r="AG106" s="58">
        <f t="shared" si="9"/>
        <v>0</v>
      </c>
    </row>
    <row r="107" spans="1:33" s="102" customFormat="1">
      <c r="A107" s="3" t="s">
        <v>320</v>
      </c>
      <c r="B107" s="103"/>
      <c r="C107" s="103" t="s">
        <v>181</v>
      </c>
      <c r="E107" s="103">
        <v>48660</v>
      </c>
      <c r="G107" s="3">
        <v>25572469</v>
      </c>
      <c r="H107" s="3"/>
      <c r="I107" s="3">
        <v>4295210</v>
      </c>
      <c r="J107" s="3"/>
      <c r="K107" s="3">
        <v>0</v>
      </c>
      <c r="L107" s="3"/>
      <c r="M107" s="3">
        <f t="shared" si="8"/>
        <v>29867679</v>
      </c>
      <c r="N107" s="3"/>
      <c r="O107" s="3">
        <v>0</v>
      </c>
      <c r="P107" s="1"/>
      <c r="Q107" s="3">
        <v>1218138</v>
      </c>
      <c r="R107" s="3"/>
      <c r="S107" s="3">
        <v>34671</v>
      </c>
      <c r="T107" s="3"/>
      <c r="U107" s="3">
        <v>0</v>
      </c>
      <c r="V107" s="3"/>
      <c r="W107" s="3">
        <v>5500</v>
      </c>
      <c r="X107" s="3"/>
      <c r="Y107" s="3">
        <v>47038</v>
      </c>
      <c r="Z107" s="30"/>
      <c r="AA107" s="3">
        <v>0</v>
      </c>
      <c r="AB107" s="3"/>
      <c r="AC107" s="3">
        <f t="shared" si="7"/>
        <v>1305347</v>
      </c>
      <c r="AD107" s="3"/>
      <c r="AE107" s="3">
        <v>0</v>
      </c>
      <c r="AF107" s="3"/>
      <c r="AG107" s="3">
        <f t="shared" si="9"/>
        <v>31173026</v>
      </c>
    </row>
    <row r="108" spans="1:33" s="102" customFormat="1">
      <c r="A108" s="3" t="s">
        <v>182</v>
      </c>
      <c r="B108" s="103"/>
      <c r="C108" s="103" t="s">
        <v>183</v>
      </c>
      <c r="E108" s="103">
        <v>125252</v>
      </c>
      <c r="G108" s="3">
        <v>13233117</v>
      </c>
      <c r="H108" s="3"/>
      <c r="I108" s="3">
        <v>4655235</v>
      </c>
      <c r="J108" s="3"/>
      <c r="K108" s="3">
        <v>0</v>
      </c>
      <c r="L108" s="3"/>
      <c r="M108" s="3">
        <f t="shared" si="8"/>
        <v>17888352</v>
      </c>
      <c r="N108" s="3"/>
      <c r="O108" s="3">
        <v>0</v>
      </c>
      <c r="P108" s="1"/>
      <c r="Q108" s="3">
        <v>845308</v>
      </c>
      <c r="R108" s="3"/>
      <c r="S108" s="3">
        <v>18159</v>
      </c>
      <c r="T108" s="3"/>
      <c r="U108" s="3">
        <v>0</v>
      </c>
      <c r="V108" s="3"/>
      <c r="W108" s="3">
        <v>0</v>
      </c>
      <c r="X108" s="3"/>
      <c r="Y108" s="3">
        <v>141392</v>
      </c>
      <c r="Z108" s="30"/>
      <c r="AA108" s="3">
        <v>0</v>
      </c>
      <c r="AB108" s="3"/>
      <c r="AC108" s="3">
        <f t="shared" si="7"/>
        <v>1004859</v>
      </c>
      <c r="AD108" s="3"/>
      <c r="AE108" s="3">
        <v>0</v>
      </c>
      <c r="AF108" s="3"/>
      <c r="AG108" s="3">
        <f t="shared" si="9"/>
        <v>18893211</v>
      </c>
    </row>
    <row r="109" spans="1:33" s="102" customFormat="1">
      <c r="A109" s="3" t="s">
        <v>265</v>
      </c>
      <c r="B109" s="103"/>
      <c r="C109" s="103" t="s">
        <v>193</v>
      </c>
      <c r="E109" s="103">
        <v>123257</v>
      </c>
      <c r="G109" s="3">
        <v>13132255</v>
      </c>
      <c r="H109" s="3"/>
      <c r="I109" s="3">
        <v>2482212</v>
      </c>
      <c r="J109" s="3"/>
      <c r="K109" s="3">
        <v>0</v>
      </c>
      <c r="L109" s="3"/>
      <c r="M109" s="3">
        <f t="shared" ref="M109:M110" si="10">SUM(G109:L109)</f>
        <v>15614467</v>
      </c>
      <c r="N109" s="3"/>
      <c r="O109" s="3">
        <v>0</v>
      </c>
      <c r="P109" s="1"/>
      <c r="Q109" s="3">
        <v>2923657</v>
      </c>
      <c r="R109" s="3"/>
      <c r="S109" s="3">
        <v>1329</v>
      </c>
      <c r="T109" s="3"/>
      <c r="U109" s="3">
        <v>0</v>
      </c>
      <c r="V109" s="3"/>
      <c r="W109" s="3">
        <v>0</v>
      </c>
      <c r="X109" s="3"/>
      <c r="Y109" s="3">
        <v>152617</v>
      </c>
      <c r="Z109" s="30"/>
      <c r="AA109" s="3">
        <v>0</v>
      </c>
      <c r="AB109" s="3"/>
      <c r="AC109" s="3">
        <f t="shared" ref="AC109" si="11">SUM(O109:AA109)</f>
        <v>3077603</v>
      </c>
      <c r="AD109" s="3"/>
      <c r="AE109" s="3">
        <v>0</v>
      </c>
      <c r="AF109" s="3"/>
      <c r="AG109" s="3">
        <f t="shared" si="9"/>
        <v>18692070</v>
      </c>
    </row>
    <row r="110" spans="1:33" s="102" customFormat="1">
      <c r="A110" s="103" t="s">
        <v>299</v>
      </c>
      <c r="B110" s="103"/>
      <c r="C110" s="103" t="s">
        <v>160</v>
      </c>
      <c r="E110" s="12">
        <v>125690</v>
      </c>
      <c r="G110" s="3">
        <v>17741784</v>
      </c>
      <c r="H110" s="3"/>
      <c r="I110" s="3">
        <v>714842</v>
      </c>
      <c r="J110" s="3"/>
      <c r="K110" s="3">
        <v>0</v>
      </c>
      <c r="L110" s="3"/>
      <c r="M110" s="3">
        <f t="shared" si="10"/>
        <v>18456626</v>
      </c>
      <c r="N110" s="3"/>
      <c r="O110" s="3">
        <v>0</v>
      </c>
      <c r="P110" s="1"/>
      <c r="Q110" s="3">
        <v>2583721</v>
      </c>
      <c r="R110" s="3"/>
      <c r="S110" s="3">
        <v>10797</v>
      </c>
      <c r="T110" s="3"/>
      <c r="U110" s="3">
        <v>0</v>
      </c>
      <c r="V110" s="3"/>
      <c r="W110" s="3">
        <v>0</v>
      </c>
      <c r="X110" s="3"/>
      <c r="Y110" s="3">
        <v>55303</v>
      </c>
      <c r="Z110" s="30"/>
      <c r="AA110" s="3">
        <v>0</v>
      </c>
      <c r="AB110" s="3"/>
      <c r="AC110" s="3">
        <f t="shared" ref="AC110" si="12">SUM(O110:AA110)</f>
        <v>2649821</v>
      </c>
      <c r="AD110" s="3"/>
      <c r="AE110" s="3">
        <v>0</v>
      </c>
      <c r="AF110" s="3"/>
      <c r="AG110" s="3">
        <f t="shared" ref="AG110" si="13">+AC110+M110</f>
        <v>21106447</v>
      </c>
    </row>
    <row r="111" spans="1:33" s="102" customFormat="1">
      <c r="A111" s="3" t="s">
        <v>163</v>
      </c>
      <c r="B111" s="103"/>
      <c r="C111" s="3" t="s">
        <v>321</v>
      </c>
      <c r="E111" s="103">
        <v>124297</v>
      </c>
      <c r="G111" s="3">
        <v>13007233</v>
      </c>
      <c r="H111" s="3"/>
      <c r="I111" s="3">
        <v>8102764</v>
      </c>
      <c r="J111" s="3"/>
      <c r="K111" s="3">
        <v>0</v>
      </c>
      <c r="L111" s="3"/>
      <c r="M111" s="3">
        <f t="shared" si="8"/>
        <v>21109997</v>
      </c>
      <c r="N111" s="3"/>
      <c r="O111" s="3">
        <v>0</v>
      </c>
      <c r="P111" s="1"/>
      <c r="Q111" s="3">
        <v>598800</v>
      </c>
      <c r="R111" s="3"/>
      <c r="S111" s="3">
        <v>2012</v>
      </c>
      <c r="T111" s="3"/>
      <c r="U111" s="3">
        <v>0</v>
      </c>
      <c r="V111" s="3"/>
      <c r="W111" s="3">
        <v>0</v>
      </c>
      <c r="X111" s="3"/>
      <c r="Y111" s="3">
        <f>200963+63921</f>
        <v>264884</v>
      </c>
      <c r="Z111" s="30"/>
      <c r="AA111" s="3">
        <v>0</v>
      </c>
      <c r="AB111" s="3"/>
      <c r="AC111" s="3">
        <f t="shared" si="7"/>
        <v>865696</v>
      </c>
      <c r="AD111" s="3"/>
      <c r="AE111" s="3">
        <v>0</v>
      </c>
      <c r="AF111" s="3"/>
      <c r="AG111" s="3">
        <f t="shared" si="9"/>
        <v>21975693</v>
      </c>
    </row>
    <row r="112" spans="1:33" s="102" customFormat="1">
      <c r="A112" s="3" t="s">
        <v>308</v>
      </c>
      <c r="B112" s="103"/>
      <c r="C112" s="3" t="s">
        <v>259</v>
      </c>
      <c r="E112" s="103">
        <v>123281</v>
      </c>
      <c r="G112" s="3">
        <v>5845729</v>
      </c>
      <c r="H112" s="3"/>
      <c r="I112" s="3">
        <v>2383107</v>
      </c>
      <c r="J112" s="3"/>
      <c r="K112" s="3">
        <v>0</v>
      </c>
      <c r="L112" s="3"/>
      <c r="M112" s="3">
        <f t="shared" si="8"/>
        <v>8228836</v>
      </c>
      <c r="N112" s="3"/>
      <c r="O112" s="3">
        <v>0</v>
      </c>
      <c r="P112" s="1"/>
      <c r="Q112" s="3">
        <v>692822</v>
      </c>
      <c r="R112" s="3"/>
      <c r="S112" s="3">
        <v>3378</v>
      </c>
      <c r="T112" s="3"/>
      <c r="U112" s="3">
        <v>0</v>
      </c>
      <c r="V112" s="3"/>
      <c r="W112" s="3">
        <v>0</v>
      </c>
      <c r="X112" s="3"/>
      <c r="Y112" s="3">
        <v>20401</v>
      </c>
      <c r="Z112" s="30"/>
      <c r="AA112" s="3">
        <v>0</v>
      </c>
      <c r="AB112" s="3"/>
      <c r="AC112" s="3">
        <f t="shared" si="7"/>
        <v>716601</v>
      </c>
      <c r="AD112" s="3"/>
      <c r="AE112" s="3">
        <v>0</v>
      </c>
      <c r="AF112" s="3"/>
      <c r="AG112" s="3">
        <f t="shared" si="9"/>
        <v>8945437</v>
      </c>
    </row>
    <row r="113" spans="1:33" s="92" customFormat="1" hidden="1">
      <c r="A113" s="88" t="s">
        <v>355</v>
      </c>
      <c r="B113" s="89"/>
      <c r="C113" s="89" t="s">
        <v>184</v>
      </c>
      <c r="E113" s="89">
        <v>125674</v>
      </c>
      <c r="G113" s="88">
        <v>0</v>
      </c>
      <c r="H113" s="88"/>
      <c r="I113" s="88">
        <v>0</v>
      </c>
      <c r="J113" s="88"/>
      <c r="K113" s="88">
        <v>0</v>
      </c>
      <c r="L113" s="88"/>
      <c r="M113" s="88">
        <f t="shared" si="8"/>
        <v>0</v>
      </c>
      <c r="N113" s="88"/>
      <c r="O113" s="88">
        <v>0</v>
      </c>
      <c r="P113" s="93"/>
      <c r="Q113" s="88">
        <v>0</v>
      </c>
      <c r="R113" s="88"/>
      <c r="S113" s="88">
        <v>0</v>
      </c>
      <c r="T113" s="88"/>
      <c r="U113" s="88">
        <v>0</v>
      </c>
      <c r="V113" s="88"/>
      <c r="W113" s="88">
        <v>0</v>
      </c>
      <c r="X113" s="88"/>
      <c r="Y113" s="88">
        <v>0</v>
      </c>
      <c r="Z113" s="94"/>
      <c r="AA113" s="88">
        <v>0</v>
      </c>
      <c r="AB113" s="88"/>
      <c r="AC113" s="88">
        <f t="shared" si="7"/>
        <v>0</v>
      </c>
      <c r="AD113" s="88"/>
      <c r="AE113" s="88">
        <v>0</v>
      </c>
      <c r="AF113" s="88"/>
      <c r="AG113" s="88">
        <f t="shared" si="9"/>
        <v>0</v>
      </c>
    </row>
    <row r="114" spans="1:33" s="102" customFormat="1">
      <c r="A114" s="3" t="s">
        <v>332</v>
      </c>
      <c r="B114" s="103"/>
      <c r="C114" s="103" t="s">
        <v>185</v>
      </c>
      <c r="E114" s="103">
        <v>49072</v>
      </c>
      <c r="G114" s="3">
        <v>3214034</v>
      </c>
      <c r="H114" s="3"/>
      <c r="I114" s="3">
        <v>785484</v>
      </c>
      <c r="J114" s="3"/>
      <c r="K114" s="3">
        <v>0</v>
      </c>
      <c r="L114" s="3"/>
      <c r="M114" s="3">
        <f t="shared" si="8"/>
        <v>3999518</v>
      </c>
      <c r="N114" s="3"/>
      <c r="O114" s="3">
        <v>0</v>
      </c>
      <c r="P114" s="1"/>
      <c r="Q114" s="3">
        <v>243638</v>
      </c>
      <c r="R114" s="3"/>
      <c r="S114" s="3">
        <v>0</v>
      </c>
      <c r="T114" s="3"/>
      <c r="U114" s="3">
        <v>0</v>
      </c>
      <c r="V114" s="3"/>
      <c r="W114" s="3">
        <v>0</v>
      </c>
      <c r="X114" s="3"/>
      <c r="Y114" s="3">
        <v>84524</v>
      </c>
      <c r="Z114" s="30"/>
      <c r="AA114" s="3">
        <v>0</v>
      </c>
      <c r="AB114" s="3"/>
      <c r="AC114" s="3">
        <f t="shared" si="7"/>
        <v>328162</v>
      </c>
      <c r="AD114" s="3"/>
      <c r="AE114" s="3">
        <v>0</v>
      </c>
      <c r="AF114" s="3"/>
      <c r="AG114" s="3">
        <f t="shared" si="9"/>
        <v>4327680</v>
      </c>
    </row>
    <row r="115" spans="1:33" s="102" customFormat="1">
      <c r="A115" s="3" t="s">
        <v>323</v>
      </c>
      <c r="B115" s="103"/>
      <c r="C115" s="103" t="s">
        <v>186</v>
      </c>
      <c r="E115" s="103">
        <v>49163</v>
      </c>
      <c r="G115" s="3">
        <v>7278543</v>
      </c>
      <c r="H115" s="3"/>
      <c r="I115" s="3">
        <v>254091</v>
      </c>
      <c r="J115" s="3"/>
      <c r="K115" s="3">
        <v>0</v>
      </c>
      <c r="L115" s="3"/>
      <c r="M115" s="3">
        <f t="shared" si="8"/>
        <v>7532634</v>
      </c>
      <c r="N115" s="3"/>
      <c r="O115" s="3">
        <v>0</v>
      </c>
      <c r="P115" s="1"/>
      <c r="Q115" s="3">
        <v>1004830</v>
      </c>
      <c r="R115" s="3"/>
      <c r="S115" s="3">
        <v>325</v>
      </c>
      <c r="T115" s="3"/>
      <c r="U115" s="3">
        <v>0</v>
      </c>
      <c r="V115" s="3"/>
      <c r="W115" s="3">
        <v>0</v>
      </c>
      <c r="X115" s="3"/>
      <c r="Y115" s="3">
        <v>20128</v>
      </c>
      <c r="Z115" s="30"/>
      <c r="AA115" s="3">
        <v>0</v>
      </c>
      <c r="AB115" s="3"/>
      <c r="AC115" s="3">
        <f t="shared" si="7"/>
        <v>1025283</v>
      </c>
      <c r="AD115" s="3"/>
      <c r="AE115" s="3">
        <v>0</v>
      </c>
      <c r="AF115" s="3"/>
      <c r="AG115" s="3">
        <f t="shared" si="9"/>
        <v>8557917</v>
      </c>
    </row>
    <row r="116" spans="1:33" s="65" customFormat="1" hidden="1">
      <c r="A116" s="59" t="s">
        <v>324</v>
      </c>
      <c r="B116" s="59"/>
      <c r="C116" s="59" t="s">
        <v>187</v>
      </c>
      <c r="E116" s="59">
        <v>49254</v>
      </c>
      <c r="G116" s="58">
        <v>0</v>
      </c>
      <c r="H116" s="58"/>
      <c r="I116" s="58">
        <v>0</v>
      </c>
      <c r="J116" s="58"/>
      <c r="K116" s="58">
        <v>0</v>
      </c>
      <c r="L116" s="58"/>
      <c r="M116" s="58">
        <f t="shared" si="8"/>
        <v>0</v>
      </c>
      <c r="N116" s="58"/>
      <c r="O116" s="58">
        <v>0</v>
      </c>
      <c r="P116" s="68"/>
      <c r="Q116" s="58">
        <v>0</v>
      </c>
      <c r="R116" s="58"/>
      <c r="S116" s="58">
        <v>0</v>
      </c>
      <c r="T116" s="58"/>
      <c r="U116" s="58">
        <v>0</v>
      </c>
      <c r="V116" s="58"/>
      <c r="W116" s="58">
        <v>0</v>
      </c>
      <c r="X116" s="58"/>
      <c r="Y116" s="58">
        <v>0</v>
      </c>
      <c r="Z116" s="67"/>
      <c r="AA116" s="58">
        <v>0</v>
      </c>
      <c r="AB116" s="58"/>
      <c r="AC116" s="58">
        <f t="shared" si="7"/>
        <v>0</v>
      </c>
      <c r="AD116" s="58"/>
      <c r="AE116" s="58">
        <v>0</v>
      </c>
      <c r="AF116" s="58"/>
      <c r="AG116" s="58">
        <f t="shared" si="9"/>
        <v>0</v>
      </c>
    </row>
    <row r="117" spans="1:33" s="102" customFormat="1">
      <c r="A117" s="3" t="s">
        <v>325</v>
      </c>
      <c r="B117" s="103"/>
      <c r="C117" s="103" t="s">
        <v>188</v>
      </c>
      <c r="E117" s="103">
        <v>49304</v>
      </c>
      <c r="G117" s="3">
        <v>2224750</v>
      </c>
      <c r="H117" s="3"/>
      <c r="I117" s="3">
        <v>3084093</v>
      </c>
      <c r="J117" s="3"/>
      <c r="K117" s="3">
        <v>0</v>
      </c>
      <c r="L117" s="3"/>
      <c r="M117" s="3">
        <f t="shared" si="8"/>
        <v>5308843</v>
      </c>
      <c r="N117" s="3"/>
      <c r="O117" s="3">
        <v>0</v>
      </c>
      <c r="P117" s="1"/>
      <c r="Q117" s="3">
        <v>667693</v>
      </c>
      <c r="R117" s="3"/>
      <c r="S117" s="3">
        <v>3260</v>
      </c>
      <c r="T117" s="3"/>
      <c r="U117" s="3">
        <v>0</v>
      </c>
      <c r="V117" s="3"/>
      <c r="W117" s="3">
        <v>0</v>
      </c>
      <c r="X117" s="3"/>
      <c r="Y117" s="3">
        <v>11101</v>
      </c>
      <c r="Z117" s="30"/>
      <c r="AA117" s="3">
        <v>0</v>
      </c>
      <c r="AB117" s="3"/>
      <c r="AC117" s="3">
        <f t="shared" si="7"/>
        <v>682054</v>
      </c>
      <c r="AD117" s="3"/>
      <c r="AE117" s="3">
        <v>0</v>
      </c>
      <c r="AF117" s="3"/>
      <c r="AG117" s="3">
        <f t="shared" si="9"/>
        <v>5990897</v>
      </c>
    </row>
    <row r="118" spans="1:33" s="102" customFormat="1">
      <c r="A118" s="3" t="s">
        <v>326</v>
      </c>
      <c r="B118" s="103"/>
      <c r="C118" s="103" t="s">
        <v>190</v>
      </c>
      <c r="E118" s="103">
        <v>138222</v>
      </c>
      <c r="G118" s="3">
        <v>5426929</v>
      </c>
      <c r="H118" s="3"/>
      <c r="I118" s="3">
        <v>3255939</v>
      </c>
      <c r="J118" s="3"/>
      <c r="K118" s="3">
        <v>0</v>
      </c>
      <c r="L118" s="3"/>
      <c r="M118" s="3">
        <f t="shared" si="8"/>
        <v>8682868</v>
      </c>
      <c r="N118" s="3"/>
      <c r="O118" s="3">
        <v>0</v>
      </c>
      <c r="P118" s="1"/>
      <c r="Q118" s="3">
        <v>376975</v>
      </c>
      <c r="R118" s="3"/>
      <c r="S118" s="3">
        <v>7635</v>
      </c>
      <c r="T118" s="3"/>
      <c r="U118" s="3">
        <v>0</v>
      </c>
      <c r="V118" s="3"/>
      <c r="W118" s="3">
        <v>0</v>
      </c>
      <c r="X118" s="3"/>
      <c r="Y118" s="3">
        <v>278480</v>
      </c>
      <c r="Z118" s="30"/>
      <c r="AA118" s="3">
        <v>0</v>
      </c>
      <c r="AB118" s="3"/>
      <c r="AC118" s="3">
        <f t="shared" si="7"/>
        <v>663090</v>
      </c>
      <c r="AD118" s="3"/>
      <c r="AE118" s="3">
        <v>0</v>
      </c>
      <c r="AF118" s="3"/>
      <c r="AG118" s="3">
        <f t="shared" si="9"/>
        <v>9345958</v>
      </c>
    </row>
    <row r="119" spans="1:33" s="92" customFormat="1" hidden="1">
      <c r="A119" s="88" t="s">
        <v>300</v>
      </c>
      <c r="B119" s="89"/>
      <c r="C119" s="89" t="s">
        <v>191</v>
      </c>
      <c r="E119" s="89">
        <v>49551</v>
      </c>
      <c r="G119" s="88">
        <v>0</v>
      </c>
      <c r="H119" s="88"/>
      <c r="I119" s="88">
        <v>0</v>
      </c>
      <c r="J119" s="88"/>
      <c r="K119" s="88">
        <v>0</v>
      </c>
      <c r="L119" s="88"/>
      <c r="M119" s="88">
        <f t="shared" si="8"/>
        <v>0</v>
      </c>
      <c r="N119" s="88"/>
      <c r="O119" s="88">
        <v>0</v>
      </c>
      <c r="P119" s="93"/>
      <c r="Q119" s="88">
        <v>0</v>
      </c>
      <c r="R119" s="88"/>
      <c r="S119" s="88">
        <v>0</v>
      </c>
      <c r="T119" s="88"/>
      <c r="U119" s="88">
        <v>0</v>
      </c>
      <c r="V119" s="88"/>
      <c r="W119" s="88">
        <v>0</v>
      </c>
      <c r="X119" s="88"/>
      <c r="Y119" s="88">
        <v>0</v>
      </c>
      <c r="Z119" s="94"/>
      <c r="AA119" s="88">
        <v>0</v>
      </c>
      <c r="AB119" s="88"/>
      <c r="AC119" s="88">
        <f t="shared" si="7"/>
        <v>0</v>
      </c>
      <c r="AD119" s="88"/>
      <c r="AE119" s="88">
        <v>0</v>
      </c>
      <c r="AF119" s="88"/>
      <c r="AG119" s="88">
        <f t="shared" si="9"/>
        <v>0</v>
      </c>
    </row>
    <row r="120" spans="1:33" s="65" customFormat="1" hidden="1">
      <c r="A120" s="58" t="s">
        <v>384</v>
      </c>
      <c r="B120" s="59"/>
      <c r="C120" s="59" t="s">
        <v>194</v>
      </c>
      <c r="E120" s="59">
        <v>49742</v>
      </c>
      <c r="G120" s="58">
        <v>0</v>
      </c>
      <c r="H120" s="58"/>
      <c r="I120" s="58">
        <v>0</v>
      </c>
      <c r="J120" s="58"/>
      <c r="K120" s="58">
        <v>0</v>
      </c>
      <c r="L120" s="58"/>
      <c r="M120" s="58">
        <f t="shared" si="8"/>
        <v>0</v>
      </c>
      <c r="N120" s="58"/>
      <c r="O120" s="58">
        <v>0</v>
      </c>
      <c r="P120" s="68"/>
      <c r="Q120" s="58">
        <v>0</v>
      </c>
      <c r="R120" s="58"/>
      <c r="S120" s="58">
        <v>0</v>
      </c>
      <c r="T120" s="58"/>
      <c r="U120" s="58">
        <v>0</v>
      </c>
      <c r="V120" s="58"/>
      <c r="W120" s="58">
        <v>0</v>
      </c>
      <c r="X120" s="58"/>
      <c r="Y120" s="58">
        <v>0</v>
      </c>
      <c r="Z120" s="67"/>
      <c r="AA120" s="58">
        <v>0</v>
      </c>
      <c r="AB120" s="58"/>
      <c r="AC120" s="58">
        <f t="shared" si="7"/>
        <v>0</v>
      </c>
      <c r="AD120" s="58"/>
      <c r="AE120" s="58">
        <v>0</v>
      </c>
      <c r="AF120" s="58"/>
      <c r="AG120" s="58">
        <f t="shared" si="9"/>
        <v>0</v>
      </c>
    </row>
    <row r="121" spans="1:33" s="102" customFormat="1">
      <c r="A121" s="3" t="s">
        <v>263</v>
      </c>
      <c r="B121" s="103"/>
      <c r="C121" s="103" t="s">
        <v>192</v>
      </c>
      <c r="E121" s="103">
        <v>125658</v>
      </c>
      <c r="G121" s="3">
        <v>7810219</v>
      </c>
      <c r="H121" s="3"/>
      <c r="I121" s="3">
        <v>1138423</v>
      </c>
      <c r="J121" s="3"/>
      <c r="K121" s="3">
        <v>3921933</v>
      </c>
      <c r="L121" s="3"/>
      <c r="M121" s="3">
        <f t="shared" si="8"/>
        <v>12870575</v>
      </c>
      <c r="N121" s="3"/>
      <c r="O121" s="3">
        <v>0</v>
      </c>
      <c r="P121" s="1"/>
      <c r="Q121" s="3">
        <v>1086942</v>
      </c>
      <c r="R121" s="3"/>
      <c r="S121" s="3">
        <v>9286</v>
      </c>
      <c r="T121" s="3"/>
      <c r="U121" s="3">
        <v>0</v>
      </c>
      <c r="V121" s="3"/>
      <c r="W121" s="3">
        <v>0</v>
      </c>
      <c r="X121" s="3"/>
      <c r="Y121" s="3">
        <v>41</v>
      </c>
      <c r="Z121" s="30"/>
      <c r="AA121" s="3">
        <v>0</v>
      </c>
      <c r="AB121" s="3"/>
      <c r="AC121" s="3">
        <f t="shared" si="7"/>
        <v>1096269</v>
      </c>
      <c r="AD121" s="3"/>
      <c r="AE121" s="3">
        <v>0</v>
      </c>
      <c r="AF121" s="3"/>
      <c r="AG121" s="3">
        <f t="shared" si="9"/>
        <v>13966844</v>
      </c>
    </row>
    <row r="122" spans="1:33" s="102" customFormat="1">
      <c r="A122" s="3" t="s">
        <v>262</v>
      </c>
      <c r="B122" s="3"/>
      <c r="C122" s="3" t="s">
        <v>155</v>
      </c>
      <c r="E122" s="103">
        <v>46375</v>
      </c>
      <c r="G122" s="3">
        <v>2673204</v>
      </c>
      <c r="H122" s="3"/>
      <c r="I122" s="3">
        <v>379722</v>
      </c>
      <c r="J122" s="3"/>
      <c r="K122" s="3">
        <v>0</v>
      </c>
      <c r="L122" s="3"/>
      <c r="M122" s="3">
        <f>SUM(G122:L122)</f>
        <v>3052926</v>
      </c>
      <c r="N122" s="3"/>
      <c r="O122" s="3">
        <v>0</v>
      </c>
      <c r="P122" s="1"/>
      <c r="Q122" s="3">
        <v>692469</v>
      </c>
      <c r="R122" s="3"/>
      <c r="S122" s="3">
        <v>43297</v>
      </c>
      <c r="T122" s="3"/>
      <c r="U122" s="3">
        <v>0</v>
      </c>
      <c r="V122" s="3"/>
      <c r="W122" s="3">
        <v>1732</v>
      </c>
      <c r="X122" s="3"/>
      <c r="Y122" s="3">
        <v>30065</v>
      </c>
      <c r="Z122" s="30"/>
      <c r="AA122" s="3">
        <v>0</v>
      </c>
      <c r="AB122" s="3"/>
      <c r="AC122" s="3">
        <f t="shared" si="7"/>
        <v>767563</v>
      </c>
      <c r="AD122" s="3"/>
      <c r="AE122" s="3">
        <v>0</v>
      </c>
      <c r="AF122" s="3"/>
      <c r="AG122" s="3">
        <f t="shared" si="9"/>
        <v>3820489</v>
      </c>
    </row>
    <row r="123" spans="1:33" s="102" customFormat="1">
      <c r="A123" s="103" t="s">
        <v>330</v>
      </c>
      <c r="B123" s="103"/>
      <c r="C123" s="103" t="s">
        <v>195</v>
      </c>
      <c r="E123" s="103">
        <v>49825</v>
      </c>
      <c r="G123" s="3">
        <v>14969583</v>
      </c>
      <c r="H123" s="3"/>
      <c r="I123" s="3">
        <v>3055623</v>
      </c>
      <c r="J123" s="3"/>
      <c r="K123" s="3">
        <v>14875</v>
      </c>
      <c r="L123" s="3"/>
      <c r="M123" s="3">
        <f t="shared" si="8"/>
        <v>18040081</v>
      </c>
      <c r="N123" s="3"/>
      <c r="O123" s="3">
        <v>0</v>
      </c>
      <c r="P123" s="1"/>
      <c r="Q123" s="3">
        <v>2888927</v>
      </c>
      <c r="R123" s="3"/>
      <c r="S123" s="3">
        <v>3115</v>
      </c>
      <c r="T123" s="3"/>
      <c r="U123" s="3">
        <v>0</v>
      </c>
      <c r="V123" s="3"/>
      <c r="W123" s="3">
        <v>0</v>
      </c>
      <c r="X123" s="3"/>
      <c r="Y123" s="3">
        <v>57956</v>
      </c>
      <c r="Z123" s="30"/>
      <c r="AA123" s="3">
        <v>0</v>
      </c>
      <c r="AB123" s="3"/>
      <c r="AC123" s="3">
        <f t="shared" si="7"/>
        <v>2949998</v>
      </c>
      <c r="AD123" s="3"/>
      <c r="AE123" s="3">
        <v>0</v>
      </c>
      <c r="AF123" s="3"/>
      <c r="AG123" s="3">
        <f t="shared" si="9"/>
        <v>20990079</v>
      </c>
    </row>
    <row r="124" spans="1:33" s="102" customFormat="1">
      <c r="A124" s="3" t="s">
        <v>331</v>
      </c>
      <c r="B124" s="103"/>
      <c r="C124" s="103" t="s">
        <v>196</v>
      </c>
      <c r="E124" s="103">
        <v>49965</v>
      </c>
      <c r="G124" s="3">
        <v>11801535</v>
      </c>
      <c r="H124" s="3"/>
      <c r="I124" s="3">
        <v>2338386</v>
      </c>
      <c r="J124" s="3"/>
      <c r="K124" s="3">
        <v>0</v>
      </c>
      <c r="L124" s="3"/>
      <c r="M124" s="3">
        <f t="shared" si="8"/>
        <v>14139921</v>
      </c>
      <c r="N124" s="3"/>
      <c r="O124" s="3">
        <v>0</v>
      </c>
      <c r="P124" s="1"/>
      <c r="Q124" s="3">
        <v>2458619</v>
      </c>
      <c r="R124" s="3"/>
      <c r="S124" s="3">
        <v>5669</v>
      </c>
      <c r="T124" s="3"/>
      <c r="U124" s="3">
        <v>0</v>
      </c>
      <c r="V124" s="3"/>
      <c r="W124" s="3">
        <v>0</v>
      </c>
      <c r="X124" s="3"/>
      <c r="Y124" s="3">
        <v>600</v>
      </c>
      <c r="Z124" s="30"/>
      <c r="AA124" s="3">
        <v>0</v>
      </c>
      <c r="AB124" s="3"/>
      <c r="AC124" s="3">
        <f t="shared" si="7"/>
        <v>2464888</v>
      </c>
      <c r="AD124" s="3"/>
      <c r="AE124" s="3">
        <v>0</v>
      </c>
      <c r="AF124" s="3"/>
      <c r="AG124" s="3">
        <f t="shared" si="9"/>
        <v>16604809</v>
      </c>
    </row>
    <row r="125" spans="1:33" s="65" customFormat="1" hidden="1">
      <c r="A125" s="58" t="s">
        <v>353</v>
      </c>
      <c r="B125" s="59"/>
      <c r="C125" s="59" t="s">
        <v>203</v>
      </c>
      <c r="E125" s="59">
        <v>50526</v>
      </c>
      <c r="G125" s="58">
        <v>0</v>
      </c>
      <c r="H125" s="58"/>
      <c r="I125" s="58">
        <v>0</v>
      </c>
      <c r="J125" s="58"/>
      <c r="K125" s="58">
        <v>0</v>
      </c>
      <c r="L125" s="58"/>
      <c r="M125" s="58">
        <f t="shared" si="8"/>
        <v>0</v>
      </c>
      <c r="N125" s="58"/>
      <c r="O125" s="58">
        <v>0</v>
      </c>
      <c r="P125" s="68"/>
      <c r="Q125" s="58">
        <v>0</v>
      </c>
      <c r="R125" s="58"/>
      <c r="S125" s="58">
        <v>0</v>
      </c>
      <c r="T125" s="58"/>
      <c r="U125" s="58">
        <v>0</v>
      </c>
      <c r="V125" s="58"/>
      <c r="W125" s="58">
        <v>0</v>
      </c>
      <c r="X125" s="58"/>
      <c r="Y125" s="58">
        <v>0</v>
      </c>
      <c r="Z125" s="67"/>
      <c r="AA125" s="58">
        <v>0</v>
      </c>
      <c r="AB125" s="58"/>
      <c r="AC125" s="58">
        <f t="shared" si="7"/>
        <v>0</v>
      </c>
      <c r="AD125" s="58"/>
      <c r="AE125" s="58">
        <v>0</v>
      </c>
      <c r="AF125" s="58"/>
      <c r="AG125" s="58">
        <f t="shared" si="9"/>
        <v>0</v>
      </c>
    </row>
    <row r="126" spans="1:33">
      <c r="A126" s="3" t="s">
        <v>333</v>
      </c>
      <c r="B126" s="15"/>
      <c r="C126" s="15" t="s">
        <v>197</v>
      </c>
      <c r="E126" s="15">
        <v>50088</v>
      </c>
      <c r="G126" s="3">
        <v>13426416</v>
      </c>
      <c r="H126" s="3"/>
      <c r="I126" s="3">
        <v>1470447</v>
      </c>
      <c r="J126" s="3"/>
      <c r="K126" s="3">
        <v>0</v>
      </c>
      <c r="L126" s="3"/>
      <c r="M126" s="3">
        <f t="shared" si="8"/>
        <v>14896863</v>
      </c>
      <c r="N126" s="3"/>
      <c r="O126" s="3">
        <v>0</v>
      </c>
      <c r="P126" s="1"/>
      <c r="Q126" s="3">
        <v>798319</v>
      </c>
      <c r="R126" s="3"/>
      <c r="S126" s="3">
        <v>24058</v>
      </c>
      <c r="T126" s="3"/>
      <c r="U126" s="3">
        <v>0</v>
      </c>
      <c r="V126" s="3"/>
      <c r="W126" s="3">
        <v>0</v>
      </c>
      <c r="X126" s="3"/>
      <c r="Y126" s="3">
        <v>21010</v>
      </c>
      <c r="Z126" s="30"/>
      <c r="AA126" s="3">
        <v>0</v>
      </c>
      <c r="AB126" s="3"/>
      <c r="AC126" s="3">
        <f t="shared" si="7"/>
        <v>843387</v>
      </c>
      <c r="AD126" s="3"/>
      <c r="AE126" s="3">
        <v>0</v>
      </c>
      <c r="AF126" s="3"/>
      <c r="AG126" s="3">
        <f t="shared" si="9"/>
        <v>15740250</v>
      </c>
    </row>
    <row r="127" spans="1:33" s="92" customFormat="1" hidden="1">
      <c r="A127" s="88" t="s">
        <v>301</v>
      </c>
      <c r="B127" s="89"/>
      <c r="C127" s="89" t="s">
        <v>198</v>
      </c>
      <c r="E127" s="89">
        <v>50260</v>
      </c>
      <c r="G127" s="88">
        <v>0</v>
      </c>
      <c r="H127" s="88"/>
      <c r="I127" s="88">
        <v>0</v>
      </c>
      <c r="J127" s="88"/>
      <c r="K127" s="88">
        <v>0</v>
      </c>
      <c r="L127" s="88"/>
      <c r="M127" s="88">
        <f t="shared" si="8"/>
        <v>0</v>
      </c>
      <c r="N127" s="88"/>
      <c r="O127" s="88">
        <v>0</v>
      </c>
      <c r="P127" s="93"/>
      <c r="Q127" s="88">
        <v>0</v>
      </c>
      <c r="R127" s="88"/>
      <c r="S127" s="88">
        <v>0</v>
      </c>
      <c r="T127" s="88"/>
      <c r="U127" s="88">
        <v>0</v>
      </c>
      <c r="V127" s="88"/>
      <c r="W127" s="88">
        <v>0</v>
      </c>
      <c r="X127" s="88"/>
      <c r="Y127" s="88">
        <v>0</v>
      </c>
      <c r="Z127" s="94"/>
      <c r="AA127" s="88">
        <v>0</v>
      </c>
      <c r="AB127" s="88"/>
      <c r="AC127" s="88">
        <f t="shared" si="7"/>
        <v>0</v>
      </c>
      <c r="AD127" s="88"/>
      <c r="AE127" s="88">
        <v>0</v>
      </c>
      <c r="AF127" s="88"/>
      <c r="AG127" s="88">
        <f t="shared" si="9"/>
        <v>0</v>
      </c>
    </row>
    <row r="128" spans="1:33" s="65" customFormat="1" hidden="1">
      <c r="A128" s="58" t="s">
        <v>335</v>
      </c>
      <c r="B128" s="59"/>
      <c r="C128" s="59" t="s">
        <v>201</v>
      </c>
      <c r="E128" s="59">
        <v>50401</v>
      </c>
      <c r="G128" s="58">
        <v>0</v>
      </c>
      <c r="H128" s="58"/>
      <c r="I128" s="58">
        <v>0</v>
      </c>
      <c r="J128" s="58"/>
      <c r="K128" s="58">
        <v>0</v>
      </c>
      <c r="L128" s="58"/>
      <c r="M128" s="58">
        <f t="shared" si="8"/>
        <v>0</v>
      </c>
      <c r="N128" s="58"/>
      <c r="O128" s="58">
        <v>0</v>
      </c>
      <c r="P128" s="68"/>
      <c r="Q128" s="58">
        <v>0</v>
      </c>
      <c r="R128" s="58"/>
      <c r="S128" s="58">
        <v>0</v>
      </c>
      <c r="T128" s="58"/>
      <c r="U128" s="58">
        <v>0</v>
      </c>
      <c r="V128" s="58"/>
      <c r="W128" s="58">
        <v>0</v>
      </c>
      <c r="X128" s="58"/>
      <c r="Y128" s="58">
        <v>0</v>
      </c>
      <c r="Z128" s="67"/>
      <c r="AA128" s="58">
        <v>0</v>
      </c>
      <c r="AB128" s="58"/>
      <c r="AC128" s="58">
        <f t="shared" si="7"/>
        <v>0</v>
      </c>
      <c r="AD128" s="58"/>
      <c r="AE128" s="58">
        <v>0</v>
      </c>
      <c r="AF128" s="58"/>
      <c r="AG128" s="58">
        <f t="shared" si="9"/>
        <v>0</v>
      </c>
    </row>
    <row r="129" spans="1:33" s="92" customFormat="1" hidden="1">
      <c r="A129" s="88" t="s">
        <v>302</v>
      </c>
      <c r="B129" s="89"/>
      <c r="C129" s="89" t="s">
        <v>202</v>
      </c>
      <c r="E129" s="89">
        <v>50476</v>
      </c>
      <c r="G129" s="88">
        <v>0</v>
      </c>
      <c r="H129" s="88"/>
      <c r="I129" s="88">
        <v>0</v>
      </c>
      <c r="J129" s="88"/>
      <c r="K129" s="88">
        <v>0</v>
      </c>
      <c r="L129" s="88"/>
      <c r="M129" s="88">
        <f t="shared" si="8"/>
        <v>0</v>
      </c>
      <c r="N129" s="88"/>
      <c r="O129" s="88">
        <v>0</v>
      </c>
      <c r="P129" s="93"/>
      <c r="Q129" s="88">
        <v>0</v>
      </c>
      <c r="R129" s="88"/>
      <c r="S129" s="88">
        <v>0</v>
      </c>
      <c r="T129" s="88"/>
      <c r="U129" s="88">
        <v>0</v>
      </c>
      <c r="V129" s="88"/>
      <c r="W129" s="88">
        <v>0</v>
      </c>
      <c r="X129" s="88"/>
      <c r="Y129" s="88">
        <v>0</v>
      </c>
      <c r="Z129" s="94"/>
      <c r="AA129" s="88">
        <v>0</v>
      </c>
      <c r="AB129" s="88"/>
      <c r="AC129" s="88">
        <f t="shared" si="7"/>
        <v>0</v>
      </c>
      <c r="AD129" s="88"/>
      <c r="AE129" s="88">
        <v>0</v>
      </c>
      <c r="AF129" s="88"/>
      <c r="AG129" s="88">
        <f t="shared" si="9"/>
        <v>0</v>
      </c>
    </row>
    <row r="130" spans="1:33" s="102" customFormat="1">
      <c r="A130" s="3" t="s">
        <v>199</v>
      </c>
      <c r="B130" s="103"/>
      <c r="C130" s="103" t="s">
        <v>258</v>
      </c>
      <c r="E130" s="103">
        <v>134999</v>
      </c>
      <c r="G130" s="3">
        <v>2986722</v>
      </c>
      <c r="H130" s="3"/>
      <c r="I130" s="3">
        <v>1119077</v>
      </c>
      <c r="J130" s="3"/>
      <c r="K130" s="3">
        <v>0</v>
      </c>
      <c r="L130" s="3"/>
      <c r="M130" s="3">
        <f t="shared" si="8"/>
        <v>4105799</v>
      </c>
      <c r="N130" s="3"/>
      <c r="O130" s="3">
        <v>0</v>
      </c>
      <c r="P130" s="1"/>
      <c r="Q130" s="3">
        <v>220679</v>
      </c>
      <c r="R130" s="3"/>
      <c r="S130" s="3">
        <v>608</v>
      </c>
      <c r="T130" s="3"/>
      <c r="U130" s="3">
        <v>0</v>
      </c>
      <c r="V130" s="3"/>
      <c r="W130" s="3">
        <v>0</v>
      </c>
      <c r="X130" s="3"/>
      <c r="Y130" s="3">
        <v>12166</v>
      </c>
      <c r="Z130" s="30"/>
      <c r="AA130" s="3">
        <v>0</v>
      </c>
      <c r="AB130" s="3"/>
      <c r="AC130" s="3">
        <f t="shared" si="7"/>
        <v>233453</v>
      </c>
      <c r="AD130" s="3"/>
      <c r="AE130" s="3">
        <v>0</v>
      </c>
      <c r="AF130" s="3"/>
      <c r="AG130" s="3">
        <f t="shared" si="9"/>
        <v>4339252</v>
      </c>
    </row>
    <row r="131" spans="1:33" s="102" customFormat="1">
      <c r="A131" s="3" t="s">
        <v>334</v>
      </c>
      <c r="B131" s="103"/>
      <c r="C131" s="103" t="s">
        <v>204</v>
      </c>
      <c r="E131" s="103">
        <v>50666</v>
      </c>
      <c r="G131" s="3">
        <v>10201720</v>
      </c>
      <c r="H131" s="3"/>
      <c r="I131" s="3">
        <v>4212004</v>
      </c>
      <c r="J131" s="3"/>
      <c r="K131" s="3">
        <v>8555</v>
      </c>
      <c r="L131" s="3"/>
      <c r="M131" s="3">
        <f t="shared" si="8"/>
        <v>14422279</v>
      </c>
      <c r="N131" s="3"/>
      <c r="O131" s="3">
        <v>0</v>
      </c>
      <c r="P131" s="1"/>
      <c r="Q131" s="3">
        <v>392681</v>
      </c>
      <c r="R131" s="3"/>
      <c r="S131" s="3">
        <v>22585</v>
      </c>
      <c r="T131" s="3"/>
      <c r="U131" s="3">
        <v>0</v>
      </c>
      <c r="V131" s="3"/>
      <c r="W131" s="3">
        <v>1425</v>
      </c>
      <c r="X131" s="3"/>
      <c r="Y131" s="3">
        <v>140370</v>
      </c>
      <c r="Z131" s="30"/>
      <c r="AA131" s="3">
        <v>0</v>
      </c>
      <c r="AB131" s="3"/>
      <c r="AC131" s="3">
        <f t="shared" si="7"/>
        <v>557061</v>
      </c>
      <c r="AD131" s="3"/>
      <c r="AE131" s="3">
        <v>0</v>
      </c>
      <c r="AF131" s="3"/>
      <c r="AG131" s="3">
        <f t="shared" si="9"/>
        <v>14979340</v>
      </c>
    </row>
    <row r="132" spans="1:33">
      <c r="A132" s="3"/>
    </row>
    <row r="133" spans="1:33">
      <c r="G133" s="3"/>
    </row>
    <row r="135" spans="1:33">
      <c r="G135" s="3"/>
    </row>
    <row r="136" spans="1:33">
      <c r="G136" s="3"/>
    </row>
    <row r="137" spans="1:33">
      <c r="G137" s="3"/>
    </row>
    <row r="138" spans="1:33">
      <c r="G138" s="3"/>
    </row>
    <row r="139" spans="1:33">
      <c r="G139" s="3"/>
    </row>
    <row r="140" spans="1:33">
      <c r="G140" s="3"/>
    </row>
  </sheetData>
  <mergeCells count="2">
    <mergeCell ref="O7:Y7"/>
    <mergeCell ref="G7:K7"/>
  </mergeCells>
  <phoneticPr fontId="3" type="noConversion"/>
  <pageMargins left="0.75" right="0.5" top="0.5" bottom="0.5" header="0.25" footer="0.25"/>
  <pageSetup scale="76" firstPageNumber="10" pageOrder="overThenDown" orientation="portrait" useFirstPageNumber="1" r:id="rId1"/>
  <headerFooter scaleWithDoc="0" alignWithMargins="0"/>
  <rowBreaks count="1" manualBreakCount="1">
    <brk id="67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07"/>
  <sheetViews>
    <sheetView zoomScaleNormal="100" zoomScaleSheetLayoutView="100" workbookViewId="0">
      <pane xSplit="6" ySplit="11" topLeftCell="G12" activePane="bottomRight" state="frozen"/>
      <selection activeCell="I141" sqref="I141"/>
      <selection pane="topRight" activeCell="I141" sqref="I141"/>
      <selection pane="bottomLeft" activeCell="I141" sqref="I141"/>
      <selection pane="bottomRight" activeCell="G12" sqref="G12"/>
    </sheetView>
  </sheetViews>
  <sheetFormatPr defaultRowHeight="12"/>
  <cols>
    <col min="1" max="1" width="45.7109375" style="27" customWidth="1"/>
    <col min="2" max="2" width="1.7109375" style="27" customWidth="1"/>
    <col min="3" max="3" width="11.7109375" style="27" customWidth="1"/>
    <col min="4" max="4" width="1.7109375" style="27" hidden="1" customWidth="1"/>
    <col min="5" max="5" width="6.7109375" style="27" hidden="1" customWidth="1"/>
    <col min="6" max="6" width="1.28515625" style="27" customWidth="1"/>
    <col min="7" max="7" width="11.7109375" style="27" customWidth="1"/>
    <col min="8" max="8" width="1.28515625" style="27" customWidth="1"/>
    <col min="9" max="9" width="11.7109375" style="27" customWidth="1"/>
    <col min="10" max="10" width="1.28515625" style="27" customWidth="1"/>
    <col min="11" max="11" width="11.7109375" style="27" customWidth="1"/>
    <col min="12" max="12" width="1.28515625" style="27" customWidth="1"/>
    <col min="13" max="13" width="12.7109375" style="74" customWidth="1"/>
    <col min="14" max="14" width="1.28515625" style="27" customWidth="1"/>
    <col min="15" max="15" width="11.7109375" style="27" customWidth="1"/>
    <col min="16" max="16" width="1.140625" style="27" customWidth="1"/>
    <col min="17" max="17" width="11.7109375" style="27" customWidth="1"/>
    <col min="18" max="18" width="1.140625" style="27" customWidth="1"/>
    <col min="19" max="19" width="11.7109375" style="27" customWidth="1"/>
    <col min="20" max="20" width="1.140625" style="27" customWidth="1"/>
    <col min="21" max="21" width="11.7109375" style="27" customWidth="1"/>
    <col min="22" max="22" width="1.140625" style="27" customWidth="1"/>
    <col min="23" max="23" width="11.7109375" style="27" customWidth="1"/>
    <col min="24" max="24" width="1.140625" style="27" customWidth="1"/>
    <col min="25" max="25" width="11.7109375" style="27" customWidth="1"/>
    <col min="26" max="26" width="1.140625" style="27" customWidth="1"/>
    <col min="27" max="27" width="11.7109375" style="27" customWidth="1"/>
    <col min="28" max="28" width="1.140625" style="27" customWidth="1"/>
    <col min="29" max="29" width="12.140625" style="27" customWidth="1"/>
    <col min="30" max="30" width="1.140625" style="27" customWidth="1"/>
    <col min="31" max="31" width="45.7109375" style="27" customWidth="1"/>
    <col min="32" max="32" width="1.7109375" style="27" customWidth="1"/>
    <col min="33" max="33" width="11.7109375" style="27" customWidth="1"/>
    <col min="34" max="34" width="1.28515625" style="27" customWidth="1"/>
    <col min="35" max="35" width="11.7109375" style="27" customWidth="1"/>
    <col min="36" max="36" width="1.28515625" style="27" customWidth="1"/>
    <col min="37" max="37" width="11.7109375" style="27" customWidth="1"/>
    <col min="38" max="38" width="1.28515625" style="27" hidden="1" customWidth="1"/>
    <col min="39" max="39" width="9.7109375" style="27" hidden="1" customWidth="1"/>
    <col min="40" max="40" width="1.28515625" style="27" customWidth="1"/>
    <col min="41" max="41" width="12.7109375" style="27" customWidth="1"/>
    <col min="42" max="42" width="1.28515625" style="27" customWidth="1"/>
    <col min="43" max="43" width="10.7109375" style="27" customWidth="1"/>
    <col min="44" max="44" width="1.28515625" style="27" customWidth="1"/>
    <col min="45" max="45" width="10.7109375" style="27" customWidth="1"/>
    <col min="46" max="46" width="1.28515625" style="27" customWidth="1"/>
    <col min="47" max="47" width="10.7109375" style="27" customWidth="1"/>
    <col min="48" max="48" width="1.28515625" style="27" hidden="1" customWidth="1"/>
    <col min="49" max="49" width="11.7109375" style="27" hidden="1" customWidth="1"/>
    <col min="50" max="50" width="1.7109375" style="27" hidden="1" customWidth="1"/>
    <col min="51" max="51" width="11.7109375" style="27" hidden="1" customWidth="1"/>
    <col min="52" max="52" width="1.28515625" style="27" customWidth="1"/>
    <col min="53" max="53" width="9.7109375" style="27" customWidth="1"/>
    <col min="54" max="54" width="1.28515625" style="27" customWidth="1"/>
    <col min="55" max="55" width="10.7109375" style="30" customWidth="1"/>
    <col min="56" max="56" width="1.28515625" style="30" customWidth="1"/>
    <col min="57" max="57" width="10.7109375" style="30" customWidth="1"/>
    <col min="58" max="58" width="1.28515625" style="30" customWidth="1"/>
    <col min="59" max="59" width="11.7109375" style="30" customWidth="1"/>
    <col min="60" max="60" width="1.28515625" style="30" customWidth="1"/>
    <col min="61" max="61" width="10.7109375" style="30" customWidth="1"/>
    <col min="62" max="62" width="1.7109375" style="30" customWidth="1"/>
    <col min="63" max="63" width="11.7109375" style="30" customWidth="1"/>
    <col min="64" max="16384" width="9.140625" style="27"/>
  </cols>
  <sheetData>
    <row r="1" spans="1:63">
      <c r="A1" s="18" t="s">
        <v>266</v>
      </c>
      <c r="M1" s="26"/>
      <c r="AE1" s="18" t="s">
        <v>266</v>
      </c>
    </row>
    <row r="2" spans="1:63" s="15" customFormat="1">
      <c r="A2" s="18" t="s">
        <v>380</v>
      </c>
      <c r="B2" s="18"/>
      <c r="C2" s="18"/>
      <c r="D2" s="18"/>
      <c r="E2" s="18"/>
      <c r="F2" s="3"/>
      <c r="G2" s="3"/>
      <c r="H2" s="3"/>
      <c r="I2" s="3"/>
      <c r="J2" s="3"/>
      <c r="K2" s="3"/>
      <c r="L2" s="3"/>
      <c r="M2" s="2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8" t="s">
        <v>380</v>
      </c>
      <c r="AF2" s="18"/>
      <c r="AG2" s="18"/>
      <c r="AH2" s="18"/>
      <c r="AI2" s="3"/>
      <c r="AJ2" s="3"/>
      <c r="AK2" s="3"/>
      <c r="AL2" s="3"/>
      <c r="AM2" s="3"/>
      <c r="AN2" s="18"/>
      <c r="AO2" s="18"/>
      <c r="AP2" s="3"/>
      <c r="AQ2" s="3"/>
      <c r="AR2" s="3"/>
      <c r="AS2" s="3"/>
      <c r="AT2" s="3"/>
      <c r="AU2" s="3"/>
      <c r="AV2" s="3"/>
      <c r="AW2" s="3"/>
      <c r="AX2" s="3"/>
      <c r="AY2" s="43" t="s">
        <v>51</v>
      </c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s="15" customFormat="1">
      <c r="A3" s="46"/>
      <c r="F3" s="3"/>
      <c r="G3" s="3"/>
      <c r="H3" s="3"/>
      <c r="I3" s="3"/>
      <c r="J3" s="3"/>
      <c r="K3" s="3"/>
      <c r="L3" s="3"/>
      <c r="M3" s="26"/>
      <c r="N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6" t="s">
        <v>254</v>
      </c>
      <c r="AI3" s="3"/>
      <c r="AJ3" s="3"/>
      <c r="AK3" s="3"/>
      <c r="AL3" s="3"/>
      <c r="AM3" s="3"/>
      <c r="AP3" s="3"/>
      <c r="AQ3" s="3"/>
      <c r="AR3" s="3"/>
      <c r="AS3" s="3"/>
      <c r="AT3" s="3"/>
      <c r="AU3" s="3"/>
      <c r="AV3" s="3"/>
      <c r="AW3" s="3"/>
      <c r="AX3" s="3"/>
      <c r="AY3" s="43" t="s">
        <v>52</v>
      </c>
      <c r="AZ3" s="3"/>
      <c r="BA3" s="3"/>
      <c r="BB3" s="3"/>
      <c r="BC3" s="3"/>
      <c r="BD3" s="3"/>
      <c r="BE3" s="3"/>
      <c r="BF3" s="3"/>
      <c r="BG3" s="3"/>
      <c r="BH3" s="3"/>
      <c r="BI3" s="3"/>
      <c r="BJ3" s="54"/>
      <c r="BK3" s="3"/>
    </row>
    <row r="4" spans="1:63" s="15" customFormat="1" ht="12.75" customHeight="1">
      <c r="A4" s="7" t="s">
        <v>257</v>
      </c>
      <c r="B4" s="18"/>
      <c r="C4" s="18"/>
      <c r="D4" s="18"/>
      <c r="E4" s="18"/>
      <c r="F4" s="3"/>
      <c r="G4" s="3"/>
      <c r="H4" s="3"/>
      <c r="I4" s="3"/>
      <c r="J4" s="3"/>
      <c r="K4" s="3"/>
      <c r="L4" s="3"/>
      <c r="M4" s="2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18" t="s">
        <v>255</v>
      </c>
      <c r="AF4" s="18"/>
      <c r="AG4" s="18"/>
      <c r="AH4" s="18"/>
      <c r="AI4" s="3"/>
      <c r="AJ4" s="3"/>
      <c r="AK4" s="3"/>
      <c r="AL4" s="3"/>
      <c r="AM4" s="3"/>
      <c r="AN4" s="18"/>
      <c r="AO4" s="18"/>
      <c r="AP4" s="3"/>
      <c r="AQ4" s="3"/>
      <c r="AR4" s="3"/>
      <c r="AS4" s="3"/>
      <c r="AT4" s="3"/>
      <c r="AU4" s="3"/>
      <c r="AV4" s="3"/>
      <c r="AW4" s="3"/>
      <c r="AX4" s="3"/>
      <c r="AY4" s="43" t="s">
        <v>53</v>
      </c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s="15" customFormat="1" ht="12.75" customHeight="1">
      <c r="A5" s="7"/>
      <c r="B5" s="18"/>
      <c r="C5" s="18"/>
      <c r="D5" s="18"/>
      <c r="E5" s="18"/>
      <c r="F5" s="3"/>
      <c r="G5" s="3"/>
      <c r="H5" s="3"/>
      <c r="I5" s="3"/>
      <c r="J5" s="3"/>
      <c r="K5" s="3"/>
      <c r="L5" s="3"/>
      <c r="M5" s="2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8"/>
      <c r="AF5" s="18"/>
      <c r="AG5" s="18"/>
      <c r="AH5" s="18"/>
      <c r="AI5" s="3"/>
      <c r="AJ5" s="3"/>
      <c r="AK5" s="3"/>
      <c r="AL5" s="3"/>
      <c r="AM5" s="3"/>
      <c r="AN5" s="18"/>
      <c r="AO5" s="18"/>
      <c r="AP5" s="3"/>
      <c r="AQ5" s="3"/>
      <c r="AR5" s="3"/>
      <c r="AS5" s="3"/>
      <c r="AT5" s="3"/>
      <c r="AU5" s="3"/>
      <c r="AV5" s="3"/>
      <c r="AW5" s="3"/>
      <c r="AX5" s="3"/>
      <c r="AY5" s="4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s="15" customFormat="1" ht="12.75" customHeight="1">
      <c r="A6" s="3"/>
      <c r="B6" s="3"/>
      <c r="C6" s="3"/>
      <c r="D6" s="18"/>
      <c r="E6" s="18"/>
      <c r="F6" s="3"/>
      <c r="G6" s="3"/>
      <c r="H6" s="3"/>
      <c r="I6" s="3"/>
      <c r="J6" s="3"/>
      <c r="K6" s="3"/>
      <c r="L6" s="3"/>
      <c r="M6" s="2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8"/>
      <c r="AF6" s="18"/>
      <c r="AG6" s="18"/>
      <c r="AH6" s="18"/>
      <c r="AI6" s="3"/>
      <c r="AJ6" s="3"/>
      <c r="AK6" s="3"/>
      <c r="AL6" s="3"/>
      <c r="AM6" s="3"/>
      <c r="AN6" s="18"/>
      <c r="AO6" s="18"/>
      <c r="AP6" s="3"/>
      <c r="AQ6" s="3"/>
      <c r="AR6" s="3"/>
      <c r="AS6" s="3"/>
      <c r="AT6" s="3"/>
      <c r="AU6" s="3"/>
      <c r="AV6" s="3"/>
      <c r="AW6" s="3"/>
      <c r="AX6" s="3"/>
      <c r="AY6" s="4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s="7" customFormat="1">
      <c r="A7" s="29" t="s">
        <v>310</v>
      </c>
      <c r="B7" s="5"/>
      <c r="C7" s="5"/>
      <c r="D7" s="5"/>
      <c r="E7" s="5"/>
      <c r="F7" s="78"/>
      <c r="G7" s="78"/>
      <c r="H7" s="78"/>
      <c r="I7" s="78"/>
      <c r="J7" s="78"/>
      <c r="K7" s="78"/>
      <c r="L7" s="78"/>
      <c r="M7" s="42"/>
      <c r="N7" s="31"/>
      <c r="O7" s="11" t="s">
        <v>54</v>
      </c>
      <c r="P7" s="78"/>
      <c r="Q7" s="78"/>
      <c r="R7" s="78"/>
      <c r="S7" s="78"/>
      <c r="T7" s="78"/>
      <c r="U7" s="78"/>
      <c r="V7" s="78"/>
      <c r="W7" s="78"/>
      <c r="AD7" s="36"/>
      <c r="AE7" s="29" t="s">
        <v>310</v>
      </c>
      <c r="AF7" s="5"/>
      <c r="AG7" s="5"/>
      <c r="AH7" s="5"/>
    </row>
    <row r="8" spans="1:63" s="15" customFormat="1">
      <c r="A8" s="70"/>
      <c r="B8" s="18"/>
      <c r="C8" s="18"/>
      <c r="D8" s="18"/>
      <c r="E8" s="18"/>
      <c r="F8" s="3"/>
      <c r="G8" s="119" t="s">
        <v>54</v>
      </c>
      <c r="H8" s="119"/>
      <c r="I8" s="119"/>
      <c r="J8" s="119"/>
      <c r="K8" s="119"/>
      <c r="L8" s="119"/>
      <c r="M8" s="119"/>
      <c r="N8" s="42"/>
      <c r="O8" s="37" t="s">
        <v>338</v>
      </c>
      <c r="P8" s="3"/>
      <c r="Q8" s="119" t="s">
        <v>55</v>
      </c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5"/>
      <c r="AE8" s="70"/>
      <c r="AF8" s="2"/>
      <c r="AG8" s="2"/>
      <c r="AH8" s="2"/>
      <c r="AI8" s="37" t="s">
        <v>339</v>
      </c>
      <c r="AJ8" s="37"/>
      <c r="AK8" s="37"/>
      <c r="AL8" s="37"/>
      <c r="AM8" s="37"/>
      <c r="AN8" s="3"/>
      <c r="AO8" s="119" t="s">
        <v>278</v>
      </c>
      <c r="AP8" s="119"/>
      <c r="AQ8" s="119"/>
      <c r="AR8" s="3"/>
      <c r="AS8" s="3"/>
      <c r="AT8" s="3"/>
      <c r="AU8" s="3"/>
      <c r="AV8" s="3"/>
      <c r="AW8" s="3"/>
      <c r="AX8" s="3"/>
      <c r="AY8" s="11" t="s">
        <v>4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11" t="s">
        <v>376</v>
      </c>
    </row>
    <row r="9" spans="1:63" s="20" customFormat="1">
      <c r="A9" s="29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"/>
      <c r="N9" s="2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 t="s">
        <v>56</v>
      </c>
      <c r="AD9" s="2"/>
      <c r="AE9" s="29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 t="s">
        <v>57</v>
      </c>
      <c r="AZ9" s="11"/>
      <c r="BA9" s="11"/>
      <c r="BB9" s="11"/>
      <c r="BC9" s="11"/>
      <c r="BD9" s="11"/>
      <c r="BF9" s="11"/>
      <c r="BG9" s="11" t="s">
        <v>376</v>
      </c>
      <c r="BH9" s="11"/>
      <c r="BI9" s="11" t="s">
        <v>376</v>
      </c>
      <c r="BJ9" s="11"/>
      <c r="BK9" s="11" t="s">
        <v>58</v>
      </c>
    </row>
    <row r="10" spans="1:63" s="20" customFormat="1">
      <c r="B10" s="9"/>
      <c r="C10" s="9"/>
      <c r="D10" s="9"/>
      <c r="E10" s="9"/>
      <c r="F10" s="11"/>
      <c r="G10" s="2"/>
      <c r="H10" s="2"/>
      <c r="I10" s="2"/>
      <c r="J10" s="2"/>
      <c r="K10" s="2"/>
      <c r="L10" s="2"/>
      <c r="M10" s="20" t="s">
        <v>346</v>
      </c>
      <c r="N10" s="2"/>
      <c r="O10" s="2"/>
      <c r="P10" s="2"/>
      <c r="Q10" s="2"/>
      <c r="R10" s="2"/>
      <c r="S10" s="2" t="s">
        <v>59</v>
      </c>
      <c r="T10" s="2"/>
      <c r="U10" s="2" t="s">
        <v>60</v>
      </c>
      <c r="V10" s="2"/>
      <c r="W10" s="2"/>
      <c r="X10" s="2"/>
      <c r="Y10" s="2"/>
      <c r="Z10" s="2"/>
      <c r="AA10" s="2"/>
      <c r="AB10" s="2"/>
      <c r="AC10" s="2" t="s">
        <v>61</v>
      </c>
      <c r="AD10" s="2"/>
      <c r="AF10" s="2"/>
      <c r="AG10" s="2"/>
      <c r="AH10" s="2"/>
      <c r="AI10" s="2" t="s">
        <v>62</v>
      </c>
      <c r="AJ10" s="2"/>
      <c r="AK10" s="2"/>
      <c r="AL10" s="2"/>
      <c r="AM10" s="2"/>
      <c r="AN10" s="2"/>
      <c r="AO10" s="11" t="s">
        <v>63</v>
      </c>
      <c r="AP10" s="11"/>
      <c r="AS10" s="20" t="s">
        <v>64</v>
      </c>
      <c r="AW10" s="20" t="s">
        <v>65</v>
      </c>
      <c r="AY10" s="20" t="s">
        <v>66</v>
      </c>
      <c r="BA10" s="20" t="s">
        <v>67</v>
      </c>
      <c r="BC10" s="2" t="s">
        <v>6</v>
      </c>
      <c r="BD10" s="11"/>
      <c r="BE10" s="11" t="s">
        <v>115</v>
      </c>
      <c r="BF10" s="11"/>
      <c r="BG10" s="2" t="s">
        <v>68</v>
      </c>
      <c r="BH10" s="11"/>
      <c r="BI10" s="11" t="s">
        <v>69</v>
      </c>
      <c r="BJ10" s="11"/>
      <c r="BK10" s="11" t="s">
        <v>70</v>
      </c>
    </row>
    <row r="11" spans="1:63" s="20" customFormat="1">
      <c r="A11" s="48" t="s">
        <v>277</v>
      </c>
      <c r="C11" s="48" t="s">
        <v>10</v>
      </c>
      <c r="E11" s="48" t="s">
        <v>11</v>
      </c>
      <c r="F11" s="11"/>
      <c r="G11" s="10" t="s">
        <v>342</v>
      </c>
      <c r="H11" s="11"/>
      <c r="I11" s="10" t="s">
        <v>71</v>
      </c>
      <c r="J11" s="11"/>
      <c r="K11" s="10" t="s">
        <v>72</v>
      </c>
      <c r="L11" s="2"/>
      <c r="M11" s="10" t="s">
        <v>345</v>
      </c>
      <c r="N11" s="2"/>
      <c r="O11" s="10" t="s">
        <v>82</v>
      </c>
      <c r="P11" s="11"/>
      <c r="Q11" s="10" t="s">
        <v>341</v>
      </c>
      <c r="R11" s="11"/>
      <c r="S11" s="10" t="s">
        <v>73</v>
      </c>
      <c r="T11" s="11"/>
      <c r="U11" s="10" t="s">
        <v>74</v>
      </c>
      <c r="V11" s="11"/>
      <c r="W11" s="10" t="s">
        <v>75</v>
      </c>
      <c r="X11" s="11"/>
      <c r="Y11" s="10" t="s">
        <v>76</v>
      </c>
      <c r="Z11" s="2"/>
      <c r="AA11" s="77" t="s">
        <v>77</v>
      </c>
      <c r="AB11" s="11"/>
      <c r="AC11" s="10" t="s">
        <v>78</v>
      </c>
      <c r="AD11" s="2"/>
      <c r="AE11" s="48" t="s">
        <v>277</v>
      </c>
      <c r="AG11" s="48" t="s">
        <v>10</v>
      </c>
      <c r="AH11" s="21"/>
      <c r="AI11" s="77" t="s">
        <v>79</v>
      </c>
      <c r="AJ11" s="2"/>
      <c r="AK11" s="77" t="s">
        <v>80</v>
      </c>
      <c r="AL11" s="11"/>
      <c r="AM11" s="77" t="s">
        <v>82</v>
      </c>
      <c r="AN11" s="11"/>
      <c r="AO11" s="77" t="s">
        <v>81</v>
      </c>
      <c r="AP11" s="11"/>
      <c r="AQ11" s="48" t="s">
        <v>82</v>
      </c>
      <c r="AR11" s="21"/>
      <c r="AS11" s="48" t="s">
        <v>48</v>
      </c>
      <c r="AT11" s="21"/>
      <c r="AU11" s="48" t="s">
        <v>83</v>
      </c>
      <c r="AV11" s="21"/>
      <c r="AW11" s="48" t="s">
        <v>84</v>
      </c>
      <c r="AX11" s="21"/>
      <c r="AY11" s="48" t="s">
        <v>85</v>
      </c>
      <c r="AZ11" s="21"/>
      <c r="BA11" s="48" t="s">
        <v>86</v>
      </c>
      <c r="BB11" s="21"/>
      <c r="BC11" s="48" t="s">
        <v>86</v>
      </c>
      <c r="BD11" s="2"/>
      <c r="BE11" s="77" t="s">
        <v>376</v>
      </c>
      <c r="BF11" s="11"/>
      <c r="BG11" s="77" t="s">
        <v>87</v>
      </c>
      <c r="BH11" s="11"/>
      <c r="BI11" s="77" t="s">
        <v>88</v>
      </c>
      <c r="BJ11" s="11"/>
      <c r="BK11" s="77" t="s">
        <v>18</v>
      </c>
    </row>
    <row r="12" spans="1:63">
      <c r="M12" s="71"/>
      <c r="N12" s="28"/>
      <c r="AD12" s="28"/>
      <c r="BE12" s="3"/>
    </row>
    <row r="13" spans="1:63">
      <c r="A13" s="32" t="s">
        <v>252</v>
      </c>
      <c r="M13" s="26"/>
      <c r="AE13" s="32" t="s">
        <v>252</v>
      </c>
    </row>
    <row r="14" spans="1:63">
      <c r="A14" s="32"/>
      <c r="M14" s="26"/>
      <c r="AE14" s="32"/>
    </row>
    <row r="15" spans="1:63" s="102" customFormat="1">
      <c r="A15" s="3" t="s">
        <v>283</v>
      </c>
      <c r="B15" s="3"/>
      <c r="C15" s="3" t="s">
        <v>260</v>
      </c>
      <c r="E15" s="103">
        <v>50773</v>
      </c>
      <c r="G15" s="19">
        <v>548895</v>
      </c>
      <c r="H15" s="19"/>
      <c r="I15" s="19">
        <v>225791</v>
      </c>
      <c r="J15" s="19"/>
      <c r="K15" s="19">
        <v>5844655</v>
      </c>
      <c r="L15" s="19"/>
      <c r="M15" s="71">
        <v>50627</v>
      </c>
      <c r="N15" s="19"/>
      <c r="O15" s="19">
        <v>0</v>
      </c>
      <c r="P15" s="19"/>
      <c r="Q15" s="19">
        <v>444483</v>
      </c>
      <c r="R15" s="19"/>
      <c r="S15" s="19">
        <v>667286</v>
      </c>
      <c r="T15" s="19"/>
      <c r="U15" s="19">
        <v>56853</v>
      </c>
      <c r="V15" s="19"/>
      <c r="W15" s="19">
        <v>764573</v>
      </c>
      <c r="X15" s="19"/>
      <c r="Y15" s="19">
        <v>475439</v>
      </c>
      <c r="Z15" s="19"/>
      <c r="AA15" s="19">
        <v>0</v>
      </c>
      <c r="AB15" s="19"/>
      <c r="AC15" s="19">
        <v>1167044</v>
      </c>
      <c r="AD15" s="19"/>
      <c r="AE15" s="3" t="s">
        <v>283</v>
      </c>
      <c r="AF15" s="3"/>
      <c r="AG15" s="3" t="s">
        <v>260</v>
      </c>
      <c r="AH15" s="3"/>
      <c r="AI15" s="19">
        <v>19425</v>
      </c>
      <c r="AJ15" s="19"/>
      <c r="AK15" s="19">
        <v>599308</v>
      </c>
      <c r="AL15" s="19"/>
      <c r="AM15" s="19"/>
      <c r="AN15" s="109"/>
      <c r="AO15" s="19">
        <v>0</v>
      </c>
      <c r="AP15" s="19"/>
      <c r="AQ15" s="19">
        <v>288497</v>
      </c>
      <c r="AR15" s="19"/>
      <c r="AS15" s="19">
        <v>22004</v>
      </c>
      <c r="AT15" s="19"/>
      <c r="AU15" s="19">
        <v>0</v>
      </c>
      <c r="AV15" s="19"/>
      <c r="AW15" s="19">
        <v>0</v>
      </c>
      <c r="AX15" s="19"/>
      <c r="AY15" s="19"/>
      <c r="AZ15" s="19"/>
      <c r="BA15" s="19">
        <v>0</v>
      </c>
      <c r="BB15" s="19"/>
      <c r="BC15" s="19">
        <f>SUM(G15:BB15)</f>
        <v>11174880</v>
      </c>
      <c r="BD15" s="19"/>
      <c r="BE15" s="19">
        <f>+'St of Act-Rev'!AG15-BC15</f>
        <v>812376</v>
      </c>
      <c r="BF15" s="19"/>
      <c r="BG15" s="19">
        <v>10482491</v>
      </c>
      <c r="BH15" s="19"/>
      <c r="BI15" s="19">
        <f>+BE15+BG15</f>
        <v>11294867</v>
      </c>
      <c r="BJ15" s="30"/>
      <c r="BK15" s="3">
        <f>+'St of Net Position'!AE15-BI15</f>
        <v>0</v>
      </c>
    </row>
    <row r="16" spans="1:63" s="102" customFormat="1">
      <c r="A16" s="3" t="s">
        <v>239</v>
      </c>
      <c r="B16" s="103"/>
      <c r="C16" s="103" t="s">
        <v>143</v>
      </c>
      <c r="E16" s="103">
        <v>62042</v>
      </c>
      <c r="G16" s="3">
        <v>561771</v>
      </c>
      <c r="H16" s="3"/>
      <c r="I16" s="3">
        <v>343342</v>
      </c>
      <c r="J16" s="3"/>
      <c r="K16" s="3">
        <v>2921427</v>
      </c>
      <c r="L16" s="3"/>
      <c r="M16" s="26">
        <v>1446035</v>
      </c>
      <c r="N16" s="3"/>
      <c r="O16" s="3">
        <v>559</v>
      </c>
      <c r="P16" s="3"/>
      <c r="Q16" s="3">
        <v>152928</v>
      </c>
      <c r="R16" s="3"/>
      <c r="S16" s="3">
        <v>105005</v>
      </c>
      <c r="T16" s="3"/>
      <c r="U16" s="3">
        <v>100036</v>
      </c>
      <c r="V16" s="3"/>
      <c r="W16" s="3">
        <v>759080</v>
      </c>
      <c r="X16" s="3"/>
      <c r="Y16" s="3">
        <v>387419</v>
      </c>
      <c r="Z16" s="3"/>
      <c r="AA16" s="3">
        <v>2779</v>
      </c>
      <c r="AB16" s="3"/>
      <c r="AC16" s="3">
        <v>641015</v>
      </c>
      <c r="AD16" s="19"/>
      <c r="AE16" s="3" t="s">
        <v>239</v>
      </c>
      <c r="AF16" s="3"/>
      <c r="AG16" s="3" t="s">
        <v>143</v>
      </c>
      <c r="AH16" s="3"/>
      <c r="AI16" s="3">
        <v>22940</v>
      </c>
      <c r="AJ16" s="3"/>
      <c r="AK16" s="3">
        <v>113912</v>
      </c>
      <c r="AL16" s="3"/>
      <c r="AM16" s="3"/>
      <c r="AN16" s="30"/>
      <c r="AO16" s="3">
        <v>134435</v>
      </c>
      <c r="AP16" s="3"/>
      <c r="AQ16" s="3">
        <v>104334</v>
      </c>
      <c r="AR16" s="3"/>
      <c r="AS16" s="3">
        <v>25566</v>
      </c>
      <c r="AT16" s="3"/>
      <c r="AU16" s="3">
        <v>32965</v>
      </c>
      <c r="AV16" s="3"/>
      <c r="AW16" s="3">
        <v>0</v>
      </c>
      <c r="AX16" s="3"/>
      <c r="AY16" s="3"/>
      <c r="AZ16" s="3"/>
      <c r="BA16" s="3">
        <v>0</v>
      </c>
      <c r="BB16" s="3"/>
      <c r="BC16" s="3">
        <f t="shared" ref="BC16:BC65" si="0">SUM(G16:BB16)</f>
        <v>7855548</v>
      </c>
      <c r="BD16" s="3"/>
      <c r="BE16" s="3">
        <f>+'St of Act-Rev'!AG16-BC16</f>
        <v>-51935</v>
      </c>
      <c r="BF16" s="3"/>
      <c r="BG16" s="3">
        <v>10175981</v>
      </c>
      <c r="BH16" s="3"/>
      <c r="BI16" s="3">
        <f>+BE16+BG16</f>
        <v>10124046</v>
      </c>
      <c r="BJ16" s="30"/>
      <c r="BK16" s="3">
        <f>+'St of Net Position'!AE16-BI16</f>
        <v>0</v>
      </c>
    </row>
    <row r="17" spans="1:63" s="102" customFormat="1">
      <c r="A17" s="3" t="s">
        <v>348</v>
      </c>
      <c r="B17" s="103"/>
      <c r="C17" s="103" t="s">
        <v>144</v>
      </c>
      <c r="E17" s="103">
        <v>50815</v>
      </c>
      <c r="G17" s="3">
        <v>818859</v>
      </c>
      <c r="H17" s="3"/>
      <c r="I17" s="3">
        <v>784818</v>
      </c>
      <c r="J17" s="3"/>
      <c r="K17" s="3">
        <v>6644769</v>
      </c>
      <c r="L17" s="3"/>
      <c r="M17" s="26">
        <v>2067368</v>
      </c>
      <c r="N17" s="3"/>
      <c r="O17" s="3">
        <v>295150</v>
      </c>
      <c r="P17" s="3"/>
      <c r="Q17" s="3">
        <v>585945</v>
      </c>
      <c r="R17" s="3"/>
      <c r="S17" s="3">
        <v>1393951</v>
      </c>
      <c r="T17" s="3"/>
      <c r="U17" s="3">
        <v>62977</v>
      </c>
      <c r="V17" s="3"/>
      <c r="W17" s="3">
        <v>946371</v>
      </c>
      <c r="X17" s="3"/>
      <c r="Y17" s="3">
        <v>409782</v>
      </c>
      <c r="Z17" s="3"/>
      <c r="AA17" s="3">
        <v>86957</v>
      </c>
      <c r="AB17" s="3"/>
      <c r="AC17" s="3">
        <v>1101290</v>
      </c>
      <c r="AD17" s="3"/>
      <c r="AE17" s="3" t="s">
        <v>348</v>
      </c>
      <c r="AF17" s="103"/>
      <c r="AG17" s="103" t="s">
        <v>144</v>
      </c>
      <c r="AH17" s="103"/>
      <c r="AI17" s="3">
        <v>18459</v>
      </c>
      <c r="AJ17" s="3"/>
      <c r="AK17" s="3">
        <v>22616</v>
      </c>
      <c r="AL17" s="3"/>
      <c r="AM17" s="3"/>
      <c r="AN17" s="3"/>
      <c r="AO17" s="3">
        <v>260121</v>
      </c>
      <c r="AP17" s="3"/>
      <c r="AQ17" s="3">
        <v>3813</v>
      </c>
      <c r="AR17" s="3"/>
      <c r="AS17" s="3">
        <v>18974</v>
      </c>
      <c r="AT17" s="3"/>
      <c r="AU17" s="3">
        <v>0</v>
      </c>
      <c r="AV17" s="3"/>
      <c r="AW17" s="3">
        <v>0</v>
      </c>
      <c r="AX17" s="3"/>
      <c r="AY17" s="3"/>
      <c r="AZ17" s="3"/>
      <c r="BA17" s="3">
        <v>0</v>
      </c>
      <c r="BB17" s="3"/>
      <c r="BC17" s="3">
        <f t="shared" si="0"/>
        <v>15522220</v>
      </c>
      <c r="BD17" s="3"/>
      <c r="BE17" s="3">
        <f>+'St of Act-Rev'!AG17-BC17</f>
        <v>-1495154</v>
      </c>
      <c r="BF17" s="3"/>
      <c r="BG17" s="3">
        <v>15761872</v>
      </c>
      <c r="BH17" s="3"/>
      <c r="BI17" s="3">
        <f t="shared" ref="BI17:BI65" si="1">+BE17+BG17</f>
        <v>14266718</v>
      </c>
      <c r="BJ17" s="30"/>
      <c r="BK17" s="3">
        <f>+'St of Net Position'!AE17-BI17</f>
        <v>0</v>
      </c>
    </row>
    <row r="18" spans="1:63" s="102" customFormat="1">
      <c r="A18" s="3" t="s">
        <v>289</v>
      </c>
      <c r="B18" s="103"/>
      <c r="C18" s="103" t="s">
        <v>146</v>
      </c>
      <c r="E18" s="103">
        <v>51169</v>
      </c>
      <c r="G18" s="3">
        <v>0</v>
      </c>
      <c r="H18" s="3"/>
      <c r="I18" s="3">
        <v>654085</v>
      </c>
      <c r="J18" s="3"/>
      <c r="K18" s="3">
        <v>3889740</v>
      </c>
      <c r="L18" s="3"/>
      <c r="M18" s="26">
        <v>1267216</v>
      </c>
      <c r="N18" s="3"/>
      <c r="O18" s="3">
        <v>0</v>
      </c>
      <c r="P18" s="3"/>
      <c r="Q18" s="3">
        <v>1080342</v>
      </c>
      <c r="R18" s="3"/>
      <c r="S18" s="3">
        <v>189562</v>
      </c>
      <c r="T18" s="3"/>
      <c r="U18" s="3">
        <v>252071</v>
      </c>
      <c r="V18" s="3"/>
      <c r="W18" s="3">
        <v>1296959</v>
      </c>
      <c r="X18" s="3"/>
      <c r="Y18" s="3">
        <v>474643</v>
      </c>
      <c r="Z18" s="3"/>
      <c r="AA18" s="3">
        <v>78</v>
      </c>
      <c r="AB18" s="3"/>
      <c r="AC18" s="3">
        <v>1537823</v>
      </c>
      <c r="AD18" s="3"/>
      <c r="AE18" s="3" t="s">
        <v>289</v>
      </c>
      <c r="AF18" s="103"/>
      <c r="AG18" s="103" t="s">
        <v>146</v>
      </c>
      <c r="AH18" s="103"/>
      <c r="AI18" s="3">
        <v>16137</v>
      </c>
      <c r="AJ18" s="3"/>
      <c r="AK18" s="3">
        <v>434058</v>
      </c>
      <c r="AL18" s="3"/>
      <c r="AM18" s="3"/>
      <c r="AN18" s="3"/>
      <c r="AO18" s="3">
        <v>0</v>
      </c>
      <c r="AP18" s="3"/>
      <c r="AQ18" s="3">
        <v>308453</v>
      </c>
      <c r="AR18" s="3"/>
      <c r="AS18" s="3">
        <v>1798</v>
      </c>
      <c r="AT18" s="3"/>
      <c r="AU18" s="3">
        <v>148501</v>
      </c>
      <c r="AV18" s="3"/>
      <c r="AW18" s="3">
        <v>0</v>
      </c>
      <c r="AX18" s="3"/>
      <c r="AY18" s="3"/>
      <c r="AZ18" s="3"/>
      <c r="BA18" s="3">
        <v>0</v>
      </c>
      <c r="BB18" s="3"/>
      <c r="BC18" s="3">
        <f t="shared" si="0"/>
        <v>11551466</v>
      </c>
      <c r="BD18" s="3"/>
      <c r="BE18" s="3">
        <f>+'St of Act-Rev'!AG18-BC18</f>
        <v>-939296</v>
      </c>
      <c r="BF18" s="3"/>
      <c r="BG18" s="3">
        <v>18689301</v>
      </c>
      <c r="BH18" s="3"/>
      <c r="BI18" s="3">
        <f t="shared" si="1"/>
        <v>17750005</v>
      </c>
      <c r="BJ18" s="30"/>
      <c r="BK18" s="3">
        <f>+'St of Net Position'!AE18-BI18</f>
        <v>0</v>
      </c>
    </row>
    <row r="19" spans="1:63" s="102" customFormat="1">
      <c r="A19" s="3" t="s">
        <v>290</v>
      </c>
      <c r="B19" s="103"/>
      <c r="C19" s="103" t="s">
        <v>149</v>
      </c>
      <c r="E19" s="103">
        <v>50856</v>
      </c>
      <c r="G19" s="3">
        <v>190232</v>
      </c>
      <c r="H19" s="3"/>
      <c r="I19" s="3">
        <v>0</v>
      </c>
      <c r="J19" s="3"/>
      <c r="K19" s="3">
        <v>3914497</v>
      </c>
      <c r="L19" s="3"/>
      <c r="M19" s="26">
        <v>0</v>
      </c>
      <c r="N19" s="3"/>
      <c r="O19" s="3">
        <v>55083</v>
      </c>
      <c r="P19" s="3"/>
      <c r="Q19" s="3">
        <v>287529</v>
      </c>
      <c r="R19" s="3"/>
      <c r="S19" s="3">
        <v>71893</v>
      </c>
      <c r="T19" s="3"/>
      <c r="U19" s="3">
        <v>25104</v>
      </c>
      <c r="V19" s="3"/>
      <c r="W19" s="3">
        <v>655347</v>
      </c>
      <c r="X19" s="3"/>
      <c r="Y19" s="3">
        <v>304239</v>
      </c>
      <c r="Z19" s="3"/>
      <c r="AA19" s="3">
        <v>0</v>
      </c>
      <c r="AB19" s="3"/>
      <c r="AC19" s="3">
        <v>577002</v>
      </c>
      <c r="AD19" s="3"/>
      <c r="AE19" s="3" t="s">
        <v>290</v>
      </c>
      <c r="AF19" s="103"/>
      <c r="AG19" s="103" t="s">
        <v>149</v>
      </c>
      <c r="AH19" s="103"/>
      <c r="AI19" s="3">
        <v>0</v>
      </c>
      <c r="AJ19" s="3"/>
      <c r="AK19" s="3">
        <v>185322</v>
      </c>
      <c r="AL19" s="3"/>
      <c r="AM19" s="3"/>
      <c r="AN19" s="3"/>
      <c r="AO19" s="3">
        <v>187972</v>
      </c>
      <c r="AP19" s="3"/>
      <c r="AQ19" s="3">
        <v>0</v>
      </c>
      <c r="AR19" s="3"/>
      <c r="AS19" s="3">
        <v>24004</v>
      </c>
      <c r="AT19" s="3"/>
      <c r="AU19" s="3">
        <v>4393</v>
      </c>
      <c r="AV19" s="3"/>
      <c r="AW19" s="3">
        <v>0</v>
      </c>
      <c r="AX19" s="3"/>
      <c r="AY19" s="3"/>
      <c r="AZ19" s="3"/>
      <c r="BA19" s="3">
        <v>0</v>
      </c>
      <c r="BB19" s="3"/>
      <c r="BC19" s="3">
        <f t="shared" si="0"/>
        <v>6482617</v>
      </c>
      <c r="BD19" s="3"/>
      <c r="BE19" s="3">
        <f>+'St of Act-Rev'!AG19-BC19</f>
        <v>334956</v>
      </c>
      <c r="BF19" s="3"/>
      <c r="BG19" s="3">
        <v>1882215</v>
      </c>
      <c r="BH19" s="3"/>
      <c r="BI19" s="3">
        <f t="shared" si="1"/>
        <v>2217171</v>
      </c>
      <c r="BJ19" s="30"/>
      <c r="BK19" s="3">
        <f>+'St of Net Position'!AE19-BI19</f>
        <v>0</v>
      </c>
    </row>
    <row r="20" spans="1:63" s="102" customFormat="1">
      <c r="A20" s="3" t="s">
        <v>220</v>
      </c>
      <c r="B20" s="103"/>
      <c r="C20" s="103" t="s">
        <v>198</v>
      </c>
      <c r="E20" s="103">
        <v>51656</v>
      </c>
      <c r="G20" s="3">
        <v>1333854</v>
      </c>
      <c r="H20" s="3"/>
      <c r="I20" s="3">
        <v>794982</v>
      </c>
      <c r="J20" s="3"/>
      <c r="K20" s="3">
        <v>6314376</v>
      </c>
      <c r="L20" s="3"/>
      <c r="M20" s="26">
        <v>1279703</v>
      </c>
      <c r="N20" s="3"/>
      <c r="O20" s="3">
        <v>3536</v>
      </c>
      <c r="P20" s="3"/>
      <c r="Q20" s="3">
        <v>948997</v>
      </c>
      <c r="R20" s="3"/>
      <c r="S20" s="3">
        <v>727793</v>
      </c>
      <c r="T20" s="3"/>
      <c r="U20" s="3">
        <v>104105</v>
      </c>
      <c r="V20" s="3"/>
      <c r="W20" s="3">
        <v>723543</v>
      </c>
      <c r="X20" s="3"/>
      <c r="Y20" s="3">
        <v>430582</v>
      </c>
      <c r="Z20" s="3"/>
      <c r="AA20" s="3">
        <v>3044</v>
      </c>
      <c r="AB20" s="3"/>
      <c r="AC20" s="3">
        <v>1429043</v>
      </c>
      <c r="AD20" s="3"/>
      <c r="AE20" s="3" t="s">
        <v>220</v>
      </c>
      <c r="AF20" s="103"/>
      <c r="AG20" s="103" t="s">
        <v>198</v>
      </c>
      <c r="AH20" s="103"/>
      <c r="AI20" s="3">
        <v>12918</v>
      </c>
      <c r="AJ20" s="3"/>
      <c r="AK20" s="3">
        <v>194912</v>
      </c>
      <c r="AL20" s="3"/>
      <c r="AM20" s="3"/>
      <c r="AN20" s="3"/>
      <c r="AO20" s="3">
        <v>472975</v>
      </c>
      <c r="AP20" s="3"/>
      <c r="AQ20" s="3">
        <v>7</v>
      </c>
      <c r="AR20" s="3"/>
      <c r="AS20" s="3">
        <v>11173</v>
      </c>
      <c r="AT20" s="3"/>
      <c r="AU20" s="3">
        <v>5557</v>
      </c>
      <c r="AV20" s="3"/>
      <c r="AW20" s="3">
        <v>0</v>
      </c>
      <c r="AX20" s="3"/>
      <c r="AY20" s="3"/>
      <c r="AZ20" s="3"/>
      <c r="BA20" s="3">
        <v>0</v>
      </c>
      <c r="BB20" s="3"/>
      <c r="BC20" s="3">
        <f t="shared" si="0"/>
        <v>14791100</v>
      </c>
      <c r="BD20" s="3"/>
      <c r="BE20" s="3">
        <f>+'St of Act-Rev'!AG20-BC20</f>
        <v>305151</v>
      </c>
      <c r="BF20" s="3"/>
      <c r="BG20" s="3">
        <v>24978108</v>
      </c>
      <c r="BH20" s="3"/>
      <c r="BI20" s="3">
        <f t="shared" si="1"/>
        <v>25283259</v>
      </c>
      <c r="BJ20" s="30"/>
      <c r="BK20" s="3">
        <f>+'St of Net Position'!AE20-BI20</f>
        <v>0</v>
      </c>
    </row>
    <row r="21" spans="1:63" s="102" customFormat="1">
      <c r="A21" s="3" t="s">
        <v>357</v>
      </c>
      <c r="B21" s="103"/>
      <c r="C21" s="103" t="s">
        <v>147</v>
      </c>
      <c r="E21" s="103">
        <v>50880</v>
      </c>
      <c r="G21" s="3">
        <v>500517</v>
      </c>
      <c r="H21" s="3"/>
      <c r="I21" s="3">
        <v>0</v>
      </c>
      <c r="J21" s="3"/>
      <c r="K21" s="3">
        <v>23650511</v>
      </c>
      <c r="L21" s="3"/>
      <c r="M21" s="26">
        <v>0</v>
      </c>
      <c r="N21" s="3"/>
      <c r="O21" s="3">
        <v>314139</v>
      </c>
      <c r="P21" s="3"/>
      <c r="Q21" s="3">
        <v>1602839</v>
      </c>
      <c r="R21" s="3"/>
      <c r="S21" s="3">
        <v>3537354</v>
      </c>
      <c r="T21" s="3"/>
      <c r="U21" s="3">
        <v>0</v>
      </c>
      <c r="V21" s="3"/>
      <c r="W21" s="3">
        <f>91240+2474495</f>
        <v>2565735</v>
      </c>
      <c r="X21" s="3"/>
      <c r="Y21" s="3">
        <v>1203407</v>
      </c>
      <c r="Z21" s="3"/>
      <c r="AA21" s="3">
        <v>66100</v>
      </c>
      <c r="AB21" s="3"/>
      <c r="AC21" s="3">
        <v>3667405</v>
      </c>
      <c r="AD21" s="3"/>
      <c r="AE21" s="3" t="s">
        <v>357</v>
      </c>
      <c r="AF21" s="103"/>
      <c r="AG21" s="103" t="s">
        <v>147</v>
      </c>
      <c r="AH21" s="103"/>
      <c r="AI21" s="3">
        <v>78578</v>
      </c>
      <c r="AJ21" s="3"/>
      <c r="AK21" s="3">
        <v>3251261</v>
      </c>
      <c r="AL21" s="3"/>
      <c r="AM21" s="3"/>
      <c r="AN21" s="3"/>
      <c r="AO21" s="3">
        <v>0</v>
      </c>
      <c r="AP21" s="3"/>
      <c r="AQ21" s="3">
        <v>13354</v>
      </c>
      <c r="AR21" s="3"/>
      <c r="AS21" s="3">
        <v>425197</v>
      </c>
      <c r="AT21" s="3"/>
      <c r="AU21" s="3">
        <v>50200</v>
      </c>
      <c r="AV21" s="3"/>
      <c r="AW21" s="3">
        <v>0</v>
      </c>
      <c r="AX21" s="3"/>
      <c r="AY21" s="3"/>
      <c r="AZ21" s="3"/>
      <c r="BA21" s="3">
        <v>51686</v>
      </c>
      <c r="BB21" s="3"/>
      <c r="BC21" s="3">
        <f t="shared" si="0"/>
        <v>40978283</v>
      </c>
      <c r="BD21" s="3"/>
      <c r="BE21" s="3">
        <f>+'St of Act-Rev'!AG21-BC21</f>
        <v>2418613</v>
      </c>
      <c r="BF21" s="3"/>
      <c r="BG21" s="3">
        <v>55017673</v>
      </c>
      <c r="BH21" s="3"/>
      <c r="BI21" s="3">
        <f t="shared" si="1"/>
        <v>57436286</v>
      </c>
      <c r="BJ21" s="30"/>
      <c r="BK21" s="3">
        <f>+'St of Net Position'!AE21-BI21</f>
        <v>0</v>
      </c>
    </row>
    <row r="22" spans="1:63" s="102" customFormat="1">
      <c r="A22" s="3" t="s">
        <v>273</v>
      </c>
      <c r="B22" s="103"/>
      <c r="C22" s="103" t="s">
        <v>173</v>
      </c>
      <c r="E22" s="103">
        <v>51201</v>
      </c>
      <c r="G22" s="3">
        <v>344597</v>
      </c>
      <c r="H22" s="3"/>
      <c r="I22" s="3">
        <v>562427</v>
      </c>
      <c r="J22" s="3"/>
      <c r="K22" s="3">
        <v>4866193</v>
      </c>
      <c r="L22" s="3"/>
      <c r="M22" s="26">
        <v>2324086</v>
      </c>
      <c r="N22" s="3"/>
      <c r="O22" s="3">
        <v>0</v>
      </c>
      <c r="P22" s="3"/>
      <c r="Q22" s="3">
        <v>550456</v>
      </c>
      <c r="R22" s="3"/>
      <c r="S22" s="3">
        <v>985815</v>
      </c>
      <c r="T22" s="3"/>
      <c r="U22" s="3">
        <v>22244</v>
      </c>
      <c r="V22" s="3"/>
      <c r="W22" s="3">
        <v>998388</v>
      </c>
      <c r="X22" s="3"/>
      <c r="Y22" s="3">
        <v>423831</v>
      </c>
      <c r="Z22" s="3"/>
      <c r="AA22" s="3">
        <v>424660</v>
      </c>
      <c r="AB22" s="3"/>
      <c r="AC22" s="3">
        <v>1605458</v>
      </c>
      <c r="AD22" s="3"/>
      <c r="AE22" s="3" t="s">
        <v>273</v>
      </c>
      <c r="AF22" s="103"/>
      <c r="AG22" s="103" t="s">
        <v>173</v>
      </c>
      <c r="AH22" s="103"/>
      <c r="AI22" s="3">
        <v>13110</v>
      </c>
      <c r="AJ22" s="3"/>
      <c r="AK22" s="3">
        <v>659614</v>
      </c>
      <c r="AL22" s="3"/>
      <c r="AM22" s="3"/>
      <c r="AN22" s="3"/>
      <c r="AO22" s="3">
        <v>249707</v>
      </c>
      <c r="AP22" s="3"/>
      <c r="AQ22" s="3">
        <v>134</v>
      </c>
      <c r="AR22" s="3"/>
      <c r="AS22" s="3">
        <v>88972</v>
      </c>
      <c r="AT22" s="3"/>
      <c r="AU22" s="3">
        <v>2798823</v>
      </c>
      <c r="AV22" s="3"/>
      <c r="AW22" s="3">
        <v>0</v>
      </c>
      <c r="AX22" s="3"/>
      <c r="AY22" s="3"/>
      <c r="AZ22" s="3"/>
      <c r="BA22" s="3">
        <v>0</v>
      </c>
      <c r="BB22" s="3"/>
      <c r="BC22" s="3">
        <f>SUM(G22:BB22)</f>
        <v>16918515</v>
      </c>
      <c r="BD22" s="3"/>
      <c r="BE22" s="3">
        <f>+'St of Act-Rev'!AG22-BC22</f>
        <v>255549</v>
      </c>
      <c r="BF22" s="3"/>
      <c r="BG22" s="3">
        <v>17991603</v>
      </c>
      <c r="BH22" s="3"/>
      <c r="BI22" s="3">
        <f>+BE22+BG22</f>
        <v>18247152</v>
      </c>
      <c r="BJ22" s="30"/>
      <c r="BK22" s="3">
        <f>+'St of Net Position'!AE22-BI22</f>
        <v>0</v>
      </c>
    </row>
    <row r="23" spans="1:63" s="92" customFormat="1" hidden="1">
      <c r="A23" s="88" t="s">
        <v>271</v>
      </c>
      <c r="B23" s="89"/>
      <c r="C23" s="89" t="s">
        <v>214</v>
      </c>
      <c r="E23" s="89">
        <v>63511</v>
      </c>
      <c r="G23" s="88">
        <v>0</v>
      </c>
      <c r="H23" s="88"/>
      <c r="I23" s="88">
        <v>0</v>
      </c>
      <c r="J23" s="88"/>
      <c r="K23" s="88">
        <v>0</v>
      </c>
      <c r="L23" s="88"/>
      <c r="M23" s="88">
        <v>0</v>
      </c>
      <c r="N23" s="88"/>
      <c r="O23" s="88">
        <v>0</v>
      </c>
      <c r="P23" s="88"/>
      <c r="Q23" s="88">
        <v>0</v>
      </c>
      <c r="R23" s="88"/>
      <c r="S23" s="88">
        <v>0</v>
      </c>
      <c r="T23" s="88"/>
      <c r="U23" s="88">
        <v>0</v>
      </c>
      <c r="V23" s="88"/>
      <c r="W23" s="88">
        <v>0</v>
      </c>
      <c r="X23" s="88"/>
      <c r="Y23" s="88">
        <v>0</v>
      </c>
      <c r="Z23" s="88"/>
      <c r="AA23" s="88">
        <v>0</v>
      </c>
      <c r="AB23" s="88"/>
      <c r="AC23" s="88">
        <v>0</v>
      </c>
      <c r="AD23" s="88"/>
      <c r="AE23" s="88" t="s">
        <v>271</v>
      </c>
      <c r="AF23" s="89"/>
      <c r="AG23" s="89" t="s">
        <v>214</v>
      </c>
      <c r="AH23" s="89"/>
      <c r="AI23" s="88">
        <v>0</v>
      </c>
      <c r="AJ23" s="88"/>
      <c r="AK23" s="88">
        <v>0</v>
      </c>
      <c r="AL23" s="88"/>
      <c r="AM23" s="88"/>
      <c r="AN23" s="88"/>
      <c r="AO23" s="88">
        <v>0</v>
      </c>
      <c r="AP23" s="88"/>
      <c r="AQ23" s="88">
        <v>0</v>
      </c>
      <c r="AR23" s="88"/>
      <c r="AS23" s="88">
        <v>0</v>
      </c>
      <c r="AT23" s="88"/>
      <c r="AU23" s="88">
        <v>0</v>
      </c>
      <c r="AV23" s="88"/>
      <c r="AW23" s="88">
        <v>0</v>
      </c>
      <c r="AX23" s="88"/>
      <c r="AY23" s="88"/>
      <c r="AZ23" s="88"/>
      <c r="BA23" s="88">
        <v>0</v>
      </c>
      <c r="BB23" s="88"/>
      <c r="BC23" s="88">
        <f t="shared" si="0"/>
        <v>0</v>
      </c>
      <c r="BD23" s="88"/>
      <c r="BE23" s="88">
        <f>+'St of Act-Rev'!AG23-BC23</f>
        <v>0</v>
      </c>
      <c r="BF23" s="88"/>
      <c r="BG23" s="88">
        <v>0</v>
      </c>
      <c r="BH23" s="88"/>
      <c r="BI23" s="88">
        <f t="shared" si="1"/>
        <v>0</v>
      </c>
      <c r="BJ23" s="94"/>
      <c r="BK23" s="88">
        <f>+'St of Net Position'!AE23-BI23</f>
        <v>0</v>
      </c>
    </row>
    <row r="24" spans="1:63" s="102" customFormat="1">
      <c r="A24" s="3" t="s">
        <v>356</v>
      </c>
      <c r="B24" s="103"/>
      <c r="C24" s="103" t="s">
        <v>156</v>
      </c>
      <c r="E24" s="103">
        <v>50906</v>
      </c>
      <c r="G24" s="3">
        <v>0</v>
      </c>
      <c r="H24" s="3"/>
      <c r="I24" s="3">
        <v>0</v>
      </c>
      <c r="J24" s="3"/>
      <c r="K24" s="3">
        <v>2985757</v>
      </c>
      <c r="L24" s="3"/>
      <c r="M24" s="3">
        <v>1033292</v>
      </c>
      <c r="N24" s="3"/>
      <c r="O24" s="3">
        <v>0</v>
      </c>
      <c r="P24" s="3"/>
      <c r="Q24" s="3">
        <v>669434</v>
      </c>
      <c r="R24" s="3"/>
      <c r="S24" s="3">
        <v>694836</v>
      </c>
      <c r="T24" s="3"/>
      <c r="U24" s="3">
        <v>28934</v>
      </c>
      <c r="V24" s="3"/>
      <c r="W24" s="3">
        <v>381097</v>
      </c>
      <c r="X24" s="3"/>
      <c r="Y24" s="3">
        <v>336468</v>
      </c>
      <c r="Z24" s="3"/>
      <c r="AA24" s="3">
        <v>0</v>
      </c>
      <c r="AB24" s="3"/>
      <c r="AC24" s="3">
        <v>854823</v>
      </c>
      <c r="AD24" s="3"/>
      <c r="AE24" s="3" t="s">
        <v>356</v>
      </c>
      <c r="AF24" s="103"/>
      <c r="AG24" s="103" t="s">
        <v>156</v>
      </c>
      <c r="AH24" s="103"/>
      <c r="AI24" s="3">
        <v>0</v>
      </c>
      <c r="AJ24" s="3"/>
      <c r="AK24" s="3">
        <v>3465</v>
      </c>
      <c r="AL24" s="3"/>
      <c r="AM24" s="3"/>
      <c r="AN24" s="3"/>
      <c r="AO24" s="3">
        <v>161723</v>
      </c>
      <c r="AP24" s="3"/>
      <c r="AQ24" s="3">
        <v>0</v>
      </c>
      <c r="AR24" s="3"/>
      <c r="AS24" s="3">
        <v>43638</v>
      </c>
      <c r="AT24" s="3"/>
      <c r="AU24" s="3">
        <v>0</v>
      </c>
      <c r="AV24" s="3"/>
      <c r="AW24" s="3">
        <v>0</v>
      </c>
      <c r="AX24" s="3"/>
      <c r="AY24" s="3"/>
      <c r="AZ24" s="3"/>
      <c r="BA24" s="3">
        <v>0</v>
      </c>
      <c r="BB24" s="3"/>
      <c r="BC24" s="3">
        <f t="shared" si="0"/>
        <v>7193467</v>
      </c>
      <c r="BD24" s="3"/>
      <c r="BE24" s="3">
        <f>+'St of Act-Rev'!AG24-BC24</f>
        <v>1009304</v>
      </c>
      <c r="BF24" s="3"/>
      <c r="BG24" s="3">
        <v>15539338</v>
      </c>
      <c r="BH24" s="3"/>
      <c r="BI24" s="3">
        <f t="shared" si="1"/>
        <v>16548642</v>
      </c>
      <c r="BJ24" s="30"/>
      <c r="BK24" s="3">
        <f>+'St of Net Position'!AE24-BI24</f>
        <v>0</v>
      </c>
    </row>
    <row r="25" spans="1:63" s="102" customFormat="1">
      <c r="A25" s="3" t="s">
        <v>243</v>
      </c>
      <c r="B25" s="103"/>
      <c r="C25" s="103" t="s">
        <v>207</v>
      </c>
      <c r="E25" s="103">
        <v>65227</v>
      </c>
      <c r="G25" s="3">
        <v>532143</v>
      </c>
      <c r="H25" s="3"/>
      <c r="I25" s="3">
        <v>90951</v>
      </c>
      <c r="J25" s="3"/>
      <c r="K25" s="3">
        <v>1626371</v>
      </c>
      <c r="L25" s="3"/>
      <c r="M25" s="3">
        <v>0</v>
      </c>
      <c r="N25" s="3"/>
      <c r="O25" s="3">
        <v>0</v>
      </c>
      <c r="P25" s="3"/>
      <c r="Q25" s="3">
        <v>208719</v>
      </c>
      <c r="R25" s="3"/>
      <c r="S25" s="3">
        <v>263078</v>
      </c>
      <c r="T25" s="3"/>
      <c r="U25" s="3">
        <v>33825</v>
      </c>
      <c r="V25" s="3"/>
      <c r="W25" s="3">
        <v>228483</v>
      </c>
      <c r="X25" s="3"/>
      <c r="Y25" s="3">
        <v>209945</v>
      </c>
      <c r="Z25" s="3"/>
      <c r="AA25" s="3">
        <v>17940</v>
      </c>
      <c r="AB25" s="3"/>
      <c r="AC25" s="3">
        <v>509413</v>
      </c>
      <c r="AD25" s="3"/>
      <c r="AE25" s="3" t="s">
        <v>243</v>
      </c>
      <c r="AF25" s="103"/>
      <c r="AG25" s="103" t="s">
        <v>207</v>
      </c>
      <c r="AH25" s="103"/>
      <c r="AI25" s="3">
        <v>15304</v>
      </c>
      <c r="AJ25" s="3"/>
      <c r="AK25" s="3">
        <v>25370</v>
      </c>
      <c r="AL25" s="3"/>
      <c r="AM25" s="3"/>
      <c r="AN25" s="3"/>
      <c r="AO25" s="3">
        <v>124059</v>
      </c>
      <c r="AP25" s="3"/>
      <c r="AQ25" s="3">
        <v>0</v>
      </c>
      <c r="AR25" s="3"/>
      <c r="AS25" s="3">
        <v>18068</v>
      </c>
      <c r="AT25" s="3"/>
      <c r="AU25" s="3">
        <v>13879</v>
      </c>
      <c r="AV25" s="3"/>
      <c r="AW25" s="3">
        <v>0</v>
      </c>
      <c r="AX25" s="3"/>
      <c r="AY25" s="3"/>
      <c r="AZ25" s="3"/>
      <c r="BA25" s="3">
        <v>0</v>
      </c>
      <c r="BB25" s="3"/>
      <c r="BC25" s="3">
        <f t="shared" si="0"/>
        <v>3917548</v>
      </c>
      <c r="BD25" s="3"/>
      <c r="BE25" s="3">
        <f>+'St of Act-Rev'!AG25-BC25</f>
        <v>-110584</v>
      </c>
      <c r="BF25" s="3"/>
      <c r="BG25" s="3">
        <v>1445190</v>
      </c>
      <c r="BH25" s="3"/>
      <c r="BI25" s="3">
        <f t="shared" si="1"/>
        <v>1334606</v>
      </c>
      <c r="BJ25" s="30"/>
      <c r="BK25" s="3">
        <f>+'St of Net Position'!AE25-BI25</f>
        <v>0</v>
      </c>
    </row>
    <row r="26" spans="1:63" s="102" customFormat="1">
      <c r="A26" s="3" t="s">
        <v>241</v>
      </c>
      <c r="B26" s="103"/>
      <c r="C26" s="103" t="s">
        <v>157</v>
      </c>
      <c r="E26" s="103">
        <v>50922</v>
      </c>
      <c r="G26" s="3">
        <v>738236</v>
      </c>
      <c r="H26" s="3"/>
      <c r="I26" s="3">
        <v>0</v>
      </c>
      <c r="J26" s="3"/>
      <c r="K26" s="3">
        <v>5325982</v>
      </c>
      <c r="L26" s="3"/>
      <c r="M26" s="3">
        <v>1407225</v>
      </c>
      <c r="N26" s="3"/>
      <c r="O26" s="3">
        <v>0</v>
      </c>
      <c r="P26" s="3"/>
      <c r="Q26" s="3">
        <v>700067</v>
      </c>
      <c r="R26" s="3"/>
      <c r="S26" s="3">
        <v>1243459</v>
      </c>
      <c r="T26" s="3"/>
      <c r="U26" s="3">
        <v>31279</v>
      </c>
      <c r="V26" s="3"/>
      <c r="W26" s="3">
        <v>1911447</v>
      </c>
      <c r="X26" s="3"/>
      <c r="Y26" s="3">
        <v>909260</v>
      </c>
      <c r="Z26" s="3"/>
      <c r="AA26" s="3">
        <v>634740</v>
      </c>
      <c r="AB26" s="3"/>
      <c r="AC26" s="3">
        <v>1423245</v>
      </c>
      <c r="AD26" s="3"/>
      <c r="AE26" s="3" t="s">
        <v>241</v>
      </c>
      <c r="AF26" s="103"/>
      <c r="AG26" s="103" t="s">
        <v>157</v>
      </c>
      <c r="AH26" s="103"/>
      <c r="AI26" s="3">
        <v>13870</v>
      </c>
      <c r="AJ26" s="3"/>
      <c r="AK26" s="3">
        <v>362891</v>
      </c>
      <c r="AL26" s="3"/>
      <c r="AM26" s="3"/>
      <c r="AN26" s="3"/>
      <c r="AO26" s="3">
        <v>132486</v>
      </c>
      <c r="AP26" s="3"/>
      <c r="AQ26" s="3">
        <v>16296</v>
      </c>
      <c r="AR26" s="3"/>
      <c r="AS26" s="3">
        <v>88922</v>
      </c>
      <c r="AT26" s="3"/>
      <c r="AU26" s="3">
        <v>7477</v>
      </c>
      <c r="AV26" s="3"/>
      <c r="AW26" s="3">
        <v>0</v>
      </c>
      <c r="AX26" s="3"/>
      <c r="AY26" s="3"/>
      <c r="AZ26" s="3"/>
      <c r="BA26" s="3">
        <f>120417+1823185</f>
        <v>1943602</v>
      </c>
      <c r="BB26" s="3"/>
      <c r="BC26" s="3">
        <f t="shared" si="0"/>
        <v>16890484</v>
      </c>
      <c r="BD26" s="3"/>
      <c r="BE26" s="3">
        <f>+'St of Act-Rev'!AG26-BC26</f>
        <v>-837475</v>
      </c>
      <c r="BF26" s="3"/>
      <c r="BG26" s="3">
        <v>29119694</v>
      </c>
      <c r="BH26" s="3"/>
      <c r="BI26" s="3">
        <f t="shared" si="1"/>
        <v>28282219</v>
      </c>
      <c r="BJ26" s="30"/>
      <c r="BK26" s="3">
        <f>+'St of Net Position'!AE26-BI26</f>
        <v>0</v>
      </c>
    </row>
    <row r="27" spans="1:63" s="102" customFormat="1">
      <c r="A27" s="3" t="s">
        <v>240</v>
      </c>
      <c r="B27" s="103"/>
      <c r="C27" s="103" t="s">
        <v>159</v>
      </c>
      <c r="E27" s="103">
        <v>50989</v>
      </c>
      <c r="G27" s="3">
        <v>1085006</v>
      </c>
      <c r="H27" s="3"/>
      <c r="I27" s="3">
        <v>254315</v>
      </c>
      <c r="J27" s="3"/>
      <c r="K27" s="3">
        <v>5716143</v>
      </c>
      <c r="L27" s="3"/>
      <c r="M27" s="3">
        <v>1095774</v>
      </c>
      <c r="N27" s="3"/>
      <c r="O27" s="3">
        <v>106955</v>
      </c>
      <c r="P27" s="3"/>
      <c r="Q27" s="3">
        <v>1308490</v>
      </c>
      <c r="R27" s="3"/>
      <c r="S27" s="3">
        <v>1149438</v>
      </c>
      <c r="T27" s="3"/>
      <c r="U27" s="3">
        <v>129671</v>
      </c>
      <c r="V27" s="3"/>
      <c r="W27" s="3">
        <v>1165440</v>
      </c>
      <c r="X27" s="3"/>
      <c r="Y27" s="3">
        <v>726211</v>
      </c>
      <c r="Z27" s="3"/>
      <c r="AA27" s="3">
        <v>0</v>
      </c>
      <c r="AB27" s="3"/>
      <c r="AC27" s="3">
        <v>1718932</v>
      </c>
      <c r="AD27" s="3"/>
      <c r="AE27" s="3" t="s">
        <v>240</v>
      </c>
      <c r="AF27" s="103"/>
      <c r="AG27" s="103" t="s">
        <v>159</v>
      </c>
      <c r="AH27" s="103"/>
      <c r="AI27" s="3">
        <v>30601</v>
      </c>
      <c r="AJ27" s="3"/>
      <c r="AK27" s="3">
        <v>263301</v>
      </c>
      <c r="AL27" s="3"/>
      <c r="AM27" s="3"/>
      <c r="AN27" s="3"/>
      <c r="AO27" s="3">
        <v>229679</v>
      </c>
      <c r="AP27" s="3"/>
      <c r="AQ27" s="3">
        <v>21637</v>
      </c>
      <c r="AR27" s="3"/>
      <c r="AS27" s="3">
        <v>14609</v>
      </c>
      <c r="AT27" s="3"/>
      <c r="AU27" s="3">
        <v>5384</v>
      </c>
      <c r="AV27" s="3"/>
      <c r="AW27" s="3">
        <v>0</v>
      </c>
      <c r="AX27" s="3"/>
      <c r="AY27" s="3"/>
      <c r="AZ27" s="3"/>
      <c r="BA27" s="3">
        <v>28017</v>
      </c>
      <c r="BB27" s="3"/>
      <c r="BC27" s="3">
        <f t="shared" si="0"/>
        <v>15049603</v>
      </c>
      <c r="BD27" s="3"/>
      <c r="BE27" s="3">
        <f>+'St of Act-Rev'!AG27-BC27</f>
        <v>3136480</v>
      </c>
      <c r="BF27" s="3"/>
      <c r="BG27" s="3">
        <v>40667844</v>
      </c>
      <c r="BH27" s="3"/>
      <c r="BI27" s="3">
        <f t="shared" si="1"/>
        <v>43804324</v>
      </c>
      <c r="BJ27" s="30"/>
      <c r="BK27" s="3">
        <f>+'St of Net Position'!AE27-BI27</f>
        <v>0</v>
      </c>
    </row>
    <row r="28" spans="1:63" s="102" customFormat="1">
      <c r="A28" s="3" t="s">
        <v>358</v>
      </c>
      <c r="B28" s="103"/>
      <c r="C28" s="103" t="s">
        <v>162</v>
      </c>
      <c r="E28" s="103">
        <v>51003</v>
      </c>
      <c r="G28" s="3">
        <v>3694111</v>
      </c>
      <c r="H28" s="3"/>
      <c r="I28" s="3">
        <v>1436881</v>
      </c>
      <c r="J28" s="3"/>
      <c r="K28" s="3">
        <v>6619299</v>
      </c>
      <c r="L28" s="3"/>
      <c r="M28" s="3">
        <v>214302</v>
      </c>
      <c r="N28" s="3"/>
      <c r="O28" s="3">
        <v>567417</v>
      </c>
      <c r="P28" s="3"/>
      <c r="Q28" s="3">
        <v>964787</v>
      </c>
      <c r="R28" s="3"/>
      <c r="S28" s="3">
        <v>414216</v>
      </c>
      <c r="T28" s="3"/>
      <c r="U28" s="3">
        <v>31229</v>
      </c>
      <c r="V28" s="3"/>
      <c r="W28" s="3">
        <v>2219216</v>
      </c>
      <c r="X28" s="3"/>
      <c r="Y28" s="3">
        <v>797191</v>
      </c>
      <c r="Z28" s="3"/>
      <c r="AA28" s="3">
        <v>0</v>
      </c>
      <c r="AB28" s="3"/>
      <c r="AC28" s="3">
        <v>2759865</v>
      </c>
      <c r="AD28" s="3"/>
      <c r="AE28" s="3" t="s">
        <v>358</v>
      </c>
      <c r="AF28" s="103"/>
      <c r="AG28" s="103" t="s">
        <v>162</v>
      </c>
      <c r="AH28" s="103"/>
      <c r="AI28" s="3">
        <v>65642</v>
      </c>
      <c r="AJ28" s="3"/>
      <c r="AK28" s="3">
        <v>957180</v>
      </c>
      <c r="AL28" s="3"/>
      <c r="AM28" s="3"/>
      <c r="AN28" s="3"/>
      <c r="AO28" s="3">
        <v>0</v>
      </c>
      <c r="AP28" s="3"/>
      <c r="AQ28" s="3">
        <v>436354</v>
      </c>
      <c r="AR28" s="3"/>
      <c r="AS28" s="3">
        <v>86419</v>
      </c>
      <c r="AT28" s="3"/>
      <c r="AU28" s="3">
        <v>99621</v>
      </c>
      <c r="AV28" s="3"/>
      <c r="AW28" s="3">
        <v>0</v>
      </c>
      <c r="AX28" s="3"/>
      <c r="AY28" s="3"/>
      <c r="AZ28" s="3"/>
      <c r="BA28" s="3">
        <v>0</v>
      </c>
      <c r="BB28" s="3"/>
      <c r="BC28" s="3">
        <f t="shared" si="0"/>
        <v>21363730</v>
      </c>
      <c r="BD28" s="3"/>
      <c r="BE28" s="3">
        <f>+'St of Act-Rev'!AG28-BC28</f>
        <v>-568659</v>
      </c>
      <c r="BF28" s="3"/>
      <c r="BG28" s="3">
        <v>41048712</v>
      </c>
      <c r="BH28" s="3"/>
      <c r="BI28" s="3">
        <f t="shared" si="1"/>
        <v>40480053</v>
      </c>
      <c r="BJ28" s="30"/>
      <c r="BK28" s="3">
        <f>+'St of Net Position'!AE28-BI28</f>
        <v>0</v>
      </c>
    </row>
    <row r="29" spans="1:63" s="102" customFormat="1">
      <c r="A29" s="3" t="s">
        <v>242</v>
      </c>
      <c r="B29" s="103"/>
      <c r="C29" s="103" t="s">
        <v>160</v>
      </c>
      <c r="E29" s="103">
        <v>51029</v>
      </c>
      <c r="G29" s="3">
        <v>903378</v>
      </c>
      <c r="H29" s="3"/>
      <c r="I29" s="3">
        <v>317371</v>
      </c>
      <c r="J29" s="3"/>
      <c r="K29" s="3">
        <v>5457927</v>
      </c>
      <c r="L29" s="3"/>
      <c r="M29" s="3">
        <v>3768765</v>
      </c>
      <c r="N29" s="3"/>
      <c r="O29" s="3">
        <v>0</v>
      </c>
      <c r="P29" s="3"/>
      <c r="Q29" s="3">
        <v>1025002</v>
      </c>
      <c r="R29" s="3"/>
      <c r="S29" s="3">
        <v>319116</v>
      </c>
      <c r="T29" s="3"/>
      <c r="U29" s="3">
        <v>58145</v>
      </c>
      <c r="V29" s="3"/>
      <c r="W29" s="3">
        <v>2115177</v>
      </c>
      <c r="X29" s="3"/>
      <c r="Y29" s="3">
        <v>583381</v>
      </c>
      <c r="Z29" s="3"/>
      <c r="AA29" s="3">
        <v>276700</v>
      </c>
      <c r="AB29" s="3"/>
      <c r="AC29" s="3">
        <v>1629282</v>
      </c>
      <c r="AD29" s="3"/>
      <c r="AE29" s="3" t="s">
        <v>242</v>
      </c>
      <c r="AF29" s="103"/>
      <c r="AG29" s="103" t="s">
        <v>160</v>
      </c>
      <c r="AH29" s="103"/>
      <c r="AI29" s="3">
        <v>37646</v>
      </c>
      <c r="AJ29" s="3"/>
      <c r="AK29" s="3">
        <v>528889</v>
      </c>
      <c r="AL29" s="3"/>
      <c r="AM29" s="3"/>
      <c r="AN29" s="3"/>
      <c r="AO29" s="3">
        <v>443015</v>
      </c>
      <c r="AP29" s="3"/>
      <c r="AQ29" s="3">
        <v>237935</v>
      </c>
      <c r="AR29" s="3"/>
      <c r="AS29" s="3">
        <v>0</v>
      </c>
      <c r="AT29" s="3"/>
      <c r="AU29" s="3">
        <v>347890</v>
      </c>
      <c r="AV29" s="3"/>
      <c r="AW29" s="3">
        <v>0</v>
      </c>
      <c r="AX29" s="3"/>
      <c r="AY29" s="3"/>
      <c r="AZ29" s="3"/>
      <c r="BA29" s="3">
        <v>193875</v>
      </c>
      <c r="BB29" s="3"/>
      <c r="BC29" s="3">
        <f t="shared" si="0"/>
        <v>18243494</v>
      </c>
      <c r="BD29" s="3"/>
      <c r="BE29" s="3">
        <f>+'St of Act-Rev'!AG29-BC29</f>
        <v>958008</v>
      </c>
      <c r="BF29" s="3"/>
      <c r="BG29" s="3">
        <v>3885426</v>
      </c>
      <c r="BH29" s="3"/>
      <c r="BI29" s="3">
        <f t="shared" si="1"/>
        <v>4843434</v>
      </c>
      <c r="BJ29" s="30"/>
      <c r="BK29" s="3">
        <f>+'St of Net Position'!AE29-BI29</f>
        <v>0</v>
      </c>
    </row>
    <row r="30" spans="1:63" s="102" customFormat="1">
      <c r="A30" s="3" t="s">
        <v>244</v>
      </c>
      <c r="B30" s="103"/>
      <c r="C30" s="103" t="s">
        <v>209</v>
      </c>
      <c r="E30" s="103">
        <v>50963</v>
      </c>
      <c r="G30" s="3">
        <v>21805</v>
      </c>
      <c r="H30" s="3"/>
      <c r="I30" s="3">
        <v>0</v>
      </c>
      <c r="J30" s="3"/>
      <c r="K30" s="3">
        <v>9254213</v>
      </c>
      <c r="L30" s="3"/>
      <c r="M30" s="3">
        <v>1240890</v>
      </c>
      <c r="N30" s="3"/>
      <c r="O30" s="3">
        <v>0</v>
      </c>
      <c r="P30" s="3"/>
      <c r="Q30" s="3">
        <v>1540333</v>
      </c>
      <c r="R30" s="3"/>
      <c r="S30" s="3">
        <v>496746</v>
      </c>
      <c r="T30" s="3"/>
      <c r="U30" s="3">
        <v>61919</v>
      </c>
      <c r="V30" s="3"/>
      <c r="W30" s="3">
        <v>1366661</v>
      </c>
      <c r="X30" s="3"/>
      <c r="Y30" s="3">
        <v>512890</v>
      </c>
      <c r="Z30" s="3"/>
      <c r="AA30" s="3">
        <v>89561</v>
      </c>
      <c r="AB30" s="3"/>
      <c r="AC30" s="3">
        <v>2560095</v>
      </c>
      <c r="AD30" s="3"/>
      <c r="AE30" s="3" t="s">
        <v>244</v>
      </c>
      <c r="AF30" s="103"/>
      <c r="AG30" s="103" t="s">
        <v>209</v>
      </c>
      <c r="AH30" s="103"/>
      <c r="AI30" s="3">
        <v>31839</v>
      </c>
      <c r="AJ30" s="3"/>
      <c r="AK30" s="3">
        <v>428754</v>
      </c>
      <c r="AL30" s="3"/>
      <c r="AM30" s="3"/>
      <c r="AN30" s="3"/>
      <c r="AO30" s="3">
        <v>0</v>
      </c>
      <c r="AP30" s="3"/>
      <c r="AQ30" s="3">
        <v>518012</v>
      </c>
      <c r="AR30" s="3"/>
      <c r="AS30" s="3">
        <v>90166</v>
      </c>
      <c r="AT30" s="3"/>
      <c r="AU30" s="3">
        <v>43344</v>
      </c>
      <c r="AV30" s="3"/>
      <c r="AW30" s="3">
        <v>0</v>
      </c>
      <c r="AX30" s="3"/>
      <c r="AY30" s="3"/>
      <c r="AZ30" s="3"/>
      <c r="BA30" s="3">
        <v>90456</v>
      </c>
      <c r="BB30" s="3"/>
      <c r="BC30" s="3">
        <f t="shared" si="0"/>
        <v>18347684</v>
      </c>
      <c r="BD30" s="3"/>
      <c r="BE30" s="3">
        <f>+'St of Act-Rev'!AG30-BC30</f>
        <v>-1252352</v>
      </c>
      <c r="BF30" s="3"/>
      <c r="BG30" s="3">
        <v>16747013</v>
      </c>
      <c r="BH30" s="3"/>
      <c r="BI30" s="3">
        <f t="shared" si="1"/>
        <v>15494661</v>
      </c>
      <c r="BJ30" s="30"/>
      <c r="BK30" s="3">
        <f>+'St of Net Position'!AE30-BI30</f>
        <v>0</v>
      </c>
    </row>
    <row r="31" spans="1:63" s="102" customFormat="1">
      <c r="A31" s="3" t="s">
        <v>208</v>
      </c>
      <c r="B31" s="103"/>
      <c r="C31" s="103" t="s">
        <v>165</v>
      </c>
      <c r="E31" s="103">
        <v>62067</v>
      </c>
      <c r="G31" s="3">
        <v>85922</v>
      </c>
      <c r="H31" s="3"/>
      <c r="I31" s="3">
        <v>819374</v>
      </c>
      <c r="J31" s="3"/>
      <c r="K31" s="3">
        <v>4472966</v>
      </c>
      <c r="L31" s="3"/>
      <c r="M31" s="3">
        <v>711915</v>
      </c>
      <c r="N31" s="3"/>
      <c r="O31" s="3">
        <v>0</v>
      </c>
      <c r="P31" s="3"/>
      <c r="Q31" s="3">
        <v>402104</v>
      </c>
      <c r="R31" s="3"/>
      <c r="S31" s="3">
        <v>374453</v>
      </c>
      <c r="T31" s="3"/>
      <c r="U31" s="3">
        <v>102465</v>
      </c>
      <c r="V31" s="3"/>
      <c r="W31" s="3">
        <v>596777</v>
      </c>
      <c r="X31" s="3"/>
      <c r="Y31" s="3">
        <v>359167</v>
      </c>
      <c r="Z31" s="3"/>
      <c r="AA31" s="3">
        <v>58186</v>
      </c>
      <c r="AB31" s="3"/>
      <c r="AC31" s="3">
        <v>1412555</v>
      </c>
      <c r="AD31" s="3"/>
      <c r="AE31" s="3" t="s">
        <v>208</v>
      </c>
      <c r="AF31" s="103"/>
      <c r="AG31" s="103" t="s">
        <v>165</v>
      </c>
      <c r="AH31" s="103"/>
      <c r="AI31" s="3">
        <v>21191</v>
      </c>
      <c r="AJ31" s="3"/>
      <c r="AK31" s="3">
        <v>241081</v>
      </c>
      <c r="AL31" s="3"/>
      <c r="AM31" s="3"/>
      <c r="AN31" s="3"/>
      <c r="AO31" s="3">
        <v>231047</v>
      </c>
      <c r="AP31" s="3"/>
      <c r="AQ31" s="3">
        <v>0</v>
      </c>
      <c r="AR31" s="3"/>
      <c r="AS31" s="3">
        <v>3406</v>
      </c>
      <c r="AT31" s="3"/>
      <c r="AU31" s="3">
        <v>50479</v>
      </c>
      <c r="AV31" s="3"/>
      <c r="AW31" s="3">
        <v>0</v>
      </c>
      <c r="AX31" s="3"/>
      <c r="AY31" s="3"/>
      <c r="AZ31" s="3"/>
      <c r="BA31" s="3">
        <v>0</v>
      </c>
      <c r="BB31" s="3"/>
      <c r="BC31" s="3">
        <f t="shared" si="0"/>
        <v>9943088</v>
      </c>
      <c r="BD31" s="3"/>
      <c r="BE31" s="3">
        <f>+'St of Act-Rev'!AG31-BC31</f>
        <v>239302</v>
      </c>
      <c r="BF31" s="3"/>
      <c r="BG31" s="3">
        <v>23694343</v>
      </c>
      <c r="BH31" s="3"/>
      <c r="BI31" s="3">
        <f t="shared" si="1"/>
        <v>23933645</v>
      </c>
      <c r="BJ31" s="30"/>
      <c r="BK31" s="3">
        <f>+'St of Net Position'!AE31-BI31</f>
        <v>0</v>
      </c>
    </row>
    <row r="32" spans="1:63" s="102" customFormat="1">
      <c r="A32" s="3" t="s">
        <v>359</v>
      </c>
      <c r="B32" s="103"/>
      <c r="C32" s="103" t="s">
        <v>168</v>
      </c>
      <c r="E32" s="103">
        <v>51060</v>
      </c>
      <c r="G32" s="3">
        <v>7117595</v>
      </c>
      <c r="H32" s="3"/>
      <c r="I32" s="3">
        <v>0</v>
      </c>
      <c r="J32" s="3"/>
      <c r="K32" s="3">
        <v>24293331</v>
      </c>
      <c r="L32" s="3"/>
      <c r="M32" s="3">
        <v>5890600</v>
      </c>
      <c r="N32" s="3"/>
      <c r="O32" s="3">
        <v>0</v>
      </c>
      <c r="P32" s="3"/>
      <c r="Q32" s="3">
        <v>5172692</v>
      </c>
      <c r="R32" s="3"/>
      <c r="S32" s="3">
        <v>2734677</v>
      </c>
      <c r="T32" s="3"/>
      <c r="U32" s="3">
        <v>390422</v>
      </c>
      <c r="V32" s="3"/>
      <c r="W32" s="3">
        <v>3675807</v>
      </c>
      <c r="X32" s="3"/>
      <c r="Y32" s="3">
        <v>1763315</v>
      </c>
      <c r="Z32" s="3"/>
      <c r="AA32" s="3">
        <v>650678</v>
      </c>
      <c r="AB32" s="3"/>
      <c r="AC32" s="3">
        <v>6983410</v>
      </c>
      <c r="AD32" s="3"/>
      <c r="AE32" s="3" t="s">
        <v>359</v>
      </c>
      <c r="AF32" s="3"/>
      <c r="AG32" s="3" t="s">
        <v>168</v>
      </c>
      <c r="AH32" s="103"/>
      <c r="AI32" s="3">
        <v>715515</v>
      </c>
      <c r="AJ32" s="3"/>
      <c r="AK32" s="3">
        <v>5044525</v>
      </c>
      <c r="AL32" s="3"/>
      <c r="AM32" s="3"/>
      <c r="AN32" s="3"/>
      <c r="AO32" s="3">
        <v>0</v>
      </c>
      <c r="AP32" s="3"/>
      <c r="AQ32" s="3">
        <v>1575549</v>
      </c>
      <c r="AR32" s="3"/>
      <c r="AS32" s="3">
        <v>6831</v>
      </c>
      <c r="AT32" s="3"/>
      <c r="AU32" s="3">
        <v>499620</v>
      </c>
      <c r="AV32" s="3"/>
      <c r="AW32" s="3">
        <v>0</v>
      </c>
      <c r="AX32" s="3"/>
      <c r="AY32" s="3"/>
      <c r="AZ32" s="3"/>
      <c r="BA32" s="3">
        <v>76007</v>
      </c>
      <c r="BB32" s="3"/>
      <c r="BC32" s="3">
        <f t="shared" si="0"/>
        <v>66590574</v>
      </c>
      <c r="BD32" s="3"/>
      <c r="BE32" s="3">
        <f>+'St of Act-Rev'!AG32-BC32</f>
        <v>76066</v>
      </c>
      <c r="BF32" s="3"/>
      <c r="BG32" s="3">
        <v>128941220</v>
      </c>
      <c r="BH32" s="3"/>
      <c r="BI32" s="3">
        <f t="shared" si="1"/>
        <v>129017286</v>
      </c>
      <c r="BJ32" s="30"/>
      <c r="BK32" s="3">
        <f>+'St of Net Position'!AE32-BI32</f>
        <v>0</v>
      </c>
    </row>
    <row r="33" spans="1:63" s="102" customFormat="1">
      <c r="A33" s="3" t="s">
        <v>315</v>
      </c>
      <c r="B33" s="103"/>
      <c r="C33" s="103" t="s">
        <v>167</v>
      </c>
      <c r="E33" s="103">
        <v>51045</v>
      </c>
      <c r="G33" s="3">
        <v>1026998</v>
      </c>
      <c r="H33" s="3"/>
      <c r="I33" s="3">
        <v>0</v>
      </c>
      <c r="J33" s="3"/>
      <c r="K33" s="3">
        <v>6933024</v>
      </c>
      <c r="L33" s="3"/>
      <c r="M33" s="3">
        <v>772227</v>
      </c>
      <c r="N33" s="3"/>
      <c r="O33" s="3">
        <v>0</v>
      </c>
      <c r="P33" s="3"/>
      <c r="Q33" s="3">
        <v>988092</v>
      </c>
      <c r="R33" s="3"/>
      <c r="S33" s="3">
        <v>1838823</v>
      </c>
      <c r="T33" s="3"/>
      <c r="U33" s="3">
        <v>570313</v>
      </c>
      <c r="V33" s="3"/>
      <c r="W33" s="3">
        <v>1004805</v>
      </c>
      <c r="X33" s="3"/>
      <c r="Y33" s="3">
        <v>471887</v>
      </c>
      <c r="Z33" s="3"/>
      <c r="AA33" s="3">
        <v>0</v>
      </c>
      <c r="AB33" s="3"/>
      <c r="AC33" s="3">
        <v>1330221</v>
      </c>
      <c r="AD33" s="3"/>
      <c r="AE33" s="3" t="s">
        <v>315</v>
      </c>
      <c r="AF33" s="103"/>
      <c r="AG33" s="103" t="s">
        <v>167</v>
      </c>
      <c r="AH33" s="103"/>
      <c r="AI33" s="3">
        <v>0</v>
      </c>
      <c r="AJ33" s="3"/>
      <c r="AK33" s="3">
        <v>250737</v>
      </c>
      <c r="AL33" s="3"/>
      <c r="AM33" s="3"/>
      <c r="AN33" s="3"/>
      <c r="AO33" s="3">
        <v>0</v>
      </c>
      <c r="AP33" s="3"/>
      <c r="AQ33" s="3">
        <v>297738</v>
      </c>
      <c r="AR33" s="3"/>
      <c r="AS33" s="3">
        <v>63794</v>
      </c>
      <c r="AT33" s="3"/>
      <c r="AU33" s="3">
        <v>0</v>
      </c>
      <c r="AV33" s="3"/>
      <c r="AW33" s="3">
        <v>0</v>
      </c>
      <c r="AX33" s="3"/>
      <c r="AY33" s="3"/>
      <c r="AZ33" s="3"/>
      <c r="BA33" s="3">
        <v>0</v>
      </c>
      <c r="BB33" s="3"/>
      <c r="BC33" s="3">
        <f t="shared" si="0"/>
        <v>15548659</v>
      </c>
      <c r="BD33" s="3"/>
      <c r="BE33" s="3">
        <f>+'St of Act-Rev'!AG33-BC33</f>
        <v>1123569</v>
      </c>
      <c r="BF33" s="3"/>
      <c r="BG33" s="3">
        <v>20384142</v>
      </c>
      <c r="BH33" s="3"/>
      <c r="BI33" s="3">
        <f t="shared" si="1"/>
        <v>21507711</v>
      </c>
      <c r="BJ33" s="30"/>
      <c r="BK33" s="3">
        <f>+'St of Net Position'!AE33-BI33</f>
        <v>0</v>
      </c>
    </row>
    <row r="34" spans="1:63" s="102" customFormat="1">
      <c r="A34" s="3" t="s">
        <v>210</v>
      </c>
      <c r="B34" s="103"/>
      <c r="C34" s="103" t="s">
        <v>170</v>
      </c>
      <c r="E34" s="103">
        <v>51128</v>
      </c>
      <c r="G34" s="3">
        <v>188734</v>
      </c>
      <c r="H34" s="3"/>
      <c r="I34" s="3">
        <v>241903</v>
      </c>
      <c r="J34" s="3"/>
      <c r="K34" s="3">
        <v>2397112</v>
      </c>
      <c r="L34" s="3"/>
      <c r="M34" s="3">
        <v>8993</v>
      </c>
      <c r="N34" s="3"/>
      <c r="O34" s="3">
        <v>0</v>
      </c>
      <c r="P34" s="3"/>
      <c r="Q34" s="3">
        <v>216265</v>
      </c>
      <c r="R34" s="3"/>
      <c r="S34" s="3">
        <v>333717</v>
      </c>
      <c r="T34" s="3"/>
      <c r="U34" s="3">
        <v>55036</v>
      </c>
      <c r="V34" s="3"/>
      <c r="W34" s="3">
        <v>258002</v>
      </c>
      <c r="X34" s="3"/>
      <c r="Y34" s="3">
        <v>249213</v>
      </c>
      <c r="Z34" s="3"/>
      <c r="AA34" s="3">
        <v>0</v>
      </c>
      <c r="AB34" s="3"/>
      <c r="AC34" s="3">
        <v>708029</v>
      </c>
      <c r="AD34" s="3"/>
      <c r="AE34" s="3" t="s">
        <v>210</v>
      </c>
      <c r="AF34" s="103"/>
      <c r="AG34" s="103" t="s">
        <v>170</v>
      </c>
      <c r="AH34" s="103"/>
      <c r="AI34" s="3">
        <v>0</v>
      </c>
      <c r="AJ34" s="3"/>
      <c r="AK34" s="3">
        <v>24965</v>
      </c>
      <c r="AL34" s="3"/>
      <c r="AM34" s="3"/>
      <c r="AN34" s="3"/>
      <c r="AO34" s="3">
        <v>190430</v>
      </c>
      <c r="AP34" s="3"/>
      <c r="AQ34" s="3">
        <v>0</v>
      </c>
      <c r="AR34" s="3"/>
      <c r="AS34" s="3">
        <v>0</v>
      </c>
      <c r="AT34" s="3"/>
      <c r="AU34" s="3">
        <v>37314</v>
      </c>
      <c r="AV34" s="3"/>
      <c r="AW34" s="3">
        <v>0</v>
      </c>
      <c r="AX34" s="3"/>
      <c r="AY34" s="3"/>
      <c r="AZ34" s="3"/>
      <c r="BA34" s="3">
        <v>0</v>
      </c>
      <c r="BB34" s="3"/>
      <c r="BC34" s="3">
        <f t="shared" si="0"/>
        <v>4909713</v>
      </c>
      <c r="BD34" s="3"/>
      <c r="BE34" s="3">
        <f>+'St of Act-Rev'!AG34-BC34</f>
        <v>134077</v>
      </c>
      <c r="BF34" s="3"/>
      <c r="BG34" s="3">
        <v>3124516</v>
      </c>
      <c r="BH34" s="3"/>
      <c r="BI34" s="3">
        <f t="shared" si="1"/>
        <v>3258593</v>
      </c>
      <c r="BJ34" s="30"/>
      <c r="BK34" s="3">
        <f>+'St of Net Position'!AE34-BI34</f>
        <v>0</v>
      </c>
    </row>
    <row r="35" spans="1:63" s="102" customFormat="1">
      <c r="A35" s="3" t="s">
        <v>245</v>
      </c>
      <c r="B35" s="103"/>
      <c r="C35" s="103" t="s">
        <v>171</v>
      </c>
      <c r="E35" s="103">
        <v>51144</v>
      </c>
      <c r="G35" s="3">
        <v>213916</v>
      </c>
      <c r="H35" s="3"/>
      <c r="I35" s="3">
        <v>468866</v>
      </c>
      <c r="J35" s="3"/>
      <c r="K35" s="3">
        <v>5127087</v>
      </c>
      <c r="L35" s="3"/>
      <c r="M35" s="3">
        <v>1637161</v>
      </c>
      <c r="N35" s="3"/>
      <c r="O35" s="3">
        <v>0</v>
      </c>
      <c r="P35" s="3"/>
      <c r="Q35" s="3">
        <v>669011</v>
      </c>
      <c r="R35" s="3"/>
      <c r="S35" s="3">
        <v>897616</v>
      </c>
      <c r="T35" s="3"/>
      <c r="U35" s="3">
        <v>14278</v>
      </c>
      <c r="V35" s="3"/>
      <c r="W35" s="3">
        <v>1071046</v>
      </c>
      <c r="X35" s="3"/>
      <c r="Y35" s="3">
        <v>473534</v>
      </c>
      <c r="Z35" s="3"/>
      <c r="AA35" s="3">
        <v>52660</v>
      </c>
      <c r="AB35" s="3"/>
      <c r="AC35" s="3">
        <v>1538216</v>
      </c>
      <c r="AD35" s="3"/>
      <c r="AE35" s="3" t="s">
        <v>245</v>
      </c>
      <c r="AF35" s="103"/>
      <c r="AG35" s="103" t="s">
        <v>171</v>
      </c>
      <c r="AH35" s="103"/>
      <c r="AI35" s="3">
        <v>0</v>
      </c>
      <c r="AJ35" s="3"/>
      <c r="AK35" s="3">
        <v>124777</v>
      </c>
      <c r="AL35" s="3"/>
      <c r="AM35" s="3"/>
      <c r="AN35" s="3"/>
      <c r="AO35" s="3">
        <v>0</v>
      </c>
      <c r="AP35" s="3"/>
      <c r="AQ35" s="3">
        <v>231814</v>
      </c>
      <c r="AR35" s="3"/>
      <c r="AS35" s="3">
        <v>42310</v>
      </c>
      <c r="AT35" s="3"/>
      <c r="AU35" s="3">
        <v>194472</v>
      </c>
      <c r="AV35" s="3"/>
      <c r="AW35" s="3">
        <v>0</v>
      </c>
      <c r="AX35" s="3"/>
      <c r="AY35" s="3"/>
      <c r="AZ35" s="3"/>
      <c r="BA35" s="3">
        <v>0</v>
      </c>
      <c r="BB35" s="3"/>
      <c r="BC35" s="3">
        <v>12756764</v>
      </c>
      <c r="BD35" s="3"/>
      <c r="BE35" s="3">
        <v>-904345</v>
      </c>
      <c r="BF35" s="3"/>
      <c r="BG35" s="3">
        <v>29627838</v>
      </c>
      <c r="BH35" s="3"/>
      <c r="BI35" s="3">
        <v>28723493</v>
      </c>
      <c r="BJ35" s="30"/>
      <c r="BK35" s="3">
        <v>0</v>
      </c>
    </row>
    <row r="36" spans="1:63" s="102" customFormat="1">
      <c r="A36" s="3" t="s">
        <v>211</v>
      </c>
      <c r="B36" s="103"/>
      <c r="C36" s="103" t="s">
        <v>172</v>
      </c>
      <c r="E36" s="103">
        <v>51185</v>
      </c>
      <c r="G36" s="3">
        <v>161324</v>
      </c>
      <c r="H36" s="3"/>
      <c r="I36" s="3">
        <v>0</v>
      </c>
      <c r="J36" s="3"/>
      <c r="K36" s="3">
        <v>5485267</v>
      </c>
      <c r="L36" s="3"/>
      <c r="M36" s="3">
        <v>2251113</v>
      </c>
      <c r="N36" s="3"/>
      <c r="O36" s="3">
        <v>0</v>
      </c>
      <c r="P36" s="3"/>
      <c r="Q36" s="3">
        <v>370416</v>
      </c>
      <c r="R36" s="3"/>
      <c r="S36" s="3">
        <v>107523</v>
      </c>
      <c r="T36" s="3"/>
      <c r="U36" s="3">
        <v>64512</v>
      </c>
      <c r="V36" s="3"/>
      <c r="W36" s="3">
        <v>948196</v>
      </c>
      <c r="X36" s="3"/>
      <c r="Y36" s="3">
        <v>782211</v>
      </c>
      <c r="Z36" s="3"/>
      <c r="AA36" s="3">
        <v>0</v>
      </c>
      <c r="AB36" s="3"/>
      <c r="AC36" s="3">
        <v>639013</v>
      </c>
      <c r="AD36" s="3"/>
      <c r="AE36" s="3" t="s">
        <v>211</v>
      </c>
      <c r="AF36" s="103"/>
      <c r="AG36" s="103" t="s">
        <v>172</v>
      </c>
      <c r="AH36" s="103"/>
      <c r="AI36" s="3">
        <v>0</v>
      </c>
      <c r="AJ36" s="3"/>
      <c r="AK36" s="3">
        <v>245276</v>
      </c>
      <c r="AL36" s="3"/>
      <c r="AM36" s="3"/>
      <c r="AN36" s="3"/>
      <c r="AO36" s="3">
        <v>231587</v>
      </c>
      <c r="AP36" s="3"/>
      <c r="AQ36" s="3">
        <v>1350914</v>
      </c>
      <c r="AR36" s="3"/>
      <c r="AS36" s="3">
        <v>38541</v>
      </c>
      <c r="AT36" s="3"/>
      <c r="AU36" s="3">
        <v>568740</v>
      </c>
      <c r="AV36" s="3"/>
      <c r="AW36" s="3">
        <v>0</v>
      </c>
      <c r="AX36" s="3"/>
      <c r="AY36" s="3"/>
      <c r="AZ36" s="3"/>
      <c r="BA36" s="3">
        <v>0</v>
      </c>
      <c r="BB36" s="3"/>
      <c r="BC36" s="3">
        <f t="shared" si="0"/>
        <v>13244633</v>
      </c>
      <c r="BD36" s="3"/>
      <c r="BE36" s="3">
        <f>+'St of Act-Rev'!AG36-BC36</f>
        <v>2081595</v>
      </c>
      <c r="BF36" s="3"/>
      <c r="BG36" s="3">
        <v>21308260</v>
      </c>
      <c r="BH36" s="3"/>
      <c r="BI36" s="3">
        <f t="shared" si="1"/>
        <v>23389855</v>
      </c>
      <c r="BJ36" s="30"/>
      <c r="BK36" s="3">
        <f>+'St of Net Position'!AE36-BI36</f>
        <v>0</v>
      </c>
    </row>
    <row r="37" spans="1:63" s="92" customFormat="1" hidden="1">
      <c r="A37" s="88" t="s">
        <v>284</v>
      </c>
      <c r="B37" s="89"/>
      <c r="C37" s="89" t="s">
        <v>173</v>
      </c>
      <c r="E37" s="89">
        <v>47977</v>
      </c>
      <c r="G37" s="88">
        <v>0</v>
      </c>
      <c r="H37" s="88"/>
      <c r="I37" s="88">
        <v>0</v>
      </c>
      <c r="J37" s="88"/>
      <c r="K37" s="88">
        <v>0</v>
      </c>
      <c r="L37" s="88"/>
      <c r="M37" s="88">
        <v>0</v>
      </c>
      <c r="N37" s="88"/>
      <c r="O37" s="88">
        <v>0</v>
      </c>
      <c r="P37" s="88"/>
      <c r="Q37" s="88">
        <v>0</v>
      </c>
      <c r="R37" s="88"/>
      <c r="S37" s="88">
        <v>0</v>
      </c>
      <c r="T37" s="88"/>
      <c r="U37" s="88">
        <v>0</v>
      </c>
      <c r="V37" s="88"/>
      <c r="W37" s="88">
        <v>0</v>
      </c>
      <c r="X37" s="88"/>
      <c r="Y37" s="88">
        <v>0</v>
      </c>
      <c r="Z37" s="88"/>
      <c r="AA37" s="88">
        <v>0</v>
      </c>
      <c r="AB37" s="88"/>
      <c r="AC37" s="88">
        <v>0</v>
      </c>
      <c r="AD37" s="88"/>
      <c r="AE37" s="88" t="s">
        <v>284</v>
      </c>
      <c r="AF37" s="89"/>
      <c r="AG37" s="89" t="s">
        <v>173</v>
      </c>
      <c r="AH37" s="89"/>
      <c r="AI37" s="88">
        <v>0</v>
      </c>
      <c r="AJ37" s="88"/>
      <c r="AK37" s="88">
        <v>0</v>
      </c>
      <c r="AL37" s="88"/>
      <c r="AM37" s="88"/>
      <c r="AN37" s="88"/>
      <c r="AO37" s="88">
        <v>0</v>
      </c>
      <c r="AP37" s="88"/>
      <c r="AQ37" s="88">
        <v>0</v>
      </c>
      <c r="AR37" s="88"/>
      <c r="AS37" s="88">
        <v>0</v>
      </c>
      <c r="AT37" s="88"/>
      <c r="AU37" s="88">
        <v>0</v>
      </c>
      <c r="AV37" s="88"/>
      <c r="AW37" s="88">
        <v>0</v>
      </c>
      <c r="AX37" s="88"/>
      <c r="AY37" s="88"/>
      <c r="AZ37" s="88"/>
      <c r="BA37" s="88">
        <v>0</v>
      </c>
      <c r="BB37" s="88"/>
      <c r="BC37" s="88">
        <f t="shared" si="0"/>
        <v>0</v>
      </c>
      <c r="BD37" s="88"/>
      <c r="BE37" s="88">
        <f>+'St of Act-Rev'!AG37-BC37</f>
        <v>0</v>
      </c>
      <c r="BF37" s="88"/>
      <c r="BG37" s="88">
        <v>0</v>
      </c>
      <c r="BH37" s="88"/>
      <c r="BI37" s="88">
        <f t="shared" si="1"/>
        <v>0</v>
      </c>
      <c r="BJ37" s="94"/>
      <c r="BK37" s="88">
        <f>+'St of Net Position'!AE37-BI37</f>
        <v>0</v>
      </c>
    </row>
    <row r="38" spans="1:63" s="102" customFormat="1">
      <c r="A38" s="3" t="s">
        <v>213</v>
      </c>
      <c r="B38" s="103"/>
      <c r="C38" s="103" t="s">
        <v>142</v>
      </c>
      <c r="E38" s="103">
        <v>51227</v>
      </c>
      <c r="G38" s="3">
        <v>2336572</v>
      </c>
      <c r="H38" s="3"/>
      <c r="I38" s="3">
        <v>11920</v>
      </c>
      <c r="J38" s="3"/>
      <c r="K38" s="3">
        <v>9365017</v>
      </c>
      <c r="L38" s="3"/>
      <c r="M38" s="3">
        <v>1799185</v>
      </c>
      <c r="N38" s="3"/>
      <c r="O38" s="3">
        <v>0</v>
      </c>
      <c r="P38" s="3"/>
      <c r="Q38" s="3">
        <v>1743520</v>
      </c>
      <c r="R38" s="3"/>
      <c r="S38" s="3">
        <v>1350461</v>
      </c>
      <c r="T38" s="3"/>
      <c r="U38" s="3">
        <v>30433</v>
      </c>
      <c r="V38" s="3"/>
      <c r="W38" s="3">
        <v>1931582</v>
      </c>
      <c r="X38" s="3"/>
      <c r="Y38" s="3">
        <v>952829</v>
      </c>
      <c r="Z38" s="3"/>
      <c r="AA38" s="3">
        <v>201729</v>
      </c>
      <c r="AB38" s="3"/>
      <c r="AC38" s="3">
        <v>2173920</v>
      </c>
      <c r="AD38" s="3"/>
      <c r="AE38" s="3" t="s">
        <v>213</v>
      </c>
      <c r="AF38" s="103"/>
      <c r="AG38" s="103" t="s">
        <v>142</v>
      </c>
      <c r="AH38" s="103"/>
      <c r="AI38" s="3">
        <v>71315</v>
      </c>
      <c r="AJ38" s="3"/>
      <c r="AK38" s="3">
        <v>714023</v>
      </c>
      <c r="AL38" s="3"/>
      <c r="AM38" s="3"/>
      <c r="AN38" s="3"/>
      <c r="AO38" s="3">
        <v>0</v>
      </c>
      <c r="AP38" s="3"/>
      <c r="AQ38" s="3">
        <v>952898</v>
      </c>
      <c r="AR38" s="3"/>
      <c r="AS38" s="3">
        <v>224778</v>
      </c>
      <c r="AT38" s="3"/>
      <c r="AU38" s="3">
        <v>66123</v>
      </c>
      <c r="AV38" s="3"/>
      <c r="AW38" s="3">
        <v>0</v>
      </c>
      <c r="AX38" s="3"/>
      <c r="AY38" s="3"/>
      <c r="AZ38" s="3"/>
      <c r="BA38" s="3">
        <v>0</v>
      </c>
      <c r="BB38" s="3"/>
      <c r="BC38" s="3">
        <f t="shared" si="0"/>
        <v>23926305</v>
      </c>
      <c r="BD38" s="3"/>
      <c r="BE38" s="3">
        <f>+'St of Act-Rev'!AG38-BC38</f>
        <v>-553653</v>
      </c>
      <c r="BF38" s="3"/>
      <c r="BG38" s="3">
        <v>17450639</v>
      </c>
      <c r="BH38" s="3"/>
      <c r="BI38" s="3">
        <f t="shared" si="1"/>
        <v>16896986</v>
      </c>
      <c r="BJ38" s="30"/>
      <c r="BK38" s="3">
        <f>+'St of Net Position'!AE38-BI38</f>
        <v>0</v>
      </c>
    </row>
    <row r="39" spans="1:63" s="102" customFormat="1">
      <c r="A39" s="3" t="s">
        <v>360</v>
      </c>
      <c r="B39" s="103"/>
      <c r="C39" s="103" t="s">
        <v>176</v>
      </c>
      <c r="E39" s="103">
        <v>51243</v>
      </c>
      <c r="G39" s="3">
        <v>1372351</v>
      </c>
      <c r="H39" s="3"/>
      <c r="I39" s="3">
        <v>0</v>
      </c>
      <c r="J39" s="3"/>
      <c r="K39" s="3">
        <v>4530392</v>
      </c>
      <c r="L39" s="3"/>
      <c r="M39" s="3">
        <v>1006791</v>
      </c>
      <c r="N39" s="3"/>
      <c r="O39" s="3">
        <v>0</v>
      </c>
      <c r="P39" s="3"/>
      <c r="Q39" s="3">
        <v>1012549</v>
      </c>
      <c r="R39" s="3"/>
      <c r="S39" s="3">
        <v>1451513</v>
      </c>
      <c r="T39" s="3"/>
      <c r="U39" s="3">
        <v>43001</v>
      </c>
      <c r="V39" s="3"/>
      <c r="W39" s="3">
        <v>764500</v>
      </c>
      <c r="X39" s="3"/>
      <c r="Y39" s="3">
        <v>423545</v>
      </c>
      <c r="Z39" s="3"/>
      <c r="AA39" s="3">
        <v>351</v>
      </c>
      <c r="AB39" s="3"/>
      <c r="AC39" s="3">
        <v>1268625</v>
      </c>
      <c r="AD39" s="3"/>
      <c r="AE39" s="3" t="s">
        <v>360</v>
      </c>
      <c r="AF39" s="103"/>
      <c r="AG39" s="103" t="s">
        <v>176</v>
      </c>
      <c r="AH39" s="103"/>
      <c r="AI39" s="3">
        <v>44858</v>
      </c>
      <c r="AJ39" s="3"/>
      <c r="AK39" s="3">
        <v>131444</v>
      </c>
      <c r="AL39" s="3"/>
      <c r="AM39" s="3"/>
      <c r="AN39" s="3"/>
      <c r="AO39" s="3">
        <v>305570</v>
      </c>
      <c r="AP39" s="3"/>
      <c r="AQ39" s="3">
        <v>876</v>
      </c>
      <c r="AR39" s="3"/>
      <c r="AS39" s="3">
        <v>72644</v>
      </c>
      <c r="AT39" s="3"/>
      <c r="AU39" s="3">
        <v>705135</v>
      </c>
      <c r="AV39" s="3"/>
      <c r="AW39" s="3">
        <v>0</v>
      </c>
      <c r="AX39" s="3"/>
      <c r="AY39" s="3"/>
      <c r="AZ39" s="3"/>
      <c r="BA39" s="3">
        <v>92160</v>
      </c>
      <c r="BB39" s="3"/>
      <c r="BC39" s="3">
        <f t="shared" si="0"/>
        <v>13226305</v>
      </c>
      <c r="BD39" s="3"/>
      <c r="BE39" s="3">
        <f>+'St of Act-Rev'!AG39-BC39</f>
        <v>-348576</v>
      </c>
      <c r="BF39" s="3"/>
      <c r="BG39" s="3">
        <v>34129182</v>
      </c>
      <c r="BH39" s="3"/>
      <c r="BI39" s="3">
        <f t="shared" si="1"/>
        <v>33780606</v>
      </c>
      <c r="BJ39" s="30"/>
      <c r="BK39" s="3">
        <f>+'St of Net Position'!AE39-BI39</f>
        <v>0</v>
      </c>
    </row>
    <row r="40" spans="1:63" s="102" customFormat="1">
      <c r="A40" s="3" t="s">
        <v>246</v>
      </c>
      <c r="B40" s="103"/>
      <c r="C40" s="103" t="s">
        <v>186</v>
      </c>
      <c r="E40" s="103">
        <v>51391</v>
      </c>
      <c r="G40" s="3">
        <v>1136406</v>
      </c>
      <c r="H40" s="3"/>
      <c r="I40" s="3">
        <v>0</v>
      </c>
      <c r="J40" s="3"/>
      <c r="K40" s="3">
        <v>4935264</v>
      </c>
      <c r="L40" s="3"/>
      <c r="M40" s="3">
        <v>198233</v>
      </c>
      <c r="N40" s="3"/>
      <c r="O40" s="3">
        <v>0</v>
      </c>
      <c r="P40" s="3"/>
      <c r="Q40" s="3">
        <v>1055119</v>
      </c>
      <c r="R40" s="3"/>
      <c r="S40" s="3">
        <v>547305</v>
      </c>
      <c r="T40" s="3"/>
      <c r="U40" s="3">
        <v>94178</v>
      </c>
      <c r="V40" s="3"/>
      <c r="W40" s="3">
        <v>875589</v>
      </c>
      <c r="X40" s="3"/>
      <c r="Y40" s="3">
        <v>535964</v>
      </c>
      <c r="Z40" s="3"/>
      <c r="AA40" s="3">
        <v>258967</v>
      </c>
      <c r="AB40" s="3"/>
      <c r="AC40" s="3">
        <v>1245932</v>
      </c>
      <c r="AD40" s="3"/>
      <c r="AE40" s="3" t="s">
        <v>246</v>
      </c>
      <c r="AF40" s="103"/>
      <c r="AG40" s="103" t="s">
        <v>186</v>
      </c>
      <c r="AH40" s="103"/>
      <c r="AI40" s="3">
        <v>19638</v>
      </c>
      <c r="AJ40" s="3"/>
      <c r="AK40" s="3">
        <v>421862</v>
      </c>
      <c r="AL40" s="3"/>
      <c r="AM40" s="3"/>
      <c r="AN40" s="3"/>
      <c r="AO40" s="3">
        <v>276474</v>
      </c>
      <c r="AP40" s="3"/>
      <c r="AQ40" s="3">
        <v>73954</v>
      </c>
      <c r="AR40" s="3"/>
      <c r="AS40" s="3">
        <v>19932</v>
      </c>
      <c r="AT40" s="3"/>
      <c r="AU40" s="3">
        <v>0</v>
      </c>
      <c r="AV40" s="3"/>
      <c r="AW40" s="3">
        <v>0</v>
      </c>
      <c r="AX40" s="3"/>
      <c r="AY40" s="3"/>
      <c r="AZ40" s="3"/>
      <c r="BA40" s="3">
        <v>0</v>
      </c>
      <c r="BB40" s="3"/>
      <c r="BC40" s="3">
        <f t="shared" si="0"/>
        <v>11694817</v>
      </c>
      <c r="BD40" s="3"/>
      <c r="BE40" s="3">
        <f>+'St of Act-Rev'!AG40-BC40</f>
        <v>1423917</v>
      </c>
      <c r="BF40" s="3"/>
      <c r="BG40" s="3">
        <v>32705717</v>
      </c>
      <c r="BH40" s="3"/>
      <c r="BI40" s="3">
        <f t="shared" si="1"/>
        <v>34129634</v>
      </c>
      <c r="BJ40" s="30"/>
      <c r="BK40" s="3">
        <f>+'St of Net Position'!AE40-BI40</f>
        <v>0</v>
      </c>
    </row>
    <row r="41" spans="1:63" s="102" customFormat="1">
      <c r="A41" s="3" t="s">
        <v>217</v>
      </c>
      <c r="B41" s="103"/>
      <c r="C41" s="103" t="s">
        <v>178</v>
      </c>
      <c r="E41" s="103">
        <v>62109</v>
      </c>
      <c r="G41" s="3">
        <v>2562020</v>
      </c>
      <c r="H41" s="3"/>
      <c r="I41" s="3">
        <v>558461</v>
      </c>
      <c r="J41" s="3"/>
      <c r="K41" s="3">
        <v>4861565</v>
      </c>
      <c r="L41" s="3"/>
      <c r="M41" s="3">
        <v>115191</v>
      </c>
      <c r="N41" s="3"/>
      <c r="O41" s="3">
        <v>0</v>
      </c>
      <c r="P41" s="3"/>
      <c r="Q41" s="3">
        <v>1674078</v>
      </c>
      <c r="R41" s="3"/>
      <c r="S41" s="3">
        <v>606569</v>
      </c>
      <c r="T41" s="3"/>
      <c r="U41" s="3">
        <v>33932</v>
      </c>
      <c r="V41" s="3"/>
      <c r="W41" s="3">
        <v>1744751</v>
      </c>
      <c r="X41" s="3"/>
      <c r="Y41" s="3">
        <v>567209</v>
      </c>
      <c r="Z41" s="3"/>
      <c r="AA41" s="3">
        <v>204903</v>
      </c>
      <c r="AB41" s="3"/>
      <c r="AC41" s="3">
        <v>1415614</v>
      </c>
      <c r="AD41" s="3"/>
      <c r="AE41" s="3" t="s">
        <v>217</v>
      </c>
      <c r="AF41" s="103"/>
      <c r="AG41" s="103" t="s">
        <v>178</v>
      </c>
      <c r="AH41" s="103"/>
      <c r="AI41" s="3">
        <v>31402</v>
      </c>
      <c r="AJ41" s="3"/>
      <c r="AK41" s="3">
        <v>361093</v>
      </c>
      <c r="AL41" s="3"/>
      <c r="AM41" s="3"/>
      <c r="AN41" s="3"/>
      <c r="AO41" s="3">
        <v>0</v>
      </c>
      <c r="AP41" s="3"/>
      <c r="AQ41" s="3">
        <v>69546</v>
      </c>
      <c r="AR41" s="3"/>
      <c r="AS41" s="3">
        <v>27106</v>
      </c>
      <c r="AT41" s="3"/>
      <c r="AU41" s="3">
        <v>0</v>
      </c>
      <c r="AV41" s="3"/>
      <c r="AW41" s="3">
        <v>0</v>
      </c>
      <c r="AX41" s="3"/>
      <c r="AY41" s="3"/>
      <c r="AZ41" s="3"/>
      <c r="BA41" s="3">
        <v>0</v>
      </c>
      <c r="BB41" s="3"/>
      <c r="BC41" s="3">
        <f t="shared" si="0"/>
        <v>14833440</v>
      </c>
      <c r="BD41" s="3"/>
      <c r="BE41" s="3">
        <f>+'St of Act-Rev'!AG41-BC41</f>
        <v>1537188</v>
      </c>
      <c r="BF41" s="3"/>
      <c r="BG41" s="3">
        <v>16803399</v>
      </c>
      <c r="BH41" s="3"/>
      <c r="BI41" s="3">
        <f t="shared" si="1"/>
        <v>18340587</v>
      </c>
      <c r="BJ41" s="30"/>
      <c r="BK41" s="3">
        <f>+'St of Net Position'!AE41-BI41</f>
        <v>0</v>
      </c>
    </row>
    <row r="42" spans="1:63" s="102" customFormat="1">
      <c r="A42" s="3" t="s">
        <v>361</v>
      </c>
      <c r="B42" s="103"/>
      <c r="C42" s="103" t="s">
        <v>181</v>
      </c>
      <c r="E42" s="103">
        <v>51284</v>
      </c>
      <c r="G42" s="3">
        <v>1152755</v>
      </c>
      <c r="H42" s="3"/>
      <c r="I42" s="3">
        <v>305785</v>
      </c>
      <c r="J42" s="3"/>
      <c r="K42" s="3">
        <v>15089654</v>
      </c>
      <c r="L42" s="3"/>
      <c r="M42" s="3">
        <v>3522142</v>
      </c>
      <c r="N42" s="3"/>
      <c r="O42" s="3">
        <v>0</v>
      </c>
      <c r="P42" s="3"/>
      <c r="Q42" s="3">
        <v>2000572</v>
      </c>
      <c r="R42" s="3"/>
      <c r="S42" s="3">
        <v>2020786</v>
      </c>
      <c r="T42" s="3"/>
      <c r="U42" s="3">
        <v>0</v>
      </c>
      <c r="V42" s="3"/>
      <c r="W42" s="3">
        <f>92069+1837723</f>
        <v>1929792</v>
      </c>
      <c r="X42" s="3"/>
      <c r="Y42" s="3">
        <v>923535</v>
      </c>
      <c r="Z42" s="3"/>
      <c r="AA42" s="3">
        <v>466852</v>
      </c>
      <c r="AB42" s="3"/>
      <c r="AC42" s="3">
        <v>3086149</v>
      </c>
      <c r="AD42" s="3"/>
      <c r="AE42" s="3" t="s">
        <v>361</v>
      </c>
      <c r="AF42" s="103"/>
      <c r="AG42" s="103" t="s">
        <v>181</v>
      </c>
      <c r="AH42" s="103"/>
      <c r="AI42" s="3">
        <v>109653</v>
      </c>
      <c r="AJ42" s="3"/>
      <c r="AK42" s="3">
        <v>2630255</v>
      </c>
      <c r="AL42" s="3"/>
      <c r="AM42" s="3"/>
      <c r="AN42" s="3"/>
      <c r="AO42" s="3">
        <v>0</v>
      </c>
      <c r="AP42" s="3"/>
      <c r="AQ42" s="3">
        <v>0</v>
      </c>
      <c r="AR42" s="3"/>
      <c r="AS42" s="3">
        <v>32045</v>
      </c>
      <c r="AT42" s="3"/>
      <c r="AU42" s="3">
        <v>325365</v>
      </c>
      <c r="AV42" s="3"/>
      <c r="AW42" s="3">
        <v>0</v>
      </c>
      <c r="AX42" s="3"/>
      <c r="AY42" s="3"/>
      <c r="AZ42" s="3"/>
      <c r="BA42" s="3">
        <v>0</v>
      </c>
      <c r="BB42" s="3"/>
      <c r="BC42" s="3">
        <f t="shared" si="0"/>
        <v>33595340</v>
      </c>
      <c r="BD42" s="3"/>
      <c r="BE42" s="3">
        <f>+'St of Act-Rev'!AG42-BC42</f>
        <v>1791947</v>
      </c>
      <c r="BF42" s="3"/>
      <c r="BG42" s="3">
        <v>17092764</v>
      </c>
      <c r="BH42" s="3"/>
      <c r="BI42" s="3">
        <f t="shared" si="1"/>
        <v>18884711</v>
      </c>
      <c r="BJ42" s="30"/>
      <c r="BK42" s="3">
        <f>+'St of Net Position'!AE42-BI42</f>
        <v>0</v>
      </c>
    </row>
    <row r="43" spans="1:63" s="102" customFormat="1">
      <c r="A43" s="3" t="s">
        <v>362</v>
      </c>
      <c r="B43" s="103"/>
      <c r="C43" s="103" t="s">
        <v>183</v>
      </c>
      <c r="E43" s="103">
        <v>51300</v>
      </c>
      <c r="G43" s="3">
        <v>1967945</v>
      </c>
      <c r="H43" s="3"/>
      <c r="I43" s="3">
        <v>0</v>
      </c>
      <c r="J43" s="3"/>
      <c r="K43" s="3">
        <v>7008632</v>
      </c>
      <c r="L43" s="3"/>
      <c r="M43" s="3">
        <v>2540600</v>
      </c>
      <c r="N43" s="3"/>
      <c r="O43" s="3">
        <v>0</v>
      </c>
      <c r="P43" s="3"/>
      <c r="Q43" s="3">
        <v>1093183</v>
      </c>
      <c r="R43" s="3"/>
      <c r="S43" s="3">
        <v>841543</v>
      </c>
      <c r="T43" s="3"/>
      <c r="U43" s="3">
        <v>70393</v>
      </c>
      <c r="V43" s="3"/>
      <c r="W43" s="3">
        <v>1708687</v>
      </c>
      <c r="X43" s="3"/>
      <c r="Y43" s="3">
        <v>779080</v>
      </c>
      <c r="Z43" s="3"/>
      <c r="AA43" s="3">
        <v>204723</v>
      </c>
      <c r="AB43" s="3"/>
      <c r="AC43" s="3">
        <v>1875668</v>
      </c>
      <c r="AD43" s="3"/>
      <c r="AE43" s="3" t="s">
        <v>362</v>
      </c>
      <c r="AF43" s="103"/>
      <c r="AG43" s="103" t="s">
        <v>183</v>
      </c>
      <c r="AH43" s="103"/>
      <c r="AI43" s="3">
        <v>133862</v>
      </c>
      <c r="AJ43" s="3"/>
      <c r="AK43" s="3">
        <v>464184</v>
      </c>
      <c r="AL43" s="3"/>
      <c r="AM43" s="3"/>
      <c r="AN43" s="3"/>
      <c r="AO43" s="3">
        <v>483576</v>
      </c>
      <c r="AP43" s="3"/>
      <c r="AQ43" s="3">
        <v>4273</v>
      </c>
      <c r="AR43" s="3"/>
      <c r="AS43" s="3">
        <v>101183</v>
      </c>
      <c r="AT43" s="3"/>
      <c r="AU43" s="3">
        <v>794092</v>
      </c>
      <c r="AV43" s="3"/>
      <c r="AW43" s="3">
        <v>0</v>
      </c>
      <c r="AX43" s="3"/>
      <c r="AY43" s="3"/>
      <c r="AZ43" s="3"/>
      <c r="BA43" s="3">
        <v>0</v>
      </c>
      <c r="BB43" s="3"/>
      <c r="BC43" s="3">
        <f t="shared" si="0"/>
        <v>20071624</v>
      </c>
      <c r="BD43" s="3"/>
      <c r="BE43" s="3">
        <f>+'St of Act-Rev'!AG43-BC43</f>
        <v>5571820</v>
      </c>
      <c r="BF43" s="3"/>
      <c r="BG43" s="3">
        <v>58983173</v>
      </c>
      <c r="BH43" s="3"/>
      <c r="BI43" s="3">
        <f t="shared" si="1"/>
        <v>64554993</v>
      </c>
      <c r="BJ43" s="30"/>
      <c r="BK43" s="3">
        <f>+'St of Net Position'!AE43-BI43</f>
        <v>0</v>
      </c>
    </row>
    <row r="44" spans="1:63" s="102" customFormat="1">
      <c r="A44" s="3" t="s">
        <v>212</v>
      </c>
      <c r="B44" s="103"/>
      <c r="C44" s="103" t="s">
        <v>174</v>
      </c>
      <c r="E44" s="103">
        <v>51334</v>
      </c>
      <c r="G44" s="3">
        <v>1166058</v>
      </c>
      <c r="H44" s="3"/>
      <c r="I44" s="3">
        <v>490102</v>
      </c>
      <c r="J44" s="3"/>
      <c r="K44" s="3">
        <v>4529616</v>
      </c>
      <c r="L44" s="3"/>
      <c r="M44" s="3">
        <v>1362311</v>
      </c>
      <c r="N44" s="3"/>
      <c r="O44" s="3">
        <v>45637</v>
      </c>
      <c r="P44" s="3"/>
      <c r="Q44" s="3">
        <v>745442</v>
      </c>
      <c r="R44" s="3"/>
      <c r="S44" s="3">
        <v>496407</v>
      </c>
      <c r="T44" s="3"/>
      <c r="U44" s="3">
        <v>0</v>
      </c>
      <c r="V44" s="3"/>
      <c r="W44" s="3">
        <f>41900+880711</f>
        <v>922611</v>
      </c>
      <c r="X44" s="3"/>
      <c r="Y44" s="3">
        <v>276916</v>
      </c>
      <c r="Z44" s="3"/>
      <c r="AA44" s="3">
        <v>822136</v>
      </c>
      <c r="AB44" s="3"/>
      <c r="AC44" s="3">
        <v>1510348</v>
      </c>
      <c r="AD44" s="3"/>
      <c r="AE44" s="3" t="s">
        <v>212</v>
      </c>
      <c r="AF44" s="103"/>
      <c r="AG44" s="103" t="s">
        <v>174</v>
      </c>
      <c r="AH44" s="103"/>
      <c r="AI44" s="3">
        <v>41400</v>
      </c>
      <c r="AJ44" s="3"/>
      <c r="AK44" s="3">
        <v>604273</v>
      </c>
      <c r="AL44" s="3"/>
      <c r="AM44" s="3"/>
      <c r="AN44" s="3"/>
      <c r="AO44" s="3">
        <v>0</v>
      </c>
      <c r="AP44" s="3"/>
      <c r="AQ44" s="3">
        <v>194001</v>
      </c>
      <c r="AR44" s="3"/>
      <c r="AS44" s="3">
        <v>0</v>
      </c>
      <c r="AT44" s="3"/>
      <c r="AU44" s="3">
        <v>17825</v>
      </c>
      <c r="AV44" s="3"/>
      <c r="AW44" s="3">
        <v>0</v>
      </c>
      <c r="AX44" s="3"/>
      <c r="AY44" s="3"/>
      <c r="AZ44" s="3"/>
      <c r="BA44" s="3">
        <v>0</v>
      </c>
      <c r="BB44" s="3"/>
      <c r="BC44" s="3">
        <f t="shared" si="0"/>
        <v>13225083</v>
      </c>
      <c r="BD44" s="3"/>
      <c r="BE44" s="3">
        <f>+'St of Act-Rev'!AG44-BC44</f>
        <v>1111527</v>
      </c>
      <c r="BF44" s="3"/>
      <c r="BG44" s="3">
        <v>13905586</v>
      </c>
      <c r="BH44" s="3"/>
      <c r="BI44" s="3">
        <f t="shared" si="1"/>
        <v>15017113</v>
      </c>
      <c r="BJ44" s="30"/>
      <c r="BK44" s="3">
        <f>+'St of Net Position'!AE44-BI44</f>
        <v>0</v>
      </c>
    </row>
    <row r="45" spans="1:63" s="102" customFormat="1">
      <c r="A45" s="3" t="s">
        <v>322</v>
      </c>
      <c r="B45" s="103"/>
      <c r="C45" s="103" t="s">
        <v>204</v>
      </c>
      <c r="E45" s="103">
        <v>51359</v>
      </c>
      <c r="G45" s="3">
        <v>0</v>
      </c>
      <c r="H45" s="3"/>
      <c r="I45" s="3">
        <v>951199</v>
      </c>
      <c r="J45" s="3"/>
      <c r="K45" s="3">
        <v>16406941</v>
      </c>
      <c r="L45" s="3"/>
      <c r="M45" s="3">
        <v>932044</v>
      </c>
      <c r="N45" s="3"/>
      <c r="O45" s="3">
        <v>582349</v>
      </c>
      <c r="P45" s="3"/>
      <c r="Q45" s="3">
        <v>2609677</v>
      </c>
      <c r="R45" s="3"/>
      <c r="S45" s="3">
        <v>2559569</v>
      </c>
      <c r="T45" s="3"/>
      <c r="U45" s="3">
        <v>59933</v>
      </c>
      <c r="V45" s="3"/>
      <c r="W45" s="3">
        <v>1265007</v>
      </c>
      <c r="X45" s="3"/>
      <c r="Y45" s="3">
        <v>639330</v>
      </c>
      <c r="Z45" s="3"/>
      <c r="AA45" s="3">
        <v>0</v>
      </c>
      <c r="AB45" s="3"/>
      <c r="AC45" s="3">
        <v>2762018</v>
      </c>
      <c r="AD45" s="3"/>
      <c r="AE45" s="3" t="s">
        <v>322</v>
      </c>
      <c r="AF45" s="103"/>
      <c r="AG45" s="103" t="s">
        <v>204</v>
      </c>
      <c r="AH45" s="103"/>
      <c r="AI45" s="3">
        <v>0</v>
      </c>
      <c r="AJ45" s="3"/>
      <c r="AK45" s="3">
        <v>347605</v>
      </c>
      <c r="AL45" s="3"/>
      <c r="AM45" s="3"/>
      <c r="AN45" s="3"/>
      <c r="AO45" s="3">
        <v>842083</v>
      </c>
      <c r="AP45" s="3"/>
      <c r="AQ45" s="3">
        <v>343544</v>
      </c>
      <c r="AR45" s="3"/>
      <c r="AS45" s="3">
        <v>303413</v>
      </c>
      <c r="AT45" s="3"/>
      <c r="AU45" s="3">
        <v>2010473</v>
      </c>
      <c r="AV45" s="3"/>
      <c r="AW45" s="3">
        <v>0</v>
      </c>
      <c r="AX45" s="3"/>
      <c r="AY45" s="3"/>
      <c r="AZ45" s="3"/>
      <c r="BA45" s="3">
        <v>0</v>
      </c>
      <c r="BB45" s="3"/>
      <c r="BC45" s="3">
        <f t="shared" si="0"/>
        <v>32615185</v>
      </c>
      <c r="BD45" s="3"/>
      <c r="BE45" s="3">
        <f>+'St of Act-Rev'!AG45-BC45</f>
        <v>2915997</v>
      </c>
      <c r="BF45" s="3"/>
      <c r="BG45" s="3">
        <v>54439269</v>
      </c>
      <c r="BH45" s="3"/>
      <c r="BI45" s="3">
        <f t="shared" si="1"/>
        <v>57355266</v>
      </c>
      <c r="BJ45" s="30"/>
      <c r="BK45" s="3">
        <f>+'St of Net Position'!AE45-BI45</f>
        <v>0</v>
      </c>
    </row>
    <row r="46" spans="1:63" s="102" customFormat="1">
      <c r="A46" s="3" t="s">
        <v>363</v>
      </c>
      <c r="B46" s="103"/>
      <c r="C46" s="103" t="s">
        <v>190</v>
      </c>
      <c r="E46" s="103">
        <v>51433</v>
      </c>
      <c r="G46" s="3">
        <v>1091436</v>
      </c>
      <c r="H46" s="3"/>
      <c r="I46" s="3">
        <v>0</v>
      </c>
      <c r="J46" s="3"/>
      <c r="K46" s="3">
        <v>12664044</v>
      </c>
      <c r="L46" s="3"/>
      <c r="M46" s="3">
        <v>0</v>
      </c>
      <c r="N46" s="3"/>
      <c r="O46" s="3">
        <v>0</v>
      </c>
      <c r="P46" s="3"/>
      <c r="Q46" s="3">
        <v>1397961</v>
      </c>
      <c r="R46" s="3"/>
      <c r="S46" s="3">
        <v>1182112</v>
      </c>
      <c r="T46" s="3"/>
      <c r="U46" s="3">
        <v>49715</v>
      </c>
      <c r="V46" s="3"/>
      <c r="W46" s="3">
        <v>372620</v>
      </c>
      <c r="X46" s="3"/>
      <c r="Y46" s="3">
        <v>546026</v>
      </c>
      <c r="Z46" s="3"/>
      <c r="AA46" s="3">
        <v>0</v>
      </c>
      <c r="AB46" s="3"/>
      <c r="AC46" s="3">
        <v>1243591</v>
      </c>
      <c r="AD46" s="3"/>
      <c r="AE46" s="3" t="s">
        <v>363</v>
      </c>
      <c r="AF46" s="103"/>
      <c r="AG46" s="103" t="s">
        <v>190</v>
      </c>
      <c r="AH46" s="103"/>
      <c r="AI46" s="3">
        <v>23991</v>
      </c>
      <c r="AJ46" s="3"/>
      <c r="AK46" s="3">
        <v>100625</v>
      </c>
      <c r="AL46" s="3"/>
      <c r="AM46" s="3"/>
      <c r="AN46" s="3"/>
      <c r="AO46" s="3">
        <v>0</v>
      </c>
      <c r="AP46" s="3"/>
      <c r="AQ46" s="3">
        <v>297222</v>
      </c>
      <c r="AR46" s="3"/>
      <c r="AS46" s="3">
        <v>25910</v>
      </c>
      <c r="AT46" s="3"/>
      <c r="AU46" s="3">
        <v>18112</v>
      </c>
      <c r="AV46" s="3"/>
      <c r="AW46" s="3">
        <v>0</v>
      </c>
      <c r="AX46" s="3"/>
      <c r="AY46" s="3"/>
      <c r="AZ46" s="3"/>
      <c r="BA46" s="3">
        <v>0</v>
      </c>
      <c r="BB46" s="3"/>
      <c r="BC46" s="3">
        <f t="shared" si="0"/>
        <v>19013365</v>
      </c>
      <c r="BD46" s="3"/>
      <c r="BE46" s="3">
        <f>+'St of Act-Rev'!AG46-BC46</f>
        <v>638196</v>
      </c>
      <c r="BF46" s="3"/>
      <c r="BG46" s="3">
        <v>26834646</v>
      </c>
      <c r="BH46" s="3"/>
      <c r="BI46" s="3">
        <f t="shared" si="1"/>
        <v>27472842</v>
      </c>
      <c r="BJ46" s="30"/>
      <c r="BK46" s="3">
        <f>+'St of Net Position'!AE46-BI46</f>
        <v>0</v>
      </c>
    </row>
    <row r="47" spans="1:63" s="102" customFormat="1">
      <c r="A47" s="3" t="s">
        <v>247</v>
      </c>
      <c r="B47" s="103"/>
      <c r="C47" s="103" t="s">
        <v>218</v>
      </c>
      <c r="E47" s="103">
        <v>51375</v>
      </c>
      <c r="G47" s="3">
        <v>0</v>
      </c>
      <c r="H47" s="3"/>
      <c r="I47" s="3">
        <v>145513</v>
      </c>
      <c r="J47" s="3"/>
      <c r="K47" s="3">
        <v>3791382</v>
      </c>
      <c r="L47" s="3"/>
      <c r="M47" s="3">
        <v>616241</v>
      </c>
      <c r="N47" s="3"/>
      <c r="O47" s="3">
        <v>0</v>
      </c>
      <c r="P47" s="3"/>
      <c r="Q47" s="3">
        <v>335091</v>
      </c>
      <c r="R47" s="3"/>
      <c r="S47" s="3">
        <v>469054</v>
      </c>
      <c r="T47" s="3"/>
      <c r="U47" s="3">
        <v>89278</v>
      </c>
      <c r="V47" s="3"/>
      <c r="W47" s="3">
        <v>512983</v>
      </c>
      <c r="X47" s="3"/>
      <c r="Y47" s="3">
        <v>399685</v>
      </c>
      <c r="Z47" s="3"/>
      <c r="AA47" s="3">
        <v>0</v>
      </c>
      <c r="AB47" s="3"/>
      <c r="AC47" s="3">
        <v>586844</v>
      </c>
      <c r="AD47" s="3"/>
      <c r="AE47" s="3" t="s">
        <v>247</v>
      </c>
      <c r="AF47" s="103"/>
      <c r="AG47" s="103" t="s">
        <v>218</v>
      </c>
      <c r="AH47" s="103"/>
      <c r="AI47" s="3">
        <v>23085</v>
      </c>
      <c r="AJ47" s="3"/>
      <c r="AK47" s="3">
        <v>247882</v>
      </c>
      <c r="AL47" s="3"/>
      <c r="AM47" s="3"/>
      <c r="AN47" s="3"/>
      <c r="AO47" s="3">
        <v>0</v>
      </c>
      <c r="AP47" s="3"/>
      <c r="AQ47" s="3">
        <v>341455</v>
      </c>
      <c r="AR47" s="3"/>
      <c r="AS47" s="3">
        <v>1200</v>
      </c>
      <c r="AT47" s="3"/>
      <c r="AU47" s="3">
        <v>168467</v>
      </c>
      <c r="AV47" s="3"/>
      <c r="AW47" s="3">
        <v>0</v>
      </c>
      <c r="AX47" s="3"/>
      <c r="AY47" s="3"/>
      <c r="AZ47" s="3"/>
      <c r="BA47" s="3">
        <v>5608</v>
      </c>
      <c r="BB47" s="3"/>
      <c r="BC47" s="3">
        <f t="shared" si="0"/>
        <v>7733768</v>
      </c>
      <c r="BD47" s="3"/>
      <c r="BE47" s="3">
        <f>+'St of Act-Rev'!AG47-BC47</f>
        <v>-342241</v>
      </c>
      <c r="BF47" s="3"/>
      <c r="BG47" s="3">
        <v>19255112</v>
      </c>
      <c r="BH47" s="3"/>
      <c r="BI47" s="3">
        <f t="shared" si="1"/>
        <v>18912871</v>
      </c>
      <c r="BJ47" s="30"/>
      <c r="BK47" s="3">
        <f>+'St of Net Position'!AE47-BI47</f>
        <v>0</v>
      </c>
    </row>
    <row r="48" spans="1:63" s="102" customFormat="1">
      <c r="A48" s="3" t="s">
        <v>364</v>
      </c>
      <c r="B48" s="103"/>
      <c r="C48" s="103" t="s">
        <v>189</v>
      </c>
      <c r="E48" s="103">
        <v>51417</v>
      </c>
      <c r="G48" s="3">
        <v>869085</v>
      </c>
      <c r="H48" s="3"/>
      <c r="I48" s="3">
        <v>440829</v>
      </c>
      <c r="J48" s="3"/>
      <c r="K48" s="3">
        <v>9589788</v>
      </c>
      <c r="L48" s="3"/>
      <c r="M48" s="3">
        <v>372334</v>
      </c>
      <c r="N48" s="3"/>
      <c r="O48" s="3">
        <v>0</v>
      </c>
      <c r="P48" s="3"/>
      <c r="Q48" s="3">
        <v>1206688</v>
      </c>
      <c r="R48" s="3"/>
      <c r="S48" s="3">
        <v>1171850</v>
      </c>
      <c r="T48" s="3"/>
      <c r="U48" s="3">
        <v>76472</v>
      </c>
      <c r="V48" s="3"/>
      <c r="W48" s="3">
        <v>1060322</v>
      </c>
      <c r="X48" s="3"/>
      <c r="Y48" s="3">
        <v>394408</v>
      </c>
      <c r="Z48" s="3"/>
      <c r="AA48" s="3">
        <v>184021</v>
      </c>
      <c r="AB48" s="3"/>
      <c r="AC48" s="3">
        <v>1236756</v>
      </c>
      <c r="AD48" s="3"/>
      <c r="AE48" s="3" t="s">
        <v>364</v>
      </c>
      <c r="AF48" s="103"/>
      <c r="AG48" s="103" t="s">
        <v>189</v>
      </c>
      <c r="AH48" s="103"/>
      <c r="AI48" s="3">
        <v>1771</v>
      </c>
      <c r="AJ48" s="3"/>
      <c r="AK48" s="3">
        <v>167351</v>
      </c>
      <c r="AL48" s="3"/>
      <c r="AM48" s="3"/>
      <c r="AN48" s="3"/>
      <c r="AO48" s="3">
        <v>513770</v>
      </c>
      <c r="AP48" s="3"/>
      <c r="AQ48" s="3">
        <v>1699</v>
      </c>
      <c r="AR48" s="3"/>
      <c r="AS48" s="3">
        <v>129867</v>
      </c>
      <c r="AT48" s="3"/>
      <c r="AU48" s="3">
        <v>560143</v>
      </c>
      <c r="AV48" s="3"/>
      <c r="AW48" s="3">
        <v>0</v>
      </c>
      <c r="AX48" s="3"/>
      <c r="AY48" s="3"/>
      <c r="AZ48" s="3"/>
      <c r="BA48" s="3">
        <v>0</v>
      </c>
      <c r="BB48" s="3"/>
      <c r="BC48" s="3">
        <f t="shared" si="0"/>
        <v>17977154</v>
      </c>
      <c r="BD48" s="3"/>
      <c r="BE48" s="3">
        <f>+'St of Act-Rev'!AG48-BC48</f>
        <v>-1130858</v>
      </c>
      <c r="BF48" s="3"/>
      <c r="BG48" s="3">
        <v>38872471</v>
      </c>
      <c r="BH48" s="3"/>
      <c r="BI48" s="3">
        <f t="shared" si="1"/>
        <v>37741613</v>
      </c>
      <c r="BJ48" s="30"/>
      <c r="BK48" s="3">
        <f>+'St of Net Position'!AE48-BI48</f>
        <v>0</v>
      </c>
    </row>
    <row r="49" spans="1:63" s="102" customFormat="1">
      <c r="A49" s="3" t="s">
        <v>248</v>
      </c>
      <c r="B49" s="103"/>
      <c r="C49" s="103" t="s">
        <v>157</v>
      </c>
      <c r="E49" s="103">
        <v>50948</v>
      </c>
      <c r="G49" s="3">
        <v>0</v>
      </c>
      <c r="H49" s="3"/>
      <c r="I49" s="3">
        <v>0</v>
      </c>
      <c r="J49" s="3"/>
      <c r="K49" s="3">
        <v>6564340</v>
      </c>
      <c r="L49" s="3"/>
      <c r="M49" s="3">
        <v>314651</v>
      </c>
      <c r="N49" s="3"/>
      <c r="O49" s="3">
        <v>0</v>
      </c>
      <c r="P49" s="3"/>
      <c r="Q49" s="3">
        <v>1820635</v>
      </c>
      <c r="R49" s="3"/>
      <c r="S49" s="3">
        <v>1699210</v>
      </c>
      <c r="T49" s="3"/>
      <c r="U49" s="3">
        <v>188568</v>
      </c>
      <c r="V49" s="3"/>
      <c r="W49" s="3">
        <v>824243</v>
      </c>
      <c r="X49" s="3"/>
      <c r="Y49" s="3">
        <v>657961</v>
      </c>
      <c r="Z49" s="3"/>
      <c r="AA49" s="3">
        <v>117035</v>
      </c>
      <c r="AB49" s="3"/>
      <c r="AC49" s="3">
        <v>1430512</v>
      </c>
      <c r="AD49" s="3"/>
      <c r="AE49" s="3" t="s">
        <v>248</v>
      </c>
      <c r="AF49" s="103"/>
      <c r="AG49" s="103" t="s">
        <v>157</v>
      </c>
      <c r="AH49" s="103"/>
      <c r="AI49" s="3">
        <v>22259</v>
      </c>
      <c r="AJ49" s="3"/>
      <c r="AK49" s="3">
        <v>1238525</v>
      </c>
      <c r="AL49" s="3"/>
      <c r="AM49" s="3"/>
      <c r="AN49" s="3"/>
      <c r="AO49" s="3">
        <v>0</v>
      </c>
      <c r="AP49" s="3"/>
      <c r="AQ49" s="3">
        <v>0</v>
      </c>
      <c r="AR49" s="3"/>
      <c r="AS49" s="3">
        <v>44807</v>
      </c>
      <c r="AT49" s="3"/>
      <c r="AU49" s="3">
        <v>92652</v>
      </c>
      <c r="AV49" s="3"/>
      <c r="AW49" s="3">
        <v>0</v>
      </c>
      <c r="AX49" s="3"/>
      <c r="AY49" s="3"/>
      <c r="AZ49" s="3"/>
      <c r="BA49" s="3">
        <v>0</v>
      </c>
      <c r="BB49" s="3"/>
      <c r="BC49" s="3">
        <f t="shared" si="0"/>
        <v>15015398</v>
      </c>
      <c r="BD49" s="3"/>
      <c r="BE49" s="3">
        <f>+'St of Act-Rev'!AG49-BC49</f>
        <v>-776573</v>
      </c>
      <c r="BF49" s="3"/>
      <c r="BG49" s="3">
        <v>12850563</v>
      </c>
      <c r="BH49" s="3"/>
      <c r="BI49" s="3">
        <f t="shared" si="1"/>
        <v>12073990</v>
      </c>
      <c r="BJ49" s="30"/>
      <c r="BK49" s="3">
        <f>+'St of Net Position'!AE49-BI49</f>
        <v>0</v>
      </c>
    </row>
    <row r="50" spans="1:63" s="102" customFormat="1">
      <c r="A50" s="3" t="s">
        <v>249</v>
      </c>
      <c r="B50" s="103"/>
      <c r="C50" s="103" t="s">
        <v>196</v>
      </c>
      <c r="E50" s="103">
        <v>63495</v>
      </c>
      <c r="G50" s="3">
        <v>435333</v>
      </c>
      <c r="H50" s="3"/>
      <c r="I50" s="3">
        <v>300818</v>
      </c>
      <c r="J50" s="3"/>
      <c r="K50" s="3">
        <v>3624205</v>
      </c>
      <c r="L50" s="3"/>
      <c r="M50" s="3">
        <v>943066</v>
      </c>
      <c r="N50" s="3"/>
      <c r="O50" s="3">
        <v>6946</v>
      </c>
      <c r="P50" s="3"/>
      <c r="Q50" s="3">
        <v>342330</v>
      </c>
      <c r="R50" s="3"/>
      <c r="S50" s="3">
        <v>270681</v>
      </c>
      <c r="T50" s="3"/>
      <c r="U50" s="3">
        <v>20066</v>
      </c>
      <c r="V50" s="3"/>
      <c r="W50" s="3">
        <v>716947</v>
      </c>
      <c r="X50" s="3"/>
      <c r="Y50" s="3">
        <v>428147</v>
      </c>
      <c r="Z50" s="3"/>
      <c r="AA50" s="3">
        <v>0</v>
      </c>
      <c r="AB50" s="3"/>
      <c r="AC50" s="3">
        <v>501057</v>
      </c>
      <c r="AD50" s="3"/>
      <c r="AE50" s="3" t="s">
        <v>249</v>
      </c>
      <c r="AF50" s="103"/>
      <c r="AG50" s="103" t="s">
        <v>196</v>
      </c>
      <c r="AH50" s="103"/>
      <c r="AI50" s="3">
        <v>53905</v>
      </c>
      <c r="AJ50" s="3"/>
      <c r="AK50" s="3">
        <v>95757</v>
      </c>
      <c r="AL50" s="3"/>
      <c r="AM50" s="3"/>
      <c r="AN50" s="3"/>
      <c r="AO50" s="3">
        <v>0</v>
      </c>
      <c r="AP50" s="3"/>
      <c r="AQ50" s="3">
        <v>0</v>
      </c>
      <c r="AR50" s="3"/>
      <c r="AS50" s="3">
        <v>43953</v>
      </c>
      <c r="AT50" s="3"/>
      <c r="AU50" s="3">
        <v>0</v>
      </c>
      <c r="AV50" s="3"/>
      <c r="AW50" s="3">
        <v>0</v>
      </c>
      <c r="AX50" s="3"/>
      <c r="AY50" s="3"/>
      <c r="AZ50" s="3"/>
      <c r="BA50" s="3">
        <v>3839</v>
      </c>
      <c r="BB50" s="3"/>
      <c r="BC50" s="3">
        <f t="shared" si="0"/>
        <v>7787050</v>
      </c>
      <c r="BD50" s="3"/>
      <c r="BE50" s="3">
        <f>+'St of Act-Rev'!AG50-BC50</f>
        <v>-363096</v>
      </c>
      <c r="BF50" s="3"/>
      <c r="BG50" s="3">
        <v>15680953</v>
      </c>
      <c r="BH50" s="3"/>
      <c r="BI50" s="3">
        <f t="shared" si="1"/>
        <v>15317857</v>
      </c>
      <c r="BJ50" s="30"/>
      <c r="BK50" s="3">
        <f>+'St of Net Position'!AE50-BI50</f>
        <v>0</v>
      </c>
    </row>
    <row r="51" spans="1:63" s="102" customFormat="1">
      <c r="A51" s="3" t="s">
        <v>383</v>
      </c>
      <c r="B51" s="103"/>
      <c r="C51" s="103" t="s">
        <v>192</v>
      </c>
      <c r="E51" s="103">
        <v>51490</v>
      </c>
      <c r="G51" s="3">
        <v>0</v>
      </c>
      <c r="H51" s="3"/>
      <c r="I51" s="3">
        <v>65024</v>
      </c>
      <c r="J51" s="3"/>
      <c r="K51" s="3">
        <v>4201460</v>
      </c>
      <c r="L51" s="3"/>
      <c r="M51" s="3">
        <v>1540644</v>
      </c>
      <c r="N51" s="3"/>
      <c r="O51" s="3">
        <v>184610</v>
      </c>
      <c r="P51" s="3"/>
      <c r="Q51" s="3">
        <v>448776</v>
      </c>
      <c r="R51" s="3"/>
      <c r="S51" s="3">
        <v>401634</v>
      </c>
      <c r="T51" s="3"/>
      <c r="U51" s="3">
        <v>12762</v>
      </c>
      <c r="V51" s="3"/>
      <c r="W51" s="3">
        <v>1357883</v>
      </c>
      <c r="X51" s="3"/>
      <c r="Y51" s="3">
        <v>373089</v>
      </c>
      <c r="Z51" s="3"/>
      <c r="AA51" s="3">
        <v>0</v>
      </c>
      <c r="AB51" s="3"/>
      <c r="AC51" s="3">
        <v>1174506</v>
      </c>
      <c r="AD51" s="3"/>
      <c r="AE51" s="3" t="s">
        <v>383</v>
      </c>
      <c r="AF51" s="103"/>
      <c r="AG51" s="103" t="s">
        <v>192</v>
      </c>
      <c r="AH51" s="103"/>
      <c r="AI51" s="3">
        <v>23426</v>
      </c>
      <c r="AJ51" s="3"/>
      <c r="AK51" s="3">
        <v>116442</v>
      </c>
      <c r="AL51" s="3"/>
      <c r="AM51" s="3"/>
      <c r="AN51" s="3"/>
      <c r="AO51" s="3">
        <v>0</v>
      </c>
      <c r="AP51" s="3"/>
      <c r="AQ51" s="3">
        <v>291605</v>
      </c>
      <c r="AR51" s="3"/>
      <c r="AS51" s="3">
        <v>58785</v>
      </c>
      <c r="AT51" s="3"/>
      <c r="AU51" s="3">
        <v>0</v>
      </c>
      <c r="AV51" s="3"/>
      <c r="AW51" s="3">
        <v>0</v>
      </c>
      <c r="AX51" s="3"/>
      <c r="AY51" s="3"/>
      <c r="AZ51" s="3"/>
      <c r="BA51" s="3">
        <v>0</v>
      </c>
      <c r="BB51" s="3"/>
      <c r="BC51" s="3">
        <f t="shared" si="0"/>
        <v>10250646</v>
      </c>
      <c r="BD51" s="3"/>
      <c r="BE51" s="3">
        <f>+'St of Act-Rev'!AG51-BC51</f>
        <v>-167302</v>
      </c>
      <c r="BF51" s="3"/>
      <c r="BG51" s="3">
        <v>25368014</v>
      </c>
      <c r="BH51" s="3"/>
      <c r="BI51" s="3">
        <f t="shared" si="1"/>
        <v>25200712</v>
      </c>
      <c r="BJ51" s="30"/>
      <c r="BK51" s="3">
        <f>+'St of Net Position'!AE51-BI51</f>
        <v>0</v>
      </c>
    </row>
    <row r="52" spans="1:63" s="102" customFormat="1">
      <c r="A52" s="3" t="s">
        <v>205</v>
      </c>
      <c r="B52" s="103"/>
      <c r="C52" s="103" t="s">
        <v>150</v>
      </c>
      <c r="E52" s="103">
        <v>50799</v>
      </c>
      <c r="G52" s="3">
        <v>159402</v>
      </c>
      <c r="H52" s="3"/>
      <c r="I52" s="3">
        <v>4253</v>
      </c>
      <c r="J52" s="3"/>
      <c r="K52" s="3">
        <v>3489180</v>
      </c>
      <c r="L52" s="3"/>
      <c r="M52" s="3">
        <v>112956</v>
      </c>
      <c r="N52" s="3"/>
      <c r="O52" s="3">
        <v>0</v>
      </c>
      <c r="P52" s="3"/>
      <c r="Q52" s="3">
        <v>522683</v>
      </c>
      <c r="R52" s="3"/>
      <c r="S52" s="3">
        <v>105313</v>
      </c>
      <c r="T52" s="3"/>
      <c r="U52" s="3">
        <v>37359</v>
      </c>
      <c r="V52" s="3"/>
      <c r="W52" s="3">
        <v>636988</v>
      </c>
      <c r="X52" s="3"/>
      <c r="Y52" s="3">
        <v>395409</v>
      </c>
      <c r="Z52" s="3"/>
      <c r="AA52" s="3">
        <v>5592</v>
      </c>
      <c r="AB52" s="3"/>
      <c r="AC52" s="3">
        <v>555620</v>
      </c>
      <c r="AD52" s="3"/>
      <c r="AE52" s="3" t="s">
        <v>205</v>
      </c>
      <c r="AF52" s="103"/>
      <c r="AG52" s="103" t="s">
        <v>150</v>
      </c>
      <c r="AH52" s="103"/>
      <c r="AI52" s="3">
        <v>32688</v>
      </c>
      <c r="AJ52" s="3"/>
      <c r="AK52" s="3">
        <v>42520</v>
      </c>
      <c r="AL52" s="3"/>
      <c r="AM52" s="3"/>
      <c r="AN52" s="3"/>
      <c r="AO52" s="3">
        <v>0</v>
      </c>
      <c r="AP52" s="3"/>
      <c r="AQ52" s="3">
        <v>219612</v>
      </c>
      <c r="AR52" s="3"/>
      <c r="AS52" s="3">
        <v>8948</v>
      </c>
      <c r="AT52" s="3"/>
      <c r="AU52" s="3">
        <v>25923</v>
      </c>
      <c r="AV52" s="3"/>
      <c r="AW52" s="3">
        <v>0</v>
      </c>
      <c r="AX52" s="3"/>
      <c r="AY52" s="3"/>
      <c r="AZ52" s="3"/>
      <c r="BA52" s="3">
        <v>0</v>
      </c>
      <c r="BB52" s="3"/>
      <c r="BC52" s="3">
        <f t="shared" si="0"/>
        <v>6354446</v>
      </c>
      <c r="BD52" s="3"/>
      <c r="BE52" s="3">
        <f>+'St of Act-Rev'!AG52-BC52</f>
        <v>310925</v>
      </c>
      <c r="BF52" s="3"/>
      <c r="BG52" s="3">
        <v>18543004</v>
      </c>
      <c r="BH52" s="3"/>
      <c r="BI52" s="3">
        <f t="shared" si="1"/>
        <v>18853929</v>
      </c>
      <c r="BJ52" s="30"/>
      <c r="BK52" s="3">
        <f>+'St of Net Position'!AE52-BI52</f>
        <v>0</v>
      </c>
    </row>
    <row r="53" spans="1:63" s="102" customFormat="1">
      <c r="A53" s="3" t="s">
        <v>365</v>
      </c>
      <c r="B53" s="103"/>
      <c r="C53" s="103" t="s">
        <v>152</v>
      </c>
      <c r="E53" s="103">
        <v>51532</v>
      </c>
      <c r="G53" s="3">
        <v>0</v>
      </c>
      <c r="H53" s="3"/>
      <c r="I53" s="3">
        <v>701154</v>
      </c>
      <c r="J53" s="3"/>
      <c r="K53" s="3">
        <v>6104441</v>
      </c>
      <c r="L53" s="3"/>
      <c r="M53" s="3">
        <v>0</v>
      </c>
      <c r="N53" s="3"/>
      <c r="O53" s="3">
        <v>0</v>
      </c>
      <c r="P53" s="3"/>
      <c r="Q53" s="3">
        <v>715887</v>
      </c>
      <c r="R53" s="3"/>
      <c r="S53" s="3">
        <v>697998</v>
      </c>
      <c r="T53" s="3"/>
      <c r="U53" s="3">
        <v>42730</v>
      </c>
      <c r="V53" s="3"/>
      <c r="W53" s="3">
        <v>1014656</v>
      </c>
      <c r="X53" s="3"/>
      <c r="Y53" s="3">
        <v>514154</v>
      </c>
      <c r="Z53" s="3"/>
      <c r="AA53" s="3">
        <v>168904</v>
      </c>
      <c r="AB53" s="3"/>
      <c r="AC53" s="3">
        <v>1253657</v>
      </c>
      <c r="AD53" s="3"/>
      <c r="AE53" s="3" t="s">
        <v>365</v>
      </c>
      <c r="AF53" s="103"/>
      <c r="AG53" s="103" t="s">
        <v>152</v>
      </c>
      <c r="AH53" s="103"/>
      <c r="AI53" s="3">
        <v>38293</v>
      </c>
      <c r="AJ53" s="3"/>
      <c r="AK53" s="3">
        <v>63420</v>
      </c>
      <c r="AL53" s="3"/>
      <c r="AM53" s="3"/>
      <c r="AN53" s="3"/>
      <c r="AO53" s="3">
        <v>0</v>
      </c>
      <c r="AP53" s="3"/>
      <c r="AQ53" s="3">
        <v>257435</v>
      </c>
      <c r="AR53" s="3"/>
      <c r="AS53" s="3">
        <v>27097</v>
      </c>
      <c r="AT53" s="3"/>
      <c r="AU53" s="3">
        <v>119434</v>
      </c>
      <c r="AV53" s="3"/>
      <c r="AW53" s="3">
        <v>0</v>
      </c>
      <c r="AX53" s="3"/>
      <c r="AY53" s="3"/>
      <c r="AZ53" s="3"/>
      <c r="BA53" s="3">
        <v>0</v>
      </c>
      <c r="BB53" s="3"/>
      <c r="BC53" s="3">
        <f t="shared" si="0"/>
        <v>11719260</v>
      </c>
      <c r="BD53" s="3"/>
      <c r="BE53" s="3">
        <f>+'St of Act-Rev'!AG53-BC53</f>
        <v>388587</v>
      </c>
      <c r="BF53" s="3"/>
      <c r="BG53" s="3">
        <v>9940152</v>
      </c>
      <c r="BH53" s="3"/>
      <c r="BI53" s="3">
        <f t="shared" si="1"/>
        <v>10328739</v>
      </c>
      <c r="BJ53" s="30"/>
      <c r="BK53" s="3">
        <f>+'St of Net Position'!AE53-BI53</f>
        <v>0</v>
      </c>
    </row>
    <row r="54" spans="1:63" s="102" customFormat="1">
      <c r="A54" s="3" t="s">
        <v>219</v>
      </c>
      <c r="B54" s="103"/>
      <c r="C54" s="103" t="s">
        <v>195</v>
      </c>
      <c r="E54" s="103">
        <v>62026</v>
      </c>
      <c r="G54" s="3">
        <v>952318</v>
      </c>
      <c r="H54" s="3"/>
      <c r="I54" s="3">
        <v>211867</v>
      </c>
      <c r="J54" s="3"/>
      <c r="K54" s="3">
        <v>3143069</v>
      </c>
      <c r="L54" s="3"/>
      <c r="M54" s="3">
        <v>52134</v>
      </c>
      <c r="N54" s="3"/>
      <c r="O54" s="3">
        <v>148</v>
      </c>
      <c r="P54" s="3"/>
      <c r="Q54" s="3">
        <v>962087</v>
      </c>
      <c r="R54" s="3"/>
      <c r="S54" s="3">
        <v>565961</v>
      </c>
      <c r="T54" s="3"/>
      <c r="U54" s="3">
        <v>19492</v>
      </c>
      <c r="V54" s="3"/>
      <c r="W54" s="3">
        <v>343078</v>
      </c>
      <c r="X54" s="3"/>
      <c r="Y54" s="3">
        <v>218021</v>
      </c>
      <c r="Z54" s="3"/>
      <c r="AA54" s="3">
        <v>43465</v>
      </c>
      <c r="AB54" s="3"/>
      <c r="AC54" s="3">
        <v>848095</v>
      </c>
      <c r="AD54" s="3"/>
      <c r="AE54" s="3" t="s">
        <v>219</v>
      </c>
      <c r="AF54" s="103"/>
      <c r="AG54" s="103" t="s">
        <v>195</v>
      </c>
      <c r="AH54" s="103"/>
      <c r="AI54" s="3">
        <v>0</v>
      </c>
      <c r="AJ54" s="3"/>
      <c r="AK54" s="3">
        <v>157530</v>
      </c>
      <c r="AL54" s="3"/>
      <c r="AM54" s="3"/>
      <c r="AN54" s="3"/>
      <c r="AO54" s="3">
        <v>299115</v>
      </c>
      <c r="AP54" s="3"/>
      <c r="AQ54" s="3">
        <v>0</v>
      </c>
      <c r="AR54" s="3"/>
      <c r="AS54" s="3">
        <v>54560</v>
      </c>
      <c r="AT54" s="3"/>
      <c r="AU54" s="3">
        <v>0</v>
      </c>
      <c r="AV54" s="3"/>
      <c r="AW54" s="3">
        <v>0</v>
      </c>
      <c r="AX54" s="3"/>
      <c r="AY54" s="3"/>
      <c r="AZ54" s="3"/>
      <c r="BA54" s="3">
        <v>0</v>
      </c>
      <c r="BB54" s="3"/>
      <c r="BC54" s="3">
        <f t="shared" si="0"/>
        <v>7870940</v>
      </c>
      <c r="BD54" s="3"/>
      <c r="BE54" s="3">
        <f>+'St of Act-Rev'!AG54-BC54</f>
        <v>-325779</v>
      </c>
      <c r="BF54" s="3"/>
      <c r="BG54" s="3">
        <v>14863676</v>
      </c>
      <c r="BH54" s="3"/>
      <c r="BI54" s="3">
        <f t="shared" si="1"/>
        <v>14537897</v>
      </c>
      <c r="BJ54" s="30"/>
      <c r="BK54" s="3">
        <f>+'St of Net Position'!AE54-BI54</f>
        <v>0</v>
      </c>
    </row>
    <row r="55" spans="1:63" s="102" customFormat="1">
      <c r="A55" s="3" t="s">
        <v>272</v>
      </c>
      <c r="B55" s="103"/>
      <c r="C55" s="103" t="s">
        <v>214</v>
      </c>
      <c r="E55" s="103">
        <v>63511</v>
      </c>
      <c r="G55" s="3">
        <v>1755925</v>
      </c>
      <c r="H55" s="3"/>
      <c r="I55" s="3">
        <v>852882</v>
      </c>
      <c r="J55" s="3"/>
      <c r="K55" s="3">
        <v>3937139</v>
      </c>
      <c r="L55" s="3"/>
      <c r="M55" s="3">
        <v>426458</v>
      </c>
      <c r="N55" s="3"/>
      <c r="O55" s="3">
        <v>179661</v>
      </c>
      <c r="P55" s="3"/>
      <c r="Q55" s="3">
        <v>779257</v>
      </c>
      <c r="R55" s="3"/>
      <c r="S55" s="3">
        <v>988206</v>
      </c>
      <c r="T55" s="3"/>
      <c r="U55" s="3">
        <v>62859</v>
      </c>
      <c r="V55" s="3"/>
      <c r="W55" s="3">
        <v>1324730</v>
      </c>
      <c r="X55" s="3"/>
      <c r="Y55" s="3">
        <v>473557</v>
      </c>
      <c r="Z55" s="3"/>
      <c r="AA55" s="3">
        <v>0</v>
      </c>
      <c r="AB55" s="3"/>
      <c r="AC55" s="3">
        <v>1528060</v>
      </c>
      <c r="AD55" s="3"/>
      <c r="AE55" s="3" t="s">
        <v>272</v>
      </c>
      <c r="AF55" s="103"/>
      <c r="AG55" s="103" t="s">
        <v>214</v>
      </c>
      <c r="AH55" s="103"/>
      <c r="AI55" s="3">
        <v>25234</v>
      </c>
      <c r="AJ55" s="3"/>
      <c r="AK55" s="3">
        <v>239925</v>
      </c>
      <c r="AL55" s="3"/>
      <c r="AM55" s="3"/>
      <c r="AN55" s="3"/>
      <c r="AO55" s="3">
        <v>0</v>
      </c>
      <c r="AP55" s="3"/>
      <c r="AQ55" s="3">
        <v>355493</v>
      </c>
      <c r="AR55" s="3"/>
      <c r="AS55" s="3">
        <v>66256</v>
      </c>
      <c r="AT55" s="3"/>
      <c r="AU55" s="3">
        <v>160276</v>
      </c>
      <c r="AV55" s="3"/>
      <c r="AW55" s="3">
        <v>0</v>
      </c>
      <c r="AX55" s="3"/>
      <c r="AY55" s="3"/>
      <c r="AZ55" s="3"/>
      <c r="BA55" s="3">
        <v>0</v>
      </c>
      <c r="BB55" s="3"/>
      <c r="BC55" s="3">
        <f t="shared" si="0"/>
        <v>13155918</v>
      </c>
      <c r="BD55" s="3"/>
      <c r="BE55" s="3">
        <f>+'St of Act-Rev'!AG55-BC55</f>
        <v>300472</v>
      </c>
      <c r="BF55" s="3"/>
      <c r="BG55" s="3">
        <v>21205342</v>
      </c>
      <c r="BH55" s="3"/>
      <c r="BI55" s="3">
        <f t="shared" si="1"/>
        <v>21505814</v>
      </c>
      <c r="BJ55" s="30"/>
      <c r="BK55" s="3">
        <f>+'St of Net Position'!AE55-BI55</f>
        <v>0</v>
      </c>
    </row>
    <row r="56" spans="1:63" s="102" customFormat="1">
      <c r="A56" s="3" t="s">
        <v>285</v>
      </c>
      <c r="B56" s="103"/>
      <c r="C56" s="103" t="s">
        <v>145</v>
      </c>
      <c r="E56" s="103">
        <v>51607</v>
      </c>
      <c r="G56" s="3">
        <v>237167</v>
      </c>
      <c r="H56" s="3"/>
      <c r="I56" s="3">
        <v>0</v>
      </c>
      <c r="J56" s="3"/>
      <c r="K56" s="3">
        <v>3259905</v>
      </c>
      <c r="L56" s="3"/>
      <c r="M56" s="3">
        <v>305556</v>
      </c>
      <c r="N56" s="3"/>
      <c r="O56" s="3">
        <v>0</v>
      </c>
      <c r="P56" s="3"/>
      <c r="Q56" s="3">
        <v>343327</v>
      </c>
      <c r="R56" s="3"/>
      <c r="S56" s="3">
        <v>100839</v>
      </c>
      <c r="T56" s="3"/>
      <c r="U56" s="3">
        <v>111828</v>
      </c>
      <c r="V56" s="3"/>
      <c r="W56" s="3">
        <v>706917</v>
      </c>
      <c r="X56" s="3"/>
      <c r="Y56" s="3">
        <v>413910</v>
      </c>
      <c r="Z56" s="3"/>
      <c r="AA56" s="3">
        <v>66377</v>
      </c>
      <c r="AB56" s="3"/>
      <c r="AC56" s="3">
        <v>1179832</v>
      </c>
      <c r="AD56" s="3"/>
      <c r="AE56" s="3" t="s">
        <v>285</v>
      </c>
      <c r="AF56" s="103"/>
      <c r="AG56" s="103" t="s">
        <v>145</v>
      </c>
      <c r="AH56" s="103"/>
      <c r="AI56" s="3">
        <v>2038</v>
      </c>
      <c r="AJ56" s="3"/>
      <c r="AK56" s="3">
        <v>169525</v>
      </c>
      <c r="AL56" s="3"/>
      <c r="AM56" s="3"/>
      <c r="AN56" s="3"/>
      <c r="AO56" s="3">
        <v>195756</v>
      </c>
      <c r="AP56" s="3"/>
      <c r="AQ56" s="3">
        <v>0</v>
      </c>
      <c r="AR56" s="3"/>
      <c r="AS56" s="3">
        <v>7112</v>
      </c>
      <c r="AT56" s="3"/>
      <c r="AU56" s="3">
        <v>0</v>
      </c>
      <c r="AV56" s="3"/>
      <c r="AW56" s="3">
        <v>0</v>
      </c>
      <c r="AX56" s="3"/>
      <c r="AY56" s="3"/>
      <c r="AZ56" s="3"/>
      <c r="BA56" s="3">
        <v>0</v>
      </c>
      <c r="BB56" s="3"/>
      <c r="BC56" s="3">
        <f t="shared" si="0"/>
        <v>7100089</v>
      </c>
      <c r="BD56" s="3"/>
      <c r="BE56" s="3">
        <f>+'St of Act-Rev'!AG56-BC56</f>
        <v>725709</v>
      </c>
      <c r="BF56" s="3"/>
      <c r="BG56" s="3">
        <v>4644028</v>
      </c>
      <c r="BH56" s="3"/>
      <c r="BI56" s="3">
        <f t="shared" si="1"/>
        <v>5369737</v>
      </c>
      <c r="BJ56" s="30"/>
      <c r="BK56" s="3">
        <f>+'St of Net Position'!AE56-BI56</f>
        <v>0</v>
      </c>
    </row>
    <row r="57" spans="1:63" s="102" customFormat="1">
      <c r="A57" s="3" t="s">
        <v>215</v>
      </c>
      <c r="B57" s="103"/>
      <c r="C57" s="103" t="s">
        <v>216</v>
      </c>
      <c r="E57" s="103">
        <v>65268</v>
      </c>
      <c r="G57" s="3">
        <v>290466</v>
      </c>
      <c r="H57" s="3"/>
      <c r="I57" s="3">
        <v>0</v>
      </c>
      <c r="J57" s="3"/>
      <c r="K57" s="3">
        <v>5999041</v>
      </c>
      <c r="L57" s="3"/>
      <c r="M57" s="3">
        <v>167105</v>
      </c>
      <c r="N57" s="3"/>
      <c r="O57" s="3">
        <v>0</v>
      </c>
      <c r="P57" s="3"/>
      <c r="Q57" s="3">
        <v>592944</v>
      </c>
      <c r="R57" s="3"/>
      <c r="S57" s="3">
        <v>262107</v>
      </c>
      <c r="T57" s="3"/>
      <c r="U57" s="3">
        <v>96280</v>
      </c>
      <c r="V57" s="3"/>
      <c r="W57" s="3">
        <v>1217983</v>
      </c>
      <c r="X57" s="3"/>
      <c r="Y57" s="3">
        <v>418728</v>
      </c>
      <c r="Z57" s="3"/>
      <c r="AA57" s="3">
        <v>164442</v>
      </c>
      <c r="AB57" s="3"/>
      <c r="AC57" s="3">
        <v>886433</v>
      </c>
      <c r="AD57" s="3"/>
      <c r="AE57" s="3" t="s">
        <v>215</v>
      </c>
      <c r="AF57" s="103"/>
      <c r="AG57" s="103" t="s">
        <v>216</v>
      </c>
      <c r="AH57" s="103"/>
      <c r="AI57" s="3">
        <v>14309</v>
      </c>
      <c r="AJ57" s="3"/>
      <c r="AK57" s="3">
        <v>1372796</v>
      </c>
      <c r="AL57" s="3"/>
      <c r="AM57" s="3"/>
      <c r="AN57" s="3"/>
      <c r="AO57" s="3">
        <v>0</v>
      </c>
      <c r="AP57" s="3"/>
      <c r="AQ57" s="3">
        <v>1853</v>
      </c>
      <c r="AR57" s="3"/>
      <c r="AS57" s="3">
        <v>39079</v>
      </c>
      <c r="AT57" s="3"/>
      <c r="AU57" s="3">
        <v>74851</v>
      </c>
      <c r="AV57" s="3"/>
      <c r="AW57" s="3">
        <v>0</v>
      </c>
      <c r="AX57" s="3"/>
      <c r="AY57" s="3"/>
      <c r="AZ57" s="3"/>
      <c r="BA57" s="3">
        <v>0</v>
      </c>
      <c r="BB57" s="3"/>
      <c r="BC57" s="3">
        <f t="shared" si="0"/>
        <v>11598417</v>
      </c>
      <c r="BD57" s="3"/>
      <c r="BE57" s="3">
        <f>+'St of Act-Rev'!AG57-BC57</f>
        <v>-121808</v>
      </c>
      <c r="BF57" s="3"/>
      <c r="BG57" s="3">
        <v>9525150</v>
      </c>
      <c r="BH57" s="3"/>
      <c r="BI57" s="3">
        <f t="shared" si="1"/>
        <v>9403342</v>
      </c>
      <c r="BJ57" s="30"/>
      <c r="BK57" s="3">
        <f>+'St of Net Position'!AE57-BI57</f>
        <v>0</v>
      </c>
    </row>
    <row r="58" spans="1:63" s="102" customFormat="1">
      <c r="A58" s="3" t="s">
        <v>366</v>
      </c>
      <c r="B58" s="103"/>
      <c r="C58" s="103" t="s">
        <v>197</v>
      </c>
      <c r="E58" s="103">
        <v>51631</v>
      </c>
      <c r="G58" s="3">
        <v>2223830</v>
      </c>
      <c r="H58" s="3"/>
      <c r="I58" s="3">
        <v>808707</v>
      </c>
      <c r="J58" s="3"/>
      <c r="K58" s="3">
        <v>4962189</v>
      </c>
      <c r="L58" s="3"/>
      <c r="M58" s="3">
        <v>351547</v>
      </c>
      <c r="N58" s="3"/>
      <c r="O58" s="3">
        <v>0</v>
      </c>
      <c r="P58" s="3"/>
      <c r="Q58" s="3">
        <v>1247791</v>
      </c>
      <c r="R58" s="3"/>
      <c r="S58" s="3">
        <v>345230</v>
      </c>
      <c r="T58" s="3"/>
      <c r="U58" s="3">
        <v>66956</v>
      </c>
      <c r="V58" s="3"/>
      <c r="W58" s="3">
        <v>2075479</v>
      </c>
      <c r="X58" s="3"/>
      <c r="Y58" s="3">
        <v>581368</v>
      </c>
      <c r="Z58" s="3"/>
      <c r="AA58" s="3">
        <v>6988</v>
      </c>
      <c r="AB58" s="3"/>
      <c r="AC58" s="3">
        <v>1176428</v>
      </c>
      <c r="AD58" s="3"/>
      <c r="AE58" s="3" t="s">
        <v>366</v>
      </c>
      <c r="AF58" s="103"/>
      <c r="AG58" s="103" t="s">
        <v>197</v>
      </c>
      <c r="AH58" s="103"/>
      <c r="AI58" s="3">
        <v>20719</v>
      </c>
      <c r="AJ58" s="3"/>
      <c r="AK58" s="3">
        <v>99540</v>
      </c>
      <c r="AL58" s="3"/>
      <c r="AM58" s="3"/>
      <c r="AN58" s="3"/>
      <c r="AO58" s="3">
        <v>433703</v>
      </c>
      <c r="AP58" s="3"/>
      <c r="AQ58" s="3">
        <v>1861</v>
      </c>
      <c r="AR58" s="3"/>
      <c r="AS58" s="3">
        <v>119222</v>
      </c>
      <c r="AT58" s="3"/>
      <c r="AU58" s="3">
        <v>264816</v>
      </c>
      <c r="AV58" s="3"/>
      <c r="AW58" s="3">
        <v>0</v>
      </c>
      <c r="AX58" s="3"/>
      <c r="AY58" s="3"/>
      <c r="AZ58" s="3"/>
      <c r="BA58" s="3">
        <v>0</v>
      </c>
      <c r="BB58" s="3"/>
      <c r="BC58" s="3">
        <f t="shared" si="0"/>
        <v>14786374</v>
      </c>
      <c r="BD58" s="3"/>
      <c r="BE58" s="3">
        <f>+'St of Act-Rev'!AG58-BC58</f>
        <v>-786591</v>
      </c>
      <c r="BF58" s="3"/>
      <c r="BG58" s="3">
        <v>11981971</v>
      </c>
      <c r="BH58" s="3"/>
      <c r="BI58" s="3">
        <f t="shared" si="1"/>
        <v>11195380</v>
      </c>
      <c r="BJ58" s="30"/>
      <c r="BK58" s="3">
        <f>+'St of Net Position'!AE58-BI58</f>
        <v>0</v>
      </c>
    </row>
    <row r="59" spans="1:63" s="102" customFormat="1">
      <c r="A59" s="3" t="s">
        <v>206</v>
      </c>
      <c r="B59" s="103"/>
      <c r="C59" s="103" t="s">
        <v>154</v>
      </c>
      <c r="E59" s="103">
        <v>62802</v>
      </c>
      <c r="G59" s="3">
        <v>249741</v>
      </c>
      <c r="H59" s="3"/>
      <c r="I59" s="3">
        <v>142065</v>
      </c>
      <c r="J59" s="3"/>
      <c r="K59" s="3">
        <v>3701682</v>
      </c>
      <c r="L59" s="3"/>
      <c r="M59" s="3">
        <v>340142</v>
      </c>
      <c r="N59" s="3"/>
      <c r="O59" s="3">
        <v>0</v>
      </c>
      <c r="P59" s="3"/>
      <c r="Q59" s="3">
        <v>487781</v>
      </c>
      <c r="R59" s="3"/>
      <c r="S59" s="3">
        <v>164467</v>
      </c>
      <c r="T59" s="3"/>
      <c r="U59" s="3">
        <v>70536</v>
      </c>
      <c r="V59" s="3"/>
      <c r="W59" s="3">
        <v>406485</v>
      </c>
      <c r="X59" s="3"/>
      <c r="Y59" s="3">
        <v>478505</v>
      </c>
      <c r="Z59" s="3"/>
      <c r="AA59" s="3">
        <v>0</v>
      </c>
      <c r="AB59" s="3"/>
      <c r="AC59" s="3">
        <v>673969</v>
      </c>
      <c r="AD59" s="3"/>
      <c r="AE59" s="3" t="s">
        <v>206</v>
      </c>
      <c r="AF59" s="103"/>
      <c r="AG59" s="103" t="s">
        <v>154</v>
      </c>
      <c r="AH59" s="103"/>
      <c r="AI59" s="3">
        <v>0</v>
      </c>
      <c r="AJ59" s="3"/>
      <c r="AK59" s="3">
        <v>97124</v>
      </c>
      <c r="AL59" s="3"/>
      <c r="AM59" s="3"/>
      <c r="AN59" s="3"/>
      <c r="AO59" s="3">
        <v>0</v>
      </c>
      <c r="AP59" s="3"/>
      <c r="AQ59" s="3">
        <v>209289</v>
      </c>
      <c r="AR59" s="3"/>
      <c r="AS59" s="3">
        <v>56397</v>
      </c>
      <c r="AT59" s="3"/>
      <c r="AU59" s="3">
        <v>0</v>
      </c>
      <c r="AV59" s="3"/>
      <c r="AW59" s="3">
        <v>0</v>
      </c>
      <c r="AX59" s="3"/>
      <c r="AY59" s="3"/>
      <c r="AZ59" s="3"/>
      <c r="BA59" s="3">
        <v>0</v>
      </c>
      <c r="BB59" s="3"/>
      <c r="BC59" s="3">
        <f t="shared" si="0"/>
        <v>7078183</v>
      </c>
      <c r="BD59" s="3"/>
      <c r="BE59" s="3">
        <f>+'St of Act-Rev'!AG59-BC59</f>
        <v>996622</v>
      </c>
      <c r="BF59" s="3"/>
      <c r="BG59" s="3">
        <v>12617927</v>
      </c>
      <c r="BH59" s="3"/>
      <c r="BI59" s="3">
        <f t="shared" si="1"/>
        <v>13614549</v>
      </c>
      <c r="BJ59" s="30"/>
      <c r="BK59" s="3">
        <f>+'St of Net Position'!AE59-BI59</f>
        <v>0</v>
      </c>
    </row>
    <row r="60" spans="1:63" s="102" customFormat="1">
      <c r="A60" s="3" t="s">
        <v>354</v>
      </c>
      <c r="B60" s="103"/>
      <c r="C60" s="103" t="s">
        <v>180</v>
      </c>
      <c r="E60" s="103">
        <v>62125</v>
      </c>
      <c r="G60" s="3">
        <v>1667120</v>
      </c>
      <c r="H60" s="3"/>
      <c r="I60" s="3">
        <v>351934</v>
      </c>
      <c r="J60" s="3"/>
      <c r="K60" s="3">
        <v>8344816</v>
      </c>
      <c r="L60" s="3"/>
      <c r="M60" s="3">
        <v>1351949</v>
      </c>
      <c r="N60" s="3"/>
      <c r="O60" s="3">
        <v>127690</v>
      </c>
      <c r="P60" s="3"/>
      <c r="Q60" s="3">
        <v>1701330</v>
      </c>
      <c r="R60" s="3"/>
      <c r="S60" s="3">
        <v>1024066</v>
      </c>
      <c r="T60" s="3"/>
      <c r="U60" s="3">
        <v>44977</v>
      </c>
      <c r="V60" s="3"/>
      <c r="W60" s="3">
        <v>1176816</v>
      </c>
      <c r="X60" s="3"/>
      <c r="Y60" s="3">
        <v>525126</v>
      </c>
      <c r="Z60" s="3"/>
      <c r="AA60" s="3">
        <v>192492</v>
      </c>
      <c r="AB60" s="3"/>
      <c r="AC60" s="3">
        <v>1422808</v>
      </c>
      <c r="AD60" s="3"/>
      <c r="AE60" s="3" t="s">
        <v>354</v>
      </c>
      <c r="AF60" s="103"/>
      <c r="AG60" s="103" t="s">
        <v>180</v>
      </c>
      <c r="AH60" s="103"/>
      <c r="AI60" s="3">
        <v>77406</v>
      </c>
      <c r="AJ60" s="3"/>
      <c r="AK60" s="3">
        <v>1031662</v>
      </c>
      <c r="AL60" s="3"/>
      <c r="AM60" s="3"/>
      <c r="AN60" s="3"/>
      <c r="AO60" s="3">
        <v>453010</v>
      </c>
      <c r="AP60" s="3"/>
      <c r="AQ60" s="3">
        <v>654926</v>
      </c>
      <c r="AR60" s="3"/>
      <c r="AS60" s="3">
        <v>36735</v>
      </c>
      <c r="AT60" s="3"/>
      <c r="AU60" s="3">
        <v>137982</v>
      </c>
      <c r="AV60" s="3"/>
      <c r="AW60" s="3">
        <v>0</v>
      </c>
      <c r="AX60" s="3"/>
      <c r="AY60" s="3"/>
      <c r="AZ60" s="3"/>
      <c r="BA60" s="3">
        <v>21803</v>
      </c>
      <c r="BB60" s="3"/>
      <c r="BC60" s="3">
        <f t="shared" si="0"/>
        <v>20344648</v>
      </c>
      <c r="BD60" s="3"/>
      <c r="BE60" s="3">
        <f>+'St of Act-Rev'!AG60-BC60</f>
        <v>607700</v>
      </c>
      <c r="BF60" s="3"/>
      <c r="BG60" s="3">
        <v>36998152</v>
      </c>
      <c r="BH60" s="3"/>
      <c r="BI60" s="3">
        <f t="shared" si="1"/>
        <v>37605852</v>
      </c>
      <c r="BJ60" s="30"/>
      <c r="BK60" s="3">
        <f>+'St of Net Position'!AE60-BI60</f>
        <v>0</v>
      </c>
    </row>
    <row r="61" spans="1:63" s="102" customFormat="1">
      <c r="A61" s="3" t="s">
        <v>250</v>
      </c>
      <c r="B61" s="103"/>
      <c r="C61" s="103" t="s">
        <v>191</v>
      </c>
      <c r="E61" s="103">
        <v>51458</v>
      </c>
      <c r="G61" s="3">
        <v>161045</v>
      </c>
      <c r="H61" s="3"/>
      <c r="I61" s="3">
        <v>185935</v>
      </c>
      <c r="J61" s="3"/>
      <c r="K61" s="3">
        <v>8221112</v>
      </c>
      <c r="L61" s="3"/>
      <c r="M61" s="3">
        <v>593484</v>
      </c>
      <c r="N61" s="3"/>
      <c r="O61" s="3">
        <v>0</v>
      </c>
      <c r="P61" s="3"/>
      <c r="Q61" s="3">
        <v>555559</v>
      </c>
      <c r="R61" s="3"/>
      <c r="S61" s="3">
        <v>785819</v>
      </c>
      <c r="T61" s="3"/>
      <c r="U61" s="3">
        <v>46946</v>
      </c>
      <c r="V61" s="3"/>
      <c r="W61" s="3">
        <v>933057</v>
      </c>
      <c r="X61" s="3"/>
      <c r="Y61" s="3">
        <v>509217</v>
      </c>
      <c r="Z61" s="3"/>
      <c r="AA61" s="3">
        <v>0</v>
      </c>
      <c r="AB61" s="3"/>
      <c r="AC61" s="3">
        <v>1807014</v>
      </c>
      <c r="AD61" s="3"/>
      <c r="AE61" s="3" t="s">
        <v>250</v>
      </c>
      <c r="AF61" s="103"/>
      <c r="AG61" s="103" t="s">
        <v>191</v>
      </c>
      <c r="AH61" s="103"/>
      <c r="AI61" s="3">
        <v>66208</v>
      </c>
      <c r="AJ61" s="3"/>
      <c r="AK61" s="3">
        <v>0</v>
      </c>
      <c r="AL61" s="3"/>
      <c r="AM61" s="3"/>
      <c r="AN61" s="3"/>
      <c r="AO61" s="3">
        <v>229515</v>
      </c>
      <c r="AP61" s="3"/>
      <c r="AQ61" s="3">
        <v>2346</v>
      </c>
      <c r="AR61" s="3"/>
      <c r="AS61" s="3">
        <v>14614</v>
      </c>
      <c r="AT61" s="3"/>
      <c r="AU61" s="3">
        <v>176113</v>
      </c>
      <c r="AV61" s="3"/>
      <c r="AW61" s="3">
        <v>0</v>
      </c>
      <c r="AX61" s="3"/>
      <c r="AY61" s="3"/>
      <c r="AZ61" s="3"/>
      <c r="BA61" s="3">
        <v>0</v>
      </c>
      <c r="BB61" s="3"/>
      <c r="BC61" s="3">
        <f t="shared" si="0"/>
        <v>14287984</v>
      </c>
      <c r="BD61" s="3"/>
      <c r="BE61" s="3">
        <f>+'St of Act-Rev'!AG61-BC61</f>
        <v>1110898</v>
      </c>
      <c r="BF61" s="3"/>
      <c r="BG61" s="3">
        <v>46503207</v>
      </c>
      <c r="BH61" s="3"/>
      <c r="BI61" s="3">
        <f t="shared" si="1"/>
        <v>47614105</v>
      </c>
      <c r="BJ61" s="30"/>
      <c r="BK61" s="3">
        <f>+'St of Net Position'!AE61-BI61</f>
        <v>0</v>
      </c>
    </row>
    <row r="62" spans="1:63" s="102" customFormat="1">
      <c r="A62" s="3" t="s">
        <v>251</v>
      </c>
      <c r="B62" s="103"/>
      <c r="C62" s="103" t="s">
        <v>200</v>
      </c>
      <c r="E62" s="103">
        <v>51672</v>
      </c>
      <c r="G62" s="3">
        <v>0</v>
      </c>
      <c r="H62" s="3"/>
      <c r="I62" s="3">
        <v>0</v>
      </c>
      <c r="J62" s="3"/>
      <c r="K62" s="3">
        <v>4710853</v>
      </c>
      <c r="L62" s="3"/>
      <c r="M62" s="3">
        <v>627521</v>
      </c>
      <c r="N62" s="3"/>
      <c r="O62" s="3">
        <v>0</v>
      </c>
      <c r="P62" s="3"/>
      <c r="Q62" s="3">
        <v>501177</v>
      </c>
      <c r="R62" s="3"/>
      <c r="S62" s="3">
        <v>281442</v>
      </c>
      <c r="T62" s="3"/>
      <c r="U62" s="3">
        <v>101595</v>
      </c>
      <c r="V62" s="3"/>
      <c r="W62" s="3">
        <v>502942</v>
      </c>
      <c r="X62" s="3"/>
      <c r="Y62" s="3">
        <v>395230</v>
      </c>
      <c r="Z62" s="3"/>
      <c r="AA62" s="3">
        <v>28002</v>
      </c>
      <c r="AB62" s="3"/>
      <c r="AC62" s="3">
        <v>757005</v>
      </c>
      <c r="AD62" s="3"/>
      <c r="AE62" s="3" t="s">
        <v>251</v>
      </c>
      <c r="AF62" s="103"/>
      <c r="AG62" s="103" t="s">
        <v>200</v>
      </c>
      <c r="AH62" s="103"/>
      <c r="AI62" s="3">
        <v>24290</v>
      </c>
      <c r="AJ62" s="3"/>
      <c r="AK62" s="3">
        <v>735364</v>
      </c>
      <c r="AL62" s="3"/>
      <c r="AM62" s="3"/>
      <c r="AN62" s="3"/>
      <c r="AO62" s="3">
        <v>193476</v>
      </c>
      <c r="AP62" s="3"/>
      <c r="AQ62" s="3">
        <v>33810</v>
      </c>
      <c r="AR62" s="3"/>
      <c r="AS62" s="3">
        <v>67365</v>
      </c>
      <c r="AT62" s="3"/>
      <c r="AU62" s="3">
        <v>863996</v>
      </c>
      <c r="AV62" s="3"/>
      <c r="AW62" s="3">
        <v>0</v>
      </c>
      <c r="AX62" s="3"/>
      <c r="AY62" s="3"/>
      <c r="AZ62" s="3"/>
      <c r="BA62" s="3">
        <v>1445374</v>
      </c>
      <c r="BB62" s="3"/>
      <c r="BC62" s="3">
        <f t="shared" si="0"/>
        <v>11269442</v>
      </c>
      <c r="BD62" s="3"/>
      <c r="BE62" s="3">
        <f>+'St of Act-Rev'!AG62-BC62</f>
        <v>-721482</v>
      </c>
      <c r="BF62" s="3"/>
      <c r="BG62" s="3">
        <v>29580422</v>
      </c>
      <c r="BH62" s="3"/>
      <c r="BI62" s="3">
        <f t="shared" si="1"/>
        <v>28858940</v>
      </c>
      <c r="BJ62" s="30"/>
      <c r="BK62" s="3">
        <f>+'St of Net Position'!AE62-BI62</f>
        <v>0</v>
      </c>
    </row>
    <row r="63" spans="1:63" s="102" customFormat="1">
      <c r="A63" s="3" t="s">
        <v>385</v>
      </c>
      <c r="B63" s="103"/>
      <c r="C63" s="103" t="s">
        <v>201</v>
      </c>
      <c r="E63" s="103">
        <v>51474</v>
      </c>
      <c r="G63" s="3">
        <v>1361</v>
      </c>
      <c r="H63" s="3"/>
      <c r="I63" s="3">
        <v>167159</v>
      </c>
      <c r="J63" s="3"/>
      <c r="K63" s="3">
        <v>7094540</v>
      </c>
      <c r="L63" s="3"/>
      <c r="M63" s="3">
        <v>2125559</v>
      </c>
      <c r="N63" s="3"/>
      <c r="O63" s="3">
        <v>0</v>
      </c>
      <c r="P63" s="3"/>
      <c r="Q63" s="3">
        <v>982235</v>
      </c>
      <c r="R63" s="3"/>
      <c r="S63" s="3">
        <v>534686</v>
      </c>
      <c r="T63" s="3"/>
      <c r="U63" s="3">
        <v>21800</v>
      </c>
      <c r="V63" s="3"/>
      <c r="W63" s="3">
        <v>1608836</v>
      </c>
      <c r="X63" s="3"/>
      <c r="Y63" s="3">
        <v>513847</v>
      </c>
      <c r="Z63" s="3"/>
      <c r="AA63" s="3">
        <v>27538</v>
      </c>
      <c r="AB63" s="3"/>
      <c r="AC63" s="3">
        <v>1370067</v>
      </c>
      <c r="AD63" s="3"/>
      <c r="AE63" s="3" t="s">
        <v>385</v>
      </c>
      <c r="AF63" s="103"/>
      <c r="AG63" s="103" t="s">
        <v>201</v>
      </c>
      <c r="AH63" s="103"/>
      <c r="AI63" s="3">
        <v>99552</v>
      </c>
      <c r="AJ63" s="3"/>
      <c r="AK63" s="3">
        <v>1821767</v>
      </c>
      <c r="AL63" s="3"/>
      <c r="AM63" s="3"/>
      <c r="AN63" s="3"/>
      <c r="AO63" s="3">
        <v>391772</v>
      </c>
      <c r="AP63" s="3"/>
      <c r="AQ63" s="3">
        <v>21034</v>
      </c>
      <c r="AR63" s="3"/>
      <c r="AS63" s="3">
        <v>86513</v>
      </c>
      <c r="AT63" s="3"/>
      <c r="AU63" s="3">
        <v>249338</v>
      </c>
      <c r="AV63" s="3"/>
      <c r="AW63" s="3">
        <v>0</v>
      </c>
      <c r="AX63" s="3"/>
      <c r="AY63" s="3"/>
      <c r="AZ63" s="3"/>
      <c r="BA63" s="3">
        <v>0</v>
      </c>
      <c r="BB63" s="3"/>
      <c r="BC63" s="3">
        <f t="shared" si="0"/>
        <v>17117604</v>
      </c>
      <c r="BD63" s="3"/>
      <c r="BE63" s="3">
        <f>+'St of Act-Rev'!AG63-BC63</f>
        <v>3068651</v>
      </c>
      <c r="BF63" s="3"/>
      <c r="BG63" s="3">
        <v>18833124</v>
      </c>
      <c r="BH63" s="3"/>
      <c r="BI63" s="3">
        <f t="shared" si="1"/>
        <v>21901775</v>
      </c>
      <c r="BJ63" s="30"/>
      <c r="BK63" s="3">
        <f>+'St of Net Position'!AE63-BI63</f>
        <v>0</v>
      </c>
    </row>
    <row r="64" spans="1:63" s="102" customFormat="1">
      <c r="A64" s="3" t="s">
        <v>264</v>
      </c>
      <c r="B64" s="103"/>
      <c r="C64" s="103" t="s">
        <v>202</v>
      </c>
      <c r="E64" s="103">
        <v>51698</v>
      </c>
      <c r="G64" s="3">
        <v>935349</v>
      </c>
      <c r="H64" s="3"/>
      <c r="I64" s="3">
        <v>0</v>
      </c>
      <c r="J64" s="3"/>
      <c r="K64" s="3">
        <v>2292759</v>
      </c>
      <c r="L64" s="3"/>
      <c r="M64" s="3">
        <v>354990</v>
      </c>
      <c r="N64" s="3"/>
      <c r="O64" s="3">
        <v>0</v>
      </c>
      <c r="P64" s="3"/>
      <c r="Q64" s="3">
        <v>224655</v>
      </c>
      <c r="R64" s="3"/>
      <c r="S64" s="3">
        <v>258419</v>
      </c>
      <c r="T64" s="3"/>
      <c r="U64" s="3">
        <v>33090</v>
      </c>
      <c r="V64" s="3"/>
      <c r="W64" s="3">
        <v>518414</v>
      </c>
      <c r="X64" s="3"/>
      <c r="Y64" s="3">
        <v>357711</v>
      </c>
      <c r="Z64" s="3"/>
      <c r="AA64" s="3">
        <v>18061</v>
      </c>
      <c r="AB64" s="3"/>
      <c r="AC64" s="3">
        <v>648357</v>
      </c>
      <c r="AD64" s="3"/>
      <c r="AE64" s="3" t="s">
        <v>264</v>
      </c>
      <c r="AF64" s="103"/>
      <c r="AG64" s="103" t="s">
        <v>202</v>
      </c>
      <c r="AH64" s="103"/>
      <c r="AI64" s="3">
        <v>4469</v>
      </c>
      <c r="AJ64" s="3"/>
      <c r="AK64" s="3">
        <v>407429</v>
      </c>
      <c r="AL64" s="3"/>
      <c r="AM64" s="3"/>
      <c r="AN64" s="3"/>
      <c r="AO64" s="3">
        <v>165516</v>
      </c>
      <c r="AP64" s="3"/>
      <c r="AQ64" s="3">
        <v>443255</v>
      </c>
      <c r="AR64" s="3"/>
      <c r="AS64" s="3">
        <v>4296</v>
      </c>
      <c r="AT64" s="3"/>
      <c r="AU64" s="3">
        <v>81665</v>
      </c>
      <c r="AV64" s="3"/>
      <c r="AW64" s="3">
        <v>0</v>
      </c>
      <c r="AX64" s="3"/>
      <c r="AY64" s="3"/>
      <c r="AZ64" s="3"/>
      <c r="BA64" s="3">
        <v>0</v>
      </c>
      <c r="BB64" s="3"/>
      <c r="BC64" s="3">
        <f t="shared" si="0"/>
        <v>6748435</v>
      </c>
      <c r="BD64" s="3"/>
      <c r="BE64" s="3">
        <f>+'St of Act-Rev'!AG64-BC64</f>
        <v>178855</v>
      </c>
      <c r="BF64" s="3"/>
      <c r="BG64" s="3">
        <v>7981734</v>
      </c>
      <c r="BH64" s="3"/>
      <c r="BI64" s="3">
        <f t="shared" si="1"/>
        <v>8160589</v>
      </c>
      <c r="BJ64" s="30"/>
      <c r="BK64" s="3">
        <f>+'St of Net Position'!AE64-BI64</f>
        <v>0</v>
      </c>
    </row>
    <row r="65" spans="1:63" s="102" customFormat="1">
      <c r="A65" s="3" t="s">
        <v>352</v>
      </c>
      <c r="B65" s="103"/>
      <c r="C65" s="103" t="s">
        <v>203</v>
      </c>
      <c r="E65" s="103">
        <v>51714</v>
      </c>
      <c r="G65" s="3">
        <v>2047124</v>
      </c>
      <c r="H65" s="3"/>
      <c r="I65" s="3">
        <v>48611</v>
      </c>
      <c r="J65" s="3"/>
      <c r="K65" s="3">
        <v>5611598</v>
      </c>
      <c r="L65" s="3"/>
      <c r="M65" s="3">
        <v>1437518</v>
      </c>
      <c r="N65" s="3"/>
      <c r="O65" s="3">
        <v>0</v>
      </c>
      <c r="P65" s="3"/>
      <c r="Q65" s="3">
        <v>508810</v>
      </c>
      <c r="R65" s="3"/>
      <c r="S65" s="3">
        <v>1957110</v>
      </c>
      <c r="T65" s="3"/>
      <c r="U65" s="3">
        <v>52282</v>
      </c>
      <c r="V65" s="3"/>
      <c r="W65" s="3">
        <v>999856</v>
      </c>
      <c r="X65" s="3"/>
      <c r="Y65" s="3">
        <v>512930</v>
      </c>
      <c r="Z65" s="3"/>
      <c r="AA65" s="3">
        <v>0</v>
      </c>
      <c r="AB65" s="3"/>
      <c r="AC65" s="3">
        <v>1731375</v>
      </c>
      <c r="AD65" s="3"/>
      <c r="AE65" s="3" t="s">
        <v>352</v>
      </c>
      <c r="AF65" s="103"/>
      <c r="AG65" s="103" t="s">
        <v>203</v>
      </c>
      <c r="AH65" s="103"/>
      <c r="AI65" s="3">
        <v>26284</v>
      </c>
      <c r="AJ65" s="3"/>
      <c r="AK65" s="3">
        <v>96362</v>
      </c>
      <c r="AL65" s="3"/>
      <c r="AM65" s="3"/>
      <c r="AN65" s="3"/>
      <c r="AO65" s="3">
        <v>283687</v>
      </c>
      <c r="AP65" s="3"/>
      <c r="AQ65" s="3">
        <v>338344</v>
      </c>
      <c r="AR65" s="3"/>
      <c r="AS65" s="3">
        <v>0</v>
      </c>
      <c r="AT65" s="3"/>
      <c r="AU65" s="3">
        <v>253235</v>
      </c>
      <c r="AV65" s="3"/>
      <c r="AW65" s="3">
        <v>0</v>
      </c>
      <c r="AX65" s="3"/>
      <c r="AY65" s="3"/>
      <c r="AZ65" s="3"/>
      <c r="BA65" s="3">
        <v>0</v>
      </c>
      <c r="BB65" s="3"/>
      <c r="BC65" s="3">
        <f t="shared" si="0"/>
        <v>15905126</v>
      </c>
      <c r="BD65" s="3"/>
      <c r="BE65" s="3">
        <f>+'St of Act-Rev'!AG65-BC65</f>
        <v>-386396</v>
      </c>
      <c r="BF65" s="3"/>
      <c r="BG65" s="3">
        <v>34049330</v>
      </c>
      <c r="BH65" s="3"/>
      <c r="BI65" s="3">
        <f t="shared" si="1"/>
        <v>33662934</v>
      </c>
      <c r="BJ65" s="30"/>
      <c r="BK65" s="3">
        <f>+'St of Net Position'!AE65-BI65</f>
        <v>0</v>
      </c>
    </row>
    <row r="66" spans="1:63">
      <c r="G66" s="30"/>
      <c r="H66" s="30"/>
      <c r="I66" s="30"/>
      <c r="J66" s="30"/>
      <c r="K66" s="30"/>
      <c r="L66" s="30"/>
      <c r="M66" s="26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E66" s="3"/>
      <c r="BK66" s="3"/>
    </row>
    <row r="67" spans="1:63">
      <c r="G67" s="30"/>
      <c r="H67" s="30"/>
      <c r="I67" s="30"/>
      <c r="J67" s="30"/>
      <c r="K67" s="30"/>
      <c r="L67" s="30"/>
      <c r="M67" s="26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3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E67" s="3"/>
      <c r="BI67" s="33"/>
      <c r="BK67" s="3"/>
    </row>
    <row r="68" spans="1:63">
      <c r="A68" s="34" t="s">
        <v>253</v>
      </c>
      <c r="B68" s="15"/>
      <c r="C68" s="15"/>
      <c r="E68" s="15"/>
      <c r="G68" s="30"/>
      <c r="H68" s="30"/>
      <c r="I68" s="30"/>
      <c r="J68" s="30"/>
      <c r="K68" s="30"/>
      <c r="L68" s="30"/>
      <c r="M68" s="26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E68" s="34" t="s">
        <v>253</v>
      </c>
      <c r="AF68" s="15"/>
      <c r="AG68" s="15"/>
      <c r="AH68" s="15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E68" s="3"/>
      <c r="BK68" s="3"/>
    </row>
    <row r="69" spans="1:63">
      <c r="A69" s="34"/>
      <c r="B69" s="15"/>
      <c r="C69" s="15"/>
      <c r="E69" s="15"/>
      <c r="G69" s="30"/>
      <c r="H69" s="30"/>
      <c r="I69" s="30"/>
      <c r="J69" s="30"/>
      <c r="K69" s="30"/>
      <c r="L69" s="30"/>
      <c r="M69" s="26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E69" s="34"/>
      <c r="AF69" s="15"/>
      <c r="AG69" s="15"/>
      <c r="AH69" s="15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E69" s="3"/>
      <c r="BK69" s="3"/>
    </row>
    <row r="70" spans="1:63" s="65" customFormat="1" hidden="1">
      <c r="A70" s="58" t="s">
        <v>327</v>
      </c>
      <c r="B70" s="58"/>
      <c r="C70" s="58" t="s">
        <v>260</v>
      </c>
      <c r="E70" s="75">
        <v>45740</v>
      </c>
      <c r="G70" s="58">
        <v>0</v>
      </c>
      <c r="H70" s="58"/>
      <c r="I70" s="58">
        <v>0</v>
      </c>
      <c r="J70" s="58"/>
      <c r="K70" s="58">
        <v>0</v>
      </c>
      <c r="L70" s="58"/>
      <c r="M70" s="58">
        <v>0</v>
      </c>
      <c r="N70" s="58"/>
      <c r="O70" s="58">
        <v>0</v>
      </c>
      <c r="P70" s="58"/>
      <c r="Q70" s="58">
        <v>0</v>
      </c>
      <c r="R70" s="58"/>
      <c r="S70" s="58">
        <v>0</v>
      </c>
      <c r="T70" s="58"/>
      <c r="U70" s="58">
        <v>0</v>
      </c>
      <c r="V70" s="58"/>
      <c r="W70" s="58">
        <v>0</v>
      </c>
      <c r="X70" s="58"/>
      <c r="Y70" s="58">
        <v>0</v>
      </c>
      <c r="Z70" s="58"/>
      <c r="AA70" s="58">
        <v>0</v>
      </c>
      <c r="AB70" s="58"/>
      <c r="AC70" s="58">
        <v>0</v>
      </c>
      <c r="AD70" s="61"/>
      <c r="AE70" s="58" t="s">
        <v>327</v>
      </c>
      <c r="AF70" s="59"/>
      <c r="AG70" s="58" t="s">
        <v>260</v>
      </c>
      <c r="AH70" s="59"/>
      <c r="AI70" s="58">
        <v>0</v>
      </c>
      <c r="AJ70" s="58"/>
      <c r="AK70" s="58">
        <v>0</v>
      </c>
      <c r="AL70" s="58"/>
      <c r="AM70" s="58"/>
      <c r="AN70" s="58"/>
      <c r="AO70" s="58">
        <v>0</v>
      </c>
      <c r="AP70" s="58"/>
      <c r="AQ70" s="58">
        <v>0</v>
      </c>
      <c r="AR70" s="58"/>
      <c r="AS70" s="58">
        <v>0</v>
      </c>
      <c r="AT70" s="58"/>
      <c r="AU70" s="58">
        <v>0</v>
      </c>
      <c r="AV70" s="58"/>
      <c r="AW70" s="58">
        <v>0</v>
      </c>
      <c r="AX70" s="58"/>
      <c r="AY70" s="58"/>
      <c r="AZ70" s="58"/>
      <c r="BA70" s="58">
        <v>0</v>
      </c>
      <c r="BB70" s="58"/>
      <c r="BC70" s="58">
        <f>SUM(G70:BB70)</f>
        <v>0</v>
      </c>
      <c r="BD70" s="58"/>
      <c r="BE70" s="58">
        <f>+'St of Act-Rev'!AG70-BC70</f>
        <v>0</v>
      </c>
      <c r="BF70" s="58"/>
      <c r="BG70" s="58">
        <v>0</v>
      </c>
      <c r="BH70" s="58"/>
      <c r="BI70" s="58">
        <f>+BE70+BG70</f>
        <v>0</v>
      </c>
      <c r="BJ70" s="58"/>
      <c r="BK70" s="58">
        <f>+'St of Net Position'!AE70-BI70</f>
        <v>0</v>
      </c>
    </row>
    <row r="71" spans="1:63" s="65" customFormat="1" hidden="1">
      <c r="A71" s="58" t="s">
        <v>328</v>
      </c>
      <c r="B71" s="58"/>
      <c r="C71" s="58" t="s">
        <v>144</v>
      </c>
      <c r="E71" s="75">
        <v>45849</v>
      </c>
      <c r="G71" s="58">
        <v>0</v>
      </c>
      <c r="H71" s="58"/>
      <c r="I71" s="58">
        <v>0</v>
      </c>
      <c r="J71" s="58"/>
      <c r="K71" s="58">
        <v>0</v>
      </c>
      <c r="L71" s="58"/>
      <c r="M71" s="58">
        <v>0</v>
      </c>
      <c r="N71" s="58"/>
      <c r="O71" s="58">
        <v>0</v>
      </c>
      <c r="P71" s="58"/>
      <c r="Q71" s="58">
        <v>0</v>
      </c>
      <c r="R71" s="58"/>
      <c r="S71" s="58">
        <v>0</v>
      </c>
      <c r="T71" s="58"/>
      <c r="U71" s="58">
        <v>0</v>
      </c>
      <c r="V71" s="58"/>
      <c r="W71" s="58">
        <v>0</v>
      </c>
      <c r="X71" s="58"/>
      <c r="Y71" s="58">
        <v>0</v>
      </c>
      <c r="Z71" s="58"/>
      <c r="AA71" s="58">
        <v>0</v>
      </c>
      <c r="AB71" s="58"/>
      <c r="AC71" s="58">
        <v>0</v>
      </c>
      <c r="AD71" s="61"/>
      <c r="AE71" s="58" t="s">
        <v>328</v>
      </c>
      <c r="AF71" s="59"/>
      <c r="AG71" s="59" t="s">
        <v>144</v>
      </c>
      <c r="AH71" s="59"/>
      <c r="AI71" s="58">
        <v>0</v>
      </c>
      <c r="AJ71" s="58"/>
      <c r="AK71" s="58">
        <v>0</v>
      </c>
      <c r="AL71" s="58"/>
      <c r="AM71" s="58"/>
      <c r="AN71" s="58"/>
      <c r="AO71" s="58">
        <v>0</v>
      </c>
      <c r="AP71" s="58"/>
      <c r="AQ71" s="58">
        <v>0</v>
      </c>
      <c r="AR71" s="58"/>
      <c r="AS71" s="58">
        <v>0</v>
      </c>
      <c r="AT71" s="58"/>
      <c r="AU71" s="58">
        <v>0</v>
      </c>
      <c r="AV71" s="58"/>
      <c r="AW71" s="58">
        <v>0</v>
      </c>
      <c r="AX71" s="58"/>
      <c r="AY71" s="58"/>
      <c r="AZ71" s="58"/>
      <c r="BA71" s="58">
        <v>0</v>
      </c>
      <c r="BB71" s="58"/>
      <c r="BC71" s="58">
        <f>SUM(G71:BB71)</f>
        <v>0</v>
      </c>
      <c r="BD71" s="58"/>
      <c r="BE71" s="58">
        <f>+'St of Act-Rev'!AG71-BC71</f>
        <v>0</v>
      </c>
      <c r="BF71" s="58"/>
      <c r="BG71" s="58">
        <v>0</v>
      </c>
      <c r="BH71" s="58"/>
      <c r="BI71" s="58">
        <f>+BE71+BG71</f>
        <v>0</v>
      </c>
      <c r="BJ71" s="58"/>
      <c r="BK71" s="58">
        <f>+'St of Net Position'!AE71-BI71</f>
        <v>0</v>
      </c>
    </row>
    <row r="72" spans="1:63" s="102" customFormat="1">
      <c r="A72" s="3" t="s">
        <v>148</v>
      </c>
      <c r="B72" s="103"/>
      <c r="C72" s="103" t="s">
        <v>145</v>
      </c>
      <c r="E72" s="103">
        <v>135145</v>
      </c>
      <c r="G72" s="19">
        <v>1611424</v>
      </c>
      <c r="H72" s="19"/>
      <c r="I72" s="19">
        <v>1896906</v>
      </c>
      <c r="J72" s="19"/>
      <c r="K72" s="19">
        <v>32534</v>
      </c>
      <c r="L72" s="19"/>
      <c r="M72" s="71">
        <v>37948</v>
      </c>
      <c r="N72" s="19"/>
      <c r="O72" s="19">
        <v>44200</v>
      </c>
      <c r="P72" s="19"/>
      <c r="Q72" s="19">
        <v>1288047</v>
      </c>
      <c r="R72" s="19"/>
      <c r="S72" s="19">
        <v>1647788</v>
      </c>
      <c r="T72" s="19"/>
      <c r="U72" s="19">
        <v>71983</v>
      </c>
      <c r="V72" s="19"/>
      <c r="W72" s="19">
        <v>612822</v>
      </c>
      <c r="X72" s="19"/>
      <c r="Y72" s="19">
        <v>498966</v>
      </c>
      <c r="Z72" s="19"/>
      <c r="AA72" s="19">
        <v>1337</v>
      </c>
      <c r="AB72" s="19"/>
      <c r="AC72" s="19">
        <v>194317</v>
      </c>
      <c r="AD72" s="19"/>
      <c r="AE72" s="3" t="s">
        <v>148</v>
      </c>
      <c r="AF72" s="103"/>
      <c r="AG72" s="103" t="s">
        <v>145</v>
      </c>
      <c r="AH72" s="103"/>
      <c r="AI72" s="19">
        <v>592790</v>
      </c>
      <c r="AJ72" s="19"/>
      <c r="AK72" s="19">
        <v>36858</v>
      </c>
      <c r="AL72" s="19"/>
      <c r="AM72" s="19"/>
      <c r="AN72" s="19"/>
      <c r="AO72" s="19">
        <v>0</v>
      </c>
      <c r="AP72" s="19"/>
      <c r="AQ72" s="19">
        <v>222117</v>
      </c>
      <c r="AR72" s="19"/>
      <c r="AS72" s="19">
        <v>0</v>
      </c>
      <c r="AT72" s="19"/>
      <c r="AU72" s="19">
        <v>0</v>
      </c>
      <c r="AV72" s="19"/>
      <c r="AW72" s="19">
        <v>0</v>
      </c>
      <c r="AX72" s="19"/>
      <c r="AY72" s="19"/>
      <c r="AZ72" s="19"/>
      <c r="BA72" s="19">
        <v>212877</v>
      </c>
      <c r="BB72" s="19"/>
      <c r="BC72" s="19">
        <f>SUM(G72:BB72)</f>
        <v>9002914</v>
      </c>
      <c r="BD72" s="19"/>
      <c r="BE72" s="19">
        <f>+'St of Act-Rev'!AG72-BC72</f>
        <v>-124283</v>
      </c>
      <c r="BF72" s="19"/>
      <c r="BG72" s="19">
        <v>3415189</v>
      </c>
      <c r="BH72" s="19"/>
      <c r="BI72" s="19">
        <f>+BE72+BG72</f>
        <v>3290906</v>
      </c>
      <c r="BJ72" s="3"/>
      <c r="BK72" s="3">
        <f>+'St of Net Position'!AE72-BI72</f>
        <v>0</v>
      </c>
    </row>
    <row r="73" spans="1:63" s="65" customFormat="1" hidden="1">
      <c r="A73" s="58" t="s">
        <v>329</v>
      </c>
      <c r="B73" s="58"/>
      <c r="C73" s="58" t="s">
        <v>261</v>
      </c>
      <c r="E73" s="59">
        <v>45930</v>
      </c>
      <c r="G73" s="58">
        <v>0</v>
      </c>
      <c r="H73" s="58"/>
      <c r="I73" s="58">
        <v>0</v>
      </c>
      <c r="J73" s="58"/>
      <c r="K73" s="58">
        <v>0</v>
      </c>
      <c r="L73" s="58"/>
      <c r="M73" s="58">
        <v>0</v>
      </c>
      <c r="N73" s="58"/>
      <c r="O73" s="58">
        <v>0</v>
      </c>
      <c r="P73" s="58"/>
      <c r="Q73" s="58">
        <v>0</v>
      </c>
      <c r="R73" s="58"/>
      <c r="S73" s="58">
        <v>0</v>
      </c>
      <c r="T73" s="58"/>
      <c r="U73" s="58">
        <v>0</v>
      </c>
      <c r="V73" s="58"/>
      <c r="W73" s="58">
        <v>0</v>
      </c>
      <c r="X73" s="58"/>
      <c r="Y73" s="58">
        <v>0</v>
      </c>
      <c r="Z73" s="58"/>
      <c r="AA73" s="58">
        <v>0</v>
      </c>
      <c r="AB73" s="58"/>
      <c r="AC73" s="58">
        <v>0</v>
      </c>
      <c r="AD73" s="58"/>
      <c r="AE73" s="58" t="s">
        <v>329</v>
      </c>
      <c r="AF73" s="58"/>
      <c r="AG73" s="58" t="s">
        <v>261</v>
      </c>
      <c r="AH73" s="58"/>
      <c r="AI73" s="58">
        <v>0</v>
      </c>
      <c r="AJ73" s="58"/>
      <c r="AK73" s="58">
        <v>0</v>
      </c>
      <c r="AL73" s="58"/>
      <c r="AM73" s="58"/>
      <c r="AN73" s="58"/>
      <c r="AO73" s="58">
        <v>0</v>
      </c>
      <c r="AP73" s="58"/>
      <c r="AQ73" s="58">
        <v>0</v>
      </c>
      <c r="AR73" s="58"/>
      <c r="AS73" s="58">
        <v>0</v>
      </c>
      <c r="AT73" s="58"/>
      <c r="AU73" s="58">
        <v>0</v>
      </c>
      <c r="AV73" s="58"/>
      <c r="AW73" s="58">
        <v>0</v>
      </c>
      <c r="AX73" s="58"/>
      <c r="AY73" s="58"/>
      <c r="AZ73" s="58"/>
      <c r="BA73" s="58">
        <v>0</v>
      </c>
      <c r="BB73" s="58"/>
      <c r="BC73" s="58">
        <f>SUM(G73:BB73)</f>
        <v>0</v>
      </c>
      <c r="BD73" s="58"/>
      <c r="BE73" s="58">
        <f>+'St of Act-Rev'!AG73-BC73</f>
        <v>0</v>
      </c>
      <c r="BF73" s="58"/>
      <c r="BG73" s="58">
        <v>0</v>
      </c>
      <c r="BH73" s="58"/>
      <c r="BI73" s="58">
        <f>+BE73+BG73</f>
        <v>0</v>
      </c>
      <c r="BJ73" s="58"/>
      <c r="BK73" s="58">
        <f>+'St of Net Position'!AE73-BI73</f>
        <v>0</v>
      </c>
    </row>
    <row r="74" spans="1:63" s="102" customFormat="1">
      <c r="A74" s="103" t="s">
        <v>286</v>
      </c>
      <c r="B74" s="103"/>
      <c r="C74" s="103" t="s">
        <v>150</v>
      </c>
      <c r="E74" s="103">
        <v>46029</v>
      </c>
      <c r="G74" s="3">
        <v>500372</v>
      </c>
      <c r="H74" s="3"/>
      <c r="I74" s="3">
        <v>1735820</v>
      </c>
      <c r="J74" s="3"/>
      <c r="K74" s="3">
        <v>0</v>
      </c>
      <c r="L74" s="3"/>
      <c r="M74" s="26">
        <v>0</v>
      </c>
      <c r="N74" s="3"/>
      <c r="O74" s="3">
        <v>0</v>
      </c>
      <c r="P74" s="3"/>
      <c r="Q74" s="3">
        <v>1130394</v>
      </c>
      <c r="R74" s="3"/>
      <c r="S74" s="3">
        <v>413838</v>
      </c>
      <c r="T74" s="3"/>
      <c r="U74" s="3">
        <v>38576</v>
      </c>
      <c r="V74" s="3"/>
      <c r="W74" s="3">
        <v>235204</v>
      </c>
      <c r="X74" s="3"/>
      <c r="Y74" s="3">
        <v>160113</v>
      </c>
      <c r="Z74" s="3"/>
      <c r="AA74" s="3">
        <v>0</v>
      </c>
      <c r="AB74" s="3"/>
      <c r="AC74" s="3">
        <v>62791</v>
      </c>
      <c r="AD74" s="3"/>
      <c r="AE74" s="103" t="s">
        <v>286</v>
      </c>
      <c r="AF74" s="103"/>
      <c r="AG74" s="103" t="s">
        <v>150</v>
      </c>
      <c r="AH74" s="103"/>
      <c r="AI74" s="3">
        <v>0</v>
      </c>
      <c r="AJ74" s="3"/>
      <c r="AK74" s="3">
        <v>173500</v>
      </c>
      <c r="AL74" s="3"/>
      <c r="AM74" s="3"/>
      <c r="AN74" s="3"/>
      <c r="AO74" s="3">
        <v>0</v>
      </c>
      <c r="AP74" s="3"/>
      <c r="AQ74" s="3">
        <v>0</v>
      </c>
      <c r="AR74" s="3"/>
      <c r="AS74" s="3">
        <v>0</v>
      </c>
      <c r="AT74" s="3"/>
      <c r="AU74" s="3">
        <v>0</v>
      </c>
      <c r="AV74" s="3"/>
      <c r="AW74" s="3">
        <v>0</v>
      </c>
      <c r="AX74" s="3"/>
      <c r="AY74" s="3"/>
      <c r="AZ74" s="3"/>
      <c r="BA74" s="3">
        <v>0</v>
      </c>
      <c r="BB74" s="3"/>
      <c r="BC74" s="3">
        <f>SUM(G74:BB74)</f>
        <v>4450608</v>
      </c>
      <c r="BD74" s="3"/>
      <c r="BE74" s="3">
        <f>+'St of Act-Rev'!AG74-BC74</f>
        <v>25319</v>
      </c>
      <c r="BF74" s="3"/>
      <c r="BG74" s="3">
        <v>1456019</v>
      </c>
      <c r="BH74" s="3"/>
      <c r="BI74" s="3">
        <f>+BE74+BG74</f>
        <v>1481338</v>
      </c>
      <c r="BJ74" s="3"/>
      <c r="BK74" s="3">
        <f>+'St of Net Position'!AE74-BI74</f>
        <v>0</v>
      </c>
    </row>
    <row r="75" spans="1:63" s="102" customFormat="1">
      <c r="A75" s="103" t="s">
        <v>287</v>
      </c>
      <c r="B75" s="103"/>
      <c r="C75" s="103" t="s">
        <v>147</v>
      </c>
      <c r="E75" s="103">
        <v>46086</v>
      </c>
      <c r="G75" s="3">
        <v>4419970</v>
      </c>
      <c r="H75" s="3"/>
      <c r="I75" s="3">
        <v>3319750</v>
      </c>
      <c r="J75" s="3"/>
      <c r="K75" s="3">
        <v>0</v>
      </c>
      <c r="L75" s="3"/>
      <c r="M75" s="26">
        <v>0</v>
      </c>
      <c r="N75" s="3"/>
      <c r="O75" s="3">
        <v>0</v>
      </c>
      <c r="P75" s="3"/>
      <c r="Q75" s="3">
        <v>5827529</v>
      </c>
      <c r="R75" s="3"/>
      <c r="S75" s="3">
        <v>2391098</v>
      </c>
      <c r="T75" s="3"/>
      <c r="U75" s="3">
        <v>10654</v>
      </c>
      <c r="V75" s="3"/>
      <c r="W75" s="3">
        <v>3197840</v>
      </c>
      <c r="X75" s="3"/>
      <c r="Y75" s="3">
        <v>563185</v>
      </c>
      <c r="Z75" s="3"/>
      <c r="AA75" s="3">
        <v>0</v>
      </c>
      <c r="AB75" s="3"/>
      <c r="AC75" s="3">
        <v>1214326</v>
      </c>
      <c r="AD75" s="3"/>
      <c r="AE75" s="103" t="s">
        <v>287</v>
      </c>
      <c r="AF75" s="103"/>
      <c r="AG75" s="103" t="s">
        <v>147</v>
      </c>
      <c r="AH75" s="103"/>
      <c r="AI75" s="3">
        <v>205761</v>
      </c>
      <c r="AJ75" s="3"/>
      <c r="AK75" s="3">
        <v>2272160</v>
      </c>
      <c r="AL75" s="3"/>
      <c r="AM75" s="3"/>
      <c r="AN75" s="3"/>
      <c r="AO75" s="3">
        <v>0</v>
      </c>
      <c r="AP75" s="3"/>
      <c r="AQ75" s="3">
        <v>0</v>
      </c>
      <c r="AR75" s="3"/>
      <c r="AS75" s="3">
        <v>0</v>
      </c>
      <c r="AT75" s="3"/>
      <c r="AU75" s="3">
        <v>116653</v>
      </c>
      <c r="AV75" s="3"/>
      <c r="AW75" s="3">
        <v>0</v>
      </c>
      <c r="AX75" s="3"/>
      <c r="AY75" s="3"/>
      <c r="AZ75" s="3"/>
      <c r="BA75" s="3">
        <v>0</v>
      </c>
      <c r="BB75" s="3"/>
      <c r="BC75" s="3">
        <f t="shared" ref="BC75:BC131" si="2">SUM(G75:BB75)</f>
        <v>23538926</v>
      </c>
      <c r="BD75" s="3"/>
      <c r="BE75" s="3">
        <f>+'St of Act-Rev'!AG75-BC75</f>
        <v>417965</v>
      </c>
      <c r="BF75" s="3"/>
      <c r="BG75" s="3">
        <v>4162263</v>
      </c>
      <c r="BH75" s="3"/>
      <c r="BI75" s="3">
        <f t="shared" ref="BI75:BI131" si="3">+BE75+BG75</f>
        <v>4580228</v>
      </c>
      <c r="BJ75" s="3"/>
      <c r="BK75" s="3">
        <f>+'St of Net Position'!AE75-BI75</f>
        <v>0</v>
      </c>
    </row>
    <row r="76" spans="1:63" s="102" customFormat="1">
      <c r="A76" s="103" t="s">
        <v>288</v>
      </c>
      <c r="B76" s="103"/>
      <c r="C76" s="103" t="s">
        <v>152</v>
      </c>
      <c r="E76" s="103">
        <v>46227</v>
      </c>
      <c r="G76" s="3">
        <v>18959</v>
      </c>
      <c r="H76" s="3"/>
      <c r="I76" s="3">
        <v>1152521</v>
      </c>
      <c r="J76" s="3"/>
      <c r="K76" s="3">
        <v>0</v>
      </c>
      <c r="L76" s="3"/>
      <c r="M76" s="3">
        <v>0</v>
      </c>
      <c r="N76" s="3"/>
      <c r="O76" s="3">
        <f>75956+7175</f>
        <v>83131</v>
      </c>
      <c r="P76" s="3"/>
      <c r="Q76" s="3">
        <v>2551391</v>
      </c>
      <c r="R76" s="3"/>
      <c r="S76" s="3">
        <v>1817213</v>
      </c>
      <c r="T76" s="3"/>
      <c r="U76" s="3">
        <v>15985</v>
      </c>
      <c r="V76" s="3"/>
      <c r="W76" s="3">
        <v>693356</v>
      </c>
      <c r="X76" s="3"/>
      <c r="Y76" s="3">
        <v>197467</v>
      </c>
      <c r="Z76" s="3"/>
      <c r="AA76" s="3">
        <v>14158</v>
      </c>
      <c r="AB76" s="3"/>
      <c r="AC76" s="3">
        <v>127629</v>
      </c>
      <c r="AD76" s="3"/>
      <c r="AE76" s="103" t="s">
        <v>288</v>
      </c>
      <c r="AF76" s="103"/>
      <c r="AG76" s="103" t="s">
        <v>152</v>
      </c>
      <c r="AH76" s="103"/>
      <c r="AI76" s="3">
        <v>0</v>
      </c>
      <c r="AJ76" s="3"/>
      <c r="AK76" s="3">
        <v>32316</v>
      </c>
      <c r="AL76" s="3"/>
      <c r="AM76" s="3"/>
      <c r="AN76" s="3"/>
      <c r="AO76" s="3">
        <v>0</v>
      </c>
      <c r="AP76" s="3"/>
      <c r="AQ76" s="3">
        <v>0</v>
      </c>
      <c r="AR76" s="3"/>
      <c r="AS76" s="3">
        <v>0</v>
      </c>
      <c r="AT76" s="3"/>
      <c r="AU76" s="3">
        <v>0</v>
      </c>
      <c r="AV76" s="3"/>
      <c r="AW76" s="3">
        <v>0</v>
      </c>
      <c r="AX76" s="3"/>
      <c r="AY76" s="3"/>
      <c r="AZ76" s="3"/>
      <c r="BA76" s="3">
        <v>0</v>
      </c>
      <c r="BB76" s="3"/>
      <c r="BC76" s="3">
        <f t="shared" si="2"/>
        <v>6704126</v>
      </c>
      <c r="BD76" s="3"/>
      <c r="BE76" s="3">
        <f>+'St of Act-Rev'!AG76-BC76</f>
        <v>-660989</v>
      </c>
      <c r="BF76" s="3"/>
      <c r="BG76" s="3">
        <v>2049732</v>
      </c>
      <c r="BH76" s="3"/>
      <c r="BI76" s="3">
        <f t="shared" si="3"/>
        <v>1388743</v>
      </c>
      <c r="BJ76" s="3"/>
      <c r="BK76" s="3">
        <f>+'St of Net Position'!AE76-BI76</f>
        <v>0</v>
      </c>
    </row>
    <row r="77" spans="1:63" s="102" customFormat="1">
      <c r="A77" s="3" t="s">
        <v>153</v>
      </c>
      <c r="B77" s="103"/>
      <c r="C77" s="103" t="s">
        <v>154</v>
      </c>
      <c r="E77" s="103">
        <v>46292</v>
      </c>
      <c r="G77" s="3">
        <v>140001</v>
      </c>
      <c r="H77" s="3"/>
      <c r="I77" s="3">
        <v>6041186</v>
      </c>
      <c r="J77" s="3"/>
      <c r="K77" s="3">
        <v>0</v>
      </c>
      <c r="L77" s="3"/>
      <c r="M77" s="3">
        <v>56620</v>
      </c>
      <c r="N77" s="3"/>
      <c r="O77" s="3">
        <v>0</v>
      </c>
      <c r="P77" s="3"/>
      <c r="Q77" s="3">
        <v>3977080</v>
      </c>
      <c r="R77" s="3"/>
      <c r="S77" s="3">
        <v>5429603</v>
      </c>
      <c r="T77" s="3"/>
      <c r="U77" s="3">
        <v>196459</v>
      </c>
      <c r="V77" s="3"/>
      <c r="W77" s="3">
        <v>422863</v>
      </c>
      <c r="X77" s="3"/>
      <c r="Y77" s="3">
        <v>256990</v>
      </c>
      <c r="Z77" s="3"/>
      <c r="AA77" s="3">
        <v>0</v>
      </c>
      <c r="AB77" s="3"/>
      <c r="AC77" s="3">
        <v>0</v>
      </c>
      <c r="AD77" s="3"/>
      <c r="AE77" s="3" t="s">
        <v>153</v>
      </c>
      <c r="AF77" s="103"/>
      <c r="AG77" s="103" t="s">
        <v>154</v>
      </c>
      <c r="AH77" s="103"/>
      <c r="AI77" s="3">
        <v>0</v>
      </c>
      <c r="AJ77" s="3"/>
      <c r="AK77" s="3">
        <v>43277</v>
      </c>
      <c r="AL77" s="3"/>
      <c r="AM77" s="3"/>
      <c r="AN77" s="3"/>
      <c r="AO77" s="3">
        <v>0</v>
      </c>
      <c r="AP77" s="3"/>
      <c r="AQ77" s="3">
        <v>43995</v>
      </c>
      <c r="AR77" s="3"/>
      <c r="AS77" s="3">
        <v>0</v>
      </c>
      <c r="AT77" s="3"/>
      <c r="AU77" s="3">
        <v>0</v>
      </c>
      <c r="AV77" s="3"/>
      <c r="AW77" s="3">
        <v>0</v>
      </c>
      <c r="AX77" s="3"/>
      <c r="AY77" s="3"/>
      <c r="AZ77" s="3"/>
      <c r="BA77" s="3">
        <v>0</v>
      </c>
      <c r="BB77" s="3"/>
      <c r="BC77" s="3">
        <f t="shared" si="2"/>
        <v>16608074</v>
      </c>
      <c r="BD77" s="3"/>
      <c r="BE77" s="3">
        <f>+'St of Act-Rev'!AG77-BC77</f>
        <v>848722</v>
      </c>
      <c r="BF77" s="3"/>
      <c r="BG77" s="3">
        <v>4384765</v>
      </c>
      <c r="BH77" s="3"/>
      <c r="BI77" s="3">
        <f t="shared" si="3"/>
        <v>5233487</v>
      </c>
      <c r="BJ77" s="3"/>
      <c r="BK77" s="3">
        <f>+'St of Net Position'!AE77-BI77</f>
        <v>0</v>
      </c>
    </row>
    <row r="78" spans="1:63" s="92" customFormat="1" hidden="1">
      <c r="A78" s="89" t="s">
        <v>276</v>
      </c>
      <c r="B78" s="89"/>
      <c r="C78" s="89" t="s">
        <v>155</v>
      </c>
      <c r="E78" s="89">
        <v>46375</v>
      </c>
      <c r="G78" s="88">
        <v>0</v>
      </c>
      <c r="H78" s="88"/>
      <c r="I78" s="88">
        <v>0</v>
      </c>
      <c r="J78" s="88"/>
      <c r="K78" s="88">
        <v>0</v>
      </c>
      <c r="L78" s="88"/>
      <c r="M78" s="88">
        <v>0</v>
      </c>
      <c r="N78" s="88"/>
      <c r="O78" s="88">
        <v>0</v>
      </c>
      <c r="P78" s="88"/>
      <c r="Q78" s="88">
        <v>0</v>
      </c>
      <c r="R78" s="88"/>
      <c r="S78" s="88">
        <v>0</v>
      </c>
      <c r="T78" s="88"/>
      <c r="U78" s="88">
        <v>0</v>
      </c>
      <c r="V78" s="88"/>
      <c r="W78" s="88">
        <v>0</v>
      </c>
      <c r="X78" s="88"/>
      <c r="Y78" s="88">
        <v>0</v>
      </c>
      <c r="Z78" s="88"/>
      <c r="AA78" s="88">
        <v>0</v>
      </c>
      <c r="AB78" s="88"/>
      <c r="AC78" s="88">
        <v>0</v>
      </c>
      <c r="AD78" s="88"/>
      <c r="AE78" s="89" t="s">
        <v>276</v>
      </c>
      <c r="AF78" s="89"/>
      <c r="AG78" s="89" t="s">
        <v>155</v>
      </c>
      <c r="AH78" s="89"/>
      <c r="AI78" s="88">
        <v>0</v>
      </c>
      <c r="AJ78" s="88"/>
      <c r="AK78" s="88">
        <v>0</v>
      </c>
      <c r="AL78" s="88"/>
      <c r="AM78" s="88"/>
      <c r="AN78" s="88"/>
      <c r="AO78" s="88">
        <v>0</v>
      </c>
      <c r="AP78" s="88"/>
      <c r="AQ78" s="88">
        <v>0</v>
      </c>
      <c r="AR78" s="88"/>
      <c r="AS78" s="88">
        <v>0</v>
      </c>
      <c r="AT78" s="88"/>
      <c r="AU78" s="88">
        <v>0</v>
      </c>
      <c r="AV78" s="88"/>
      <c r="AW78" s="88">
        <v>0</v>
      </c>
      <c r="AX78" s="88"/>
      <c r="AY78" s="88"/>
      <c r="AZ78" s="88"/>
      <c r="BA78" s="88">
        <v>0</v>
      </c>
      <c r="BB78" s="88"/>
      <c r="BC78" s="88">
        <v>0</v>
      </c>
      <c r="BD78" s="88"/>
      <c r="BE78" s="88">
        <f>+'St of Act-Rev'!AG78-BC78</f>
        <v>0</v>
      </c>
      <c r="BF78" s="88"/>
      <c r="BG78" s="88">
        <v>0</v>
      </c>
      <c r="BH78" s="88"/>
      <c r="BI78" s="88">
        <f t="shared" si="3"/>
        <v>0</v>
      </c>
      <c r="BJ78" s="88"/>
      <c r="BK78" s="88">
        <f>+'St of Net Position'!AE78-BI78</f>
        <v>0</v>
      </c>
    </row>
    <row r="79" spans="1:63" s="102" customFormat="1">
      <c r="A79" s="103" t="s">
        <v>304</v>
      </c>
      <c r="B79" s="103"/>
      <c r="C79" s="103" t="s">
        <v>156</v>
      </c>
      <c r="E79" s="103">
        <v>46417</v>
      </c>
      <c r="G79" s="3">
        <v>974748</v>
      </c>
      <c r="H79" s="3"/>
      <c r="I79" s="3">
        <v>2280085</v>
      </c>
      <c r="J79" s="3"/>
      <c r="K79" s="3">
        <v>0</v>
      </c>
      <c r="L79" s="3"/>
      <c r="M79" s="3">
        <v>0</v>
      </c>
      <c r="N79" s="3"/>
      <c r="O79" s="3">
        <v>0</v>
      </c>
      <c r="P79" s="3"/>
      <c r="Q79" s="3">
        <v>2763837</v>
      </c>
      <c r="R79" s="3"/>
      <c r="S79" s="3">
        <v>3144943</v>
      </c>
      <c r="T79" s="3"/>
      <c r="U79" s="3">
        <v>44829</v>
      </c>
      <c r="V79" s="3"/>
      <c r="W79" s="3">
        <v>491702</v>
      </c>
      <c r="X79" s="3"/>
      <c r="Y79" s="3">
        <v>268308</v>
      </c>
      <c r="Z79" s="3"/>
      <c r="AA79" s="3">
        <v>0</v>
      </c>
      <c r="AB79" s="3"/>
      <c r="AC79" s="3">
        <v>211698</v>
      </c>
      <c r="AD79" s="3"/>
      <c r="AE79" s="103" t="s">
        <v>304</v>
      </c>
      <c r="AF79" s="103"/>
      <c r="AG79" s="103" t="s">
        <v>156</v>
      </c>
      <c r="AH79" s="103"/>
      <c r="AI79" s="3">
        <v>492195</v>
      </c>
      <c r="AJ79" s="3"/>
      <c r="AK79" s="3">
        <v>378430</v>
      </c>
      <c r="AL79" s="3"/>
      <c r="AM79" s="3"/>
      <c r="AN79" s="3"/>
      <c r="AO79" s="3">
        <v>0</v>
      </c>
      <c r="AP79" s="3"/>
      <c r="AQ79" s="3">
        <v>110356</v>
      </c>
      <c r="AR79" s="3"/>
      <c r="AS79" s="3">
        <v>0</v>
      </c>
      <c r="AT79" s="3"/>
      <c r="AU79" s="3">
        <v>25460</v>
      </c>
      <c r="AV79" s="3"/>
      <c r="AW79" s="3">
        <v>0</v>
      </c>
      <c r="AX79" s="3"/>
      <c r="AY79" s="3"/>
      <c r="AZ79" s="3"/>
      <c r="BA79" s="3">
        <v>0</v>
      </c>
      <c r="BB79" s="3"/>
      <c r="BC79" s="3">
        <f t="shared" si="2"/>
        <v>11186591</v>
      </c>
      <c r="BD79" s="3"/>
      <c r="BE79" s="3">
        <f>+'St of Act-Rev'!AG79-BC79</f>
        <v>-329273</v>
      </c>
      <c r="BF79" s="3"/>
      <c r="BG79" s="3">
        <v>181577</v>
      </c>
      <c r="BH79" s="3"/>
      <c r="BI79" s="3">
        <f t="shared" si="3"/>
        <v>-147696</v>
      </c>
      <c r="BJ79" s="3"/>
      <c r="BK79" s="3">
        <f>+'St of Net Position'!AE79-BI79</f>
        <v>0</v>
      </c>
    </row>
    <row r="80" spans="1:63" s="102" customFormat="1">
      <c r="A80" s="3" t="s">
        <v>306</v>
      </c>
      <c r="B80" s="103"/>
      <c r="C80" s="103" t="s">
        <v>157</v>
      </c>
      <c r="E80" s="103">
        <v>46532</v>
      </c>
      <c r="G80" s="3">
        <v>1324312</v>
      </c>
      <c r="H80" s="3"/>
      <c r="I80" s="3">
        <v>27708702</v>
      </c>
      <c r="J80" s="3"/>
      <c r="K80" s="3">
        <v>533418</v>
      </c>
      <c r="L80" s="3"/>
      <c r="M80" s="3">
        <v>0</v>
      </c>
      <c r="N80" s="3"/>
      <c r="O80" s="3">
        <v>17242</v>
      </c>
      <c r="P80" s="3"/>
      <c r="Q80" s="3">
        <v>6018739</v>
      </c>
      <c r="R80" s="3"/>
      <c r="S80" s="3">
        <v>8881900</v>
      </c>
      <c r="T80" s="3"/>
      <c r="U80" s="3">
        <v>52443</v>
      </c>
      <c r="V80" s="3"/>
      <c r="W80" s="3">
        <v>11893863</v>
      </c>
      <c r="X80" s="3"/>
      <c r="Y80" s="3">
        <v>1368163</v>
      </c>
      <c r="Z80" s="3"/>
      <c r="AA80" s="3">
        <v>46944</v>
      </c>
      <c r="AB80" s="3"/>
      <c r="AC80" s="3">
        <v>1670394</v>
      </c>
      <c r="AD80" s="3"/>
      <c r="AE80" s="3" t="s">
        <v>306</v>
      </c>
      <c r="AF80" s="103"/>
      <c r="AG80" s="103" t="s">
        <v>157</v>
      </c>
      <c r="AH80" s="103"/>
      <c r="AI80" s="3">
        <v>3213</v>
      </c>
      <c r="AJ80" s="3"/>
      <c r="AK80" s="3">
        <v>39947</v>
      </c>
      <c r="AL80" s="3"/>
      <c r="AM80" s="3"/>
      <c r="AN80" s="3"/>
      <c r="AO80" s="3">
        <v>0</v>
      </c>
      <c r="AP80" s="3"/>
      <c r="AQ80" s="3">
        <v>5216965</v>
      </c>
      <c r="AR80" s="3"/>
      <c r="AS80" s="3">
        <v>66250</v>
      </c>
      <c r="AT80" s="3"/>
      <c r="AU80" s="3">
        <v>8856</v>
      </c>
      <c r="AV80" s="3"/>
      <c r="AW80" s="3">
        <v>0</v>
      </c>
      <c r="AX80" s="3"/>
      <c r="AY80" s="3"/>
      <c r="AZ80" s="3"/>
      <c r="BA80" s="3">
        <v>0</v>
      </c>
      <c r="BB80" s="3"/>
      <c r="BC80" s="3">
        <f t="shared" si="2"/>
        <v>64851351</v>
      </c>
      <c r="BD80" s="3"/>
      <c r="BE80" s="3">
        <f>+'St of Act-Rev'!AG80-BC80</f>
        <v>-1061956</v>
      </c>
      <c r="BF80" s="3"/>
      <c r="BG80" s="3">
        <v>26081183</v>
      </c>
      <c r="BH80" s="3"/>
      <c r="BI80" s="3">
        <f t="shared" si="3"/>
        <v>25019227</v>
      </c>
      <c r="BJ80" s="3"/>
      <c r="BK80" s="3">
        <f>+'St of Net Position'!AE80-BI80</f>
        <v>0</v>
      </c>
    </row>
    <row r="81" spans="1:63" s="65" customFormat="1" hidden="1">
      <c r="A81" s="58" t="s">
        <v>309</v>
      </c>
      <c r="B81" s="59"/>
      <c r="C81" s="59" t="s">
        <v>158</v>
      </c>
      <c r="E81" s="59">
        <v>46615</v>
      </c>
      <c r="G81" s="58">
        <v>0</v>
      </c>
      <c r="H81" s="58"/>
      <c r="I81" s="58">
        <v>0</v>
      </c>
      <c r="J81" s="58"/>
      <c r="K81" s="58">
        <v>0</v>
      </c>
      <c r="L81" s="58"/>
      <c r="M81" s="58">
        <v>0</v>
      </c>
      <c r="N81" s="58"/>
      <c r="O81" s="58">
        <v>0</v>
      </c>
      <c r="P81" s="58"/>
      <c r="Q81" s="58">
        <v>0</v>
      </c>
      <c r="R81" s="58"/>
      <c r="S81" s="58">
        <v>0</v>
      </c>
      <c r="T81" s="58"/>
      <c r="U81" s="58">
        <v>0</v>
      </c>
      <c r="V81" s="58"/>
      <c r="W81" s="58">
        <v>0</v>
      </c>
      <c r="X81" s="58"/>
      <c r="Y81" s="58">
        <v>0</v>
      </c>
      <c r="Z81" s="58"/>
      <c r="AA81" s="58">
        <v>0</v>
      </c>
      <c r="AB81" s="58"/>
      <c r="AC81" s="58">
        <v>0</v>
      </c>
      <c r="AD81" s="58"/>
      <c r="AE81" s="58" t="s">
        <v>309</v>
      </c>
      <c r="AF81" s="59"/>
      <c r="AG81" s="59" t="s">
        <v>158</v>
      </c>
      <c r="AH81" s="59"/>
      <c r="AI81" s="58">
        <v>0</v>
      </c>
      <c r="AJ81" s="58"/>
      <c r="AK81" s="58">
        <v>0</v>
      </c>
      <c r="AL81" s="58"/>
      <c r="AM81" s="58"/>
      <c r="AN81" s="58"/>
      <c r="AO81" s="58">
        <v>0</v>
      </c>
      <c r="AP81" s="58"/>
      <c r="AQ81" s="58">
        <v>0</v>
      </c>
      <c r="AR81" s="58"/>
      <c r="AS81" s="58">
        <v>0</v>
      </c>
      <c r="AT81" s="58"/>
      <c r="AU81" s="58">
        <v>0</v>
      </c>
      <c r="AV81" s="58"/>
      <c r="AW81" s="58">
        <v>0</v>
      </c>
      <c r="AX81" s="58"/>
      <c r="AY81" s="58"/>
      <c r="AZ81" s="58"/>
      <c r="BA81" s="58">
        <v>0</v>
      </c>
      <c r="BB81" s="58"/>
      <c r="BC81" s="58">
        <f t="shared" si="2"/>
        <v>0</v>
      </c>
      <c r="BD81" s="58"/>
      <c r="BE81" s="58">
        <f>+'St of Act-Rev'!AG81-BC81</f>
        <v>0</v>
      </c>
      <c r="BF81" s="58"/>
      <c r="BG81" s="58">
        <v>0</v>
      </c>
      <c r="BH81" s="58"/>
      <c r="BI81" s="58">
        <f t="shared" si="3"/>
        <v>0</v>
      </c>
      <c r="BJ81" s="58"/>
      <c r="BK81" s="58">
        <f>+'St of Net Position'!AE81-BI81</f>
        <v>0</v>
      </c>
    </row>
    <row r="82" spans="1:63" s="92" customFormat="1" hidden="1">
      <c r="A82" s="88" t="s">
        <v>305</v>
      </c>
      <c r="B82" s="89"/>
      <c r="C82" s="89" t="s">
        <v>159</v>
      </c>
      <c r="E82" s="89">
        <v>46730</v>
      </c>
      <c r="G82" s="88">
        <v>0</v>
      </c>
      <c r="H82" s="88"/>
      <c r="I82" s="88">
        <v>0</v>
      </c>
      <c r="J82" s="88"/>
      <c r="K82" s="88">
        <v>0</v>
      </c>
      <c r="L82" s="88"/>
      <c r="M82" s="88">
        <v>0</v>
      </c>
      <c r="N82" s="88"/>
      <c r="O82" s="88">
        <v>0</v>
      </c>
      <c r="P82" s="88"/>
      <c r="Q82" s="88">
        <v>0</v>
      </c>
      <c r="R82" s="88"/>
      <c r="S82" s="88">
        <v>0</v>
      </c>
      <c r="T82" s="88"/>
      <c r="U82" s="88">
        <v>0</v>
      </c>
      <c r="V82" s="88"/>
      <c r="W82" s="88">
        <v>0</v>
      </c>
      <c r="X82" s="88"/>
      <c r="Y82" s="88">
        <v>0</v>
      </c>
      <c r="Z82" s="88"/>
      <c r="AA82" s="88">
        <v>0</v>
      </c>
      <c r="AB82" s="88"/>
      <c r="AC82" s="88">
        <v>0</v>
      </c>
      <c r="AD82" s="88"/>
      <c r="AE82" s="88" t="s">
        <v>305</v>
      </c>
      <c r="AF82" s="89"/>
      <c r="AG82" s="89" t="s">
        <v>159</v>
      </c>
      <c r="AH82" s="89"/>
      <c r="AI82" s="88">
        <v>0</v>
      </c>
      <c r="AJ82" s="88"/>
      <c r="AK82" s="88">
        <v>0</v>
      </c>
      <c r="AL82" s="88"/>
      <c r="AM82" s="88"/>
      <c r="AN82" s="88"/>
      <c r="AO82" s="88">
        <v>0</v>
      </c>
      <c r="AP82" s="88"/>
      <c r="AQ82" s="88">
        <v>0</v>
      </c>
      <c r="AR82" s="88"/>
      <c r="AS82" s="88">
        <v>0</v>
      </c>
      <c r="AT82" s="88"/>
      <c r="AU82" s="88">
        <v>0</v>
      </c>
      <c r="AV82" s="88"/>
      <c r="AW82" s="88">
        <v>0</v>
      </c>
      <c r="AX82" s="88"/>
      <c r="AY82" s="88"/>
      <c r="AZ82" s="88"/>
      <c r="BA82" s="88">
        <v>0</v>
      </c>
      <c r="BB82" s="88"/>
      <c r="BC82" s="88">
        <f t="shared" si="2"/>
        <v>0</v>
      </c>
      <c r="BD82" s="88"/>
      <c r="BE82" s="88">
        <f>+'St of Act-Rev'!AG82-BC82</f>
        <v>0</v>
      </c>
      <c r="BF82" s="88"/>
      <c r="BG82" s="88">
        <v>0</v>
      </c>
      <c r="BH82" s="88"/>
      <c r="BI82" s="88">
        <f t="shared" si="3"/>
        <v>0</v>
      </c>
      <c r="BJ82" s="88"/>
      <c r="BK82" s="88">
        <f>+'St of Net Position'!AE82-BI82</f>
        <v>0</v>
      </c>
    </row>
    <row r="83" spans="1:63" s="102" customFormat="1">
      <c r="A83" s="3" t="s">
        <v>303</v>
      </c>
      <c r="B83" s="103"/>
      <c r="C83" s="3" t="s">
        <v>198</v>
      </c>
      <c r="E83" s="103">
        <v>50260</v>
      </c>
      <c r="G83" s="3">
        <v>893678</v>
      </c>
      <c r="H83" s="3"/>
      <c r="I83" s="3">
        <v>1575656</v>
      </c>
      <c r="J83" s="3"/>
      <c r="K83" s="3">
        <v>0</v>
      </c>
      <c r="L83" s="3"/>
      <c r="M83" s="3">
        <v>0</v>
      </c>
      <c r="N83" s="3"/>
      <c r="O83" s="3">
        <v>976802</v>
      </c>
      <c r="P83" s="3"/>
      <c r="Q83" s="3">
        <v>2703985</v>
      </c>
      <c r="R83" s="3"/>
      <c r="S83" s="3">
        <v>4081114</v>
      </c>
      <c r="T83" s="3"/>
      <c r="U83" s="3">
        <v>27731</v>
      </c>
      <c r="V83" s="3"/>
      <c r="W83" s="3">
        <v>486072</v>
      </c>
      <c r="X83" s="3"/>
      <c r="Y83" s="3">
        <v>295557</v>
      </c>
      <c r="Z83" s="3"/>
      <c r="AA83" s="3">
        <v>195290</v>
      </c>
      <c r="AB83" s="3"/>
      <c r="AC83" s="3">
        <v>209527</v>
      </c>
      <c r="AD83" s="3"/>
      <c r="AE83" s="3" t="s">
        <v>303</v>
      </c>
      <c r="AF83" s="103"/>
      <c r="AG83" s="3" t="s">
        <v>198</v>
      </c>
      <c r="AH83" s="103"/>
      <c r="AI83" s="3">
        <v>39580</v>
      </c>
      <c r="AJ83" s="3"/>
      <c r="AK83" s="3">
        <v>532921</v>
      </c>
      <c r="AL83" s="3"/>
      <c r="AM83" s="3"/>
      <c r="AN83" s="3"/>
      <c r="AO83" s="3">
        <v>0</v>
      </c>
      <c r="AP83" s="3"/>
      <c r="AQ83" s="3">
        <v>0</v>
      </c>
      <c r="AR83" s="3"/>
      <c r="AS83" s="3">
        <v>0</v>
      </c>
      <c r="AT83" s="3"/>
      <c r="AU83" s="3">
        <v>21942</v>
      </c>
      <c r="AV83" s="3"/>
      <c r="AW83" s="3">
        <v>0</v>
      </c>
      <c r="AX83" s="3"/>
      <c r="AY83" s="3"/>
      <c r="AZ83" s="3"/>
      <c r="BA83" s="3">
        <v>0</v>
      </c>
      <c r="BB83" s="3"/>
      <c r="BC83" s="3">
        <f t="shared" si="2"/>
        <v>12039855</v>
      </c>
      <c r="BD83" s="3"/>
      <c r="BE83" s="3">
        <f>+'St of Act-Rev'!AG83-BC83</f>
        <v>-92053</v>
      </c>
      <c r="BF83" s="3"/>
      <c r="BG83" s="3">
        <v>2297115</v>
      </c>
      <c r="BH83" s="3"/>
      <c r="BI83" s="3">
        <f t="shared" si="3"/>
        <v>2205062</v>
      </c>
      <c r="BJ83" s="3"/>
      <c r="BK83" s="3">
        <f>+'St of Net Position'!AE83-BI83</f>
        <v>0</v>
      </c>
    </row>
    <row r="84" spans="1:63" s="102" customFormat="1">
      <c r="A84" s="3" t="s">
        <v>312</v>
      </c>
      <c r="B84" s="103"/>
      <c r="C84" s="103" t="s">
        <v>162</v>
      </c>
      <c r="E84" s="103">
        <v>46938</v>
      </c>
      <c r="G84" s="3">
        <v>397432</v>
      </c>
      <c r="H84" s="3"/>
      <c r="I84" s="3">
        <v>10620897</v>
      </c>
      <c r="J84" s="3"/>
      <c r="K84" s="3">
        <v>0</v>
      </c>
      <c r="L84" s="3"/>
      <c r="M84" s="3">
        <v>0</v>
      </c>
      <c r="N84" s="3"/>
      <c r="O84" s="3">
        <v>804</v>
      </c>
      <c r="P84" s="3"/>
      <c r="Q84" s="3">
        <v>8316732</v>
      </c>
      <c r="R84" s="3"/>
      <c r="S84" s="3">
        <v>14227499</v>
      </c>
      <c r="T84" s="3"/>
      <c r="U84" s="3">
        <v>59223</v>
      </c>
      <c r="V84" s="3"/>
      <c r="W84" s="3">
        <v>9128965</v>
      </c>
      <c r="X84" s="3"/>
      <c r="Y84" s="3">
        <v>2103000</v>
      </c>
      <c r="Z84" s="3"/>
      <c r="AA84" s="3">
        <v>519792</v>
      </c>
      <c r="AB84" s="3"/>
      <c r="AC84" s="3">
        <v>1268859</v>
      </c>
      <c r="AD84" s="3"/>
      <c r="AE84" s="3" t="s">
        <v>312</v>
      </c>
      <c r="AF84" s="103"/>
      <c r="AG84" s="103" t="s">
        <v>162</v>
      </c>
      <c r="AH84" s="103"/>
      <c r="AI84" s="3">
        <v>192588</v>
      </c>
      <c r="AJ84" s="3"/>
      <c r="AK84" s="3">
        <v>36996428</v>
      </c>
      <c r="AL84" s="3"/>
      <c r="AM84" s="3"/>
      <c r="AN84" s="3"/>
      <c r="AO84" s="3">
        <v>0</v>
      </c>
      <c r="AP84" s="3"/>
      <c r="AQ84" s="3">
        <v>64728</v>
      </c>
      <c r="AR84" s="3"/>
      <c r="AS84" s="3">
        <v>143375</v>
      </c>
      <c r="AT84" s="3"/>
      <c r="AU84" s="3">
        <v>111980</v>
      </c>
      <c r="AV84" s="3"/>
      <c r="AW84" s="3">
        <v>0</v>
      </c>
      <c r="AX84" s="3"/>
      <c r="AY84" s="3"/>
      <c r="AZ84" s="3"/>
      <c r="BA84" s="3">
        <v>0</v>
      </c>
      <c r="BB84" s="3"/>
      <c r="BC84" s="3">
        <f>SUM(G84:BB84)</f>
        <v>84152302</v>
      </c>
      <c r="BD84" s="3"/>
      <c r="BE84" s="3">
        <f>+'St of Act-Rev'!AG84-BC84</f>
        <v>-3659241</v>
      </c>
      <c r="BF84" s="3"/>
      <c r="BG84" s="3">
        <v>15239341</v>
      </c>
      <c r="BH84" s="3"/>
      <c r="BI84" s="3">
        <f>+BE84+BG84</f>
        <v>11580100</v>
      </c>
      <c r="BJ84" s="3"/>
      <c r="BK84" s="3">
        <f>+'St of Net Position'!AE84-BI84</f>
        <v>0</v>
      </c>
    </row>
    <row r="85" spans="1:63" s="92" customFormat="1" hidden="1">
      <c r="A85" s="89" t="s">
        <v>274</v>
      </c>
      <c r="B85" s="89"/>
      <c r="C85" s="89" t="s">
        <v>160</v>
      </c>
      <c r="E85" s="89">
        <v>125690</v>
      </c>
      <c r="G85" s="88">
        <v>0</v>
      </c>
      <c r="H85" s="88"/>
      <c r="I85" s="88">
        <v>0</v>
      </c>
      <c r="J85" s="88"/>
      <c r="K85" s="88">
        <v>0</v>
      </c>
      <c r="L85" s="88"/>
      <c r="M85" s="88">
        <v>0</v>
      </c>
      <c r="N85" s="88"/>
      <c r="O85" s="88">
        <v>0</v>
      </c>
      <c r="P85" s="88"/>
      <c r="Q85" s="88">
        <v>0</v>
      </c>
      <c r="R85" s="88"/>
      <c r="S85" s="88">
        <v>0</v>
      </c>
      <c r="T85" s="88"/>
      <c r="U85" s="88">
        <v>0</v>
      </c>
      <c r="V85" s="88"/>
      <c r="W85" s="88">
        <v>0</v>
      </c>
      <c r="X85" s="88"/>
      <c r="Y85" s="88">
        <v>0</v>
      </c>
      <c r="Z85" s="88"/>
      <c r="AA85" s="88">
        <v>0</v>
      </c>
      <c r="AB85" s="88"/>
      <c r="AC85" s="88">
        <v>0</v>
      </c>
      <c r="AD85" s="88"/>
      <c r="AE85" s="89" t="s">
        <v>274</v>
      </c>
      <c r="AF85" s="89"/>
      <c r="AG85" s="89" t="s">
        <v>160</v>
      </c>
      <c r="AH85" s="89"/>
      <c r="AI85" s="88">
        <v>0</v>
      </c>
      <c r="AJ85" s="88"/>
      <c r="AK85" s="88">
        <v>0</v>
      </c>
      <c r="AL85" s="88"/>
      <c r="AM85" s="88"/>
      <c r="AN85" s="88"/>
      <c r="AO85" s="88">
        <v>0</v>
      </c>
      <c r="AP85" s="88"/>
      <c r="AQ85" s="88">
        <v>0</v>
      </c>
      <c r="AR85" s="88"/>
      <c r="AS85" s="88">
        <v>0</v>
      </c>
      <c r="AT85" s="88"/>
      <c r="AU85" s="88">
        <v>0</v>
      </c>
      <c r="AV85" s="88"/>
      <c r="AW85" s="88">
        <v>0</v>
      </c>
      <c r="AX85" s="88"/>
      <c r="AY85" s="88"/>
      <c r="AZ85" s="88"/>
      <c r="BA85" s="88">
        <v>0</v>
      </c>
      <c r="BB85" s="88"/>
      <c r="BC85" s="88">
        <f t="shared" si="2"/>
        <v>0</v>
      </c>
      <c r="BD85" s="88"/>
      <c r="BE85" s="88">
        <f>+'St of Act-Rev'!AG85-BC85</f>
        <v>0</v>
      </c>
      <c r="BF85" s="88"/>
      <c r="BG85" s="88">
        <v>0</v>
      </c>
      <c r="BH85" s="88"/>
      <c r="BI85" s="88">
        <f t="shared" si="3"/>
        <v>0</v>
      </c>
      <c r="BJ85" s="88"/>
      <c r="BK85" s="88">
        <f>+'St of Net Position'!AE85-BI85</f>
        <v>0</v>
      </c>
    </row>
    <row r="86" spans="1:63" s="102" customFormat="1">
      <c r="A86" s="3" t="s">
        <v>314</v>
      </c>
      <c r="B86" s="103"/>
      <c r="C86" s="103" t="s">
        <v>161</v>
      </c>
      <c r="E86" s="103">
        <v>46839</v>
      </c>
      <c r="G86" s="3">
        <v>300542</v>
      </c>
      <c r="H86" s="3"/>
      <c r="I86" s="3">
        <v>1886842</v>
      </c>
      <c r="J86" s="3"/>
      <c r="K86" s="3">
        <v>0</v>
      </c>
      <c r="L86" s="3"/>
      <c r="M86" s="3">
        <v>0</v>
      </c>
      <c r="N86" s="3"/>
      <c r="O86" s="3">
        <v>0</v>
      </c>
      <c r="P86" s="3"/>
      <c r="Q86" s="3">
        <v>1887248</v>
      </c>
      <c r="R86" s="3"/>
      <c r="S86" s="3">
        <v>2419814</v>
      </c>
      <c r="T86" s="3"/>
      <c r="U86" s="3">
        <v>26025</v>
      </c>
      <c r="V86" s="3"/>
      <c r="W86" s="3">
        <v>1064062</v>
      </c>
      <c r="X86" s="3"/>
      <c r="Y86" s="3">
        <v>192894</v>
      </c>
      <c r="Z86" s="3"/>
      <c r="AA86" s="3">
        <v>0</v>
      </c>
      <c r="AB86" s="3"/>
      <c r="AC86" s="3">
        <v>117179</v>
      </c>
      <c r="AD86" s="3"/>
      <c r="AE86" s="3" t="s">
        <v>314</v>
      </c>
      <c r="AF86" s="103"/>
      <c r="AG86" s="103" t="s">
        <v>161</v>
      </c>
      <c r="AH86" s="103"/>
      <c r="AI86" s="3">
        <v>0</v>
      </c>
      <c r="AJ86" s="3"/>
      <c r="AK86" s="3">
        <v>113754</v>
      </c>
      <c r="AL86" s="3"/>
      <c r="AM86" s="3"/>
      <c r="AN86" s="3"/>
      <c r="AO86" s="3">
        <v>0</v>
      </c>
      <c r="AP86" s="3"/>
      <c r="AQ86" s="3">
        <v>0</v>
      </c>
      <c r="AR86" s="3"/>
      <c r="AS86" s="3">
        <v>0</v>
      </c>
      <c r="AT86" s="3"/>
      <c r="AU86" s="3">
        <v>774</v>
      </c>
      <c r="AV86" s="3"/>
      <c r="AW86" s="3">
        <v>0</v>
      </c>
      <c r="AX86" s="3"/>
      <c r="AY86" s="3"/>
      <c r="AZ86" s="3"/>
      <c r="BA86" s="3">
        <v>0</v>
      </c>
      <c r="BB86" s="3"/>
      <c r="BC86" s="3">
        <f>SUM(G86:BB86)</f>
        <v>8009134</v>
      </c>
      <c r="BD86" s="3"/>
      <c r="BE86" s="3">
        <f>+'St of Act-Rev'!AG86-BC86</f>
        <v>308868</v>
      </c>
      <c r="BF86" s="3"/>
      <c r="BG86" s="3">
        <v>934942</v>
      </c>
      <c r="BH86" s="3"/>
      <c r="BI86" s="3">
        <f>+BE86+BG86</f>
        <v>1243810</v>
      </c>
      <c r="BJ86" s="3"/>
      <c r="BK86" s="3">
        <f>+'St of Net Position'!AE86-BI86</f>
        <v>0</v>
      </c>
    </row>
    <row r="87" spans="1:63" s="102" customFormat="1">
      <c r="A87" s="3" t="s">
        <v>164</v>
      </c>
      <c r="B87" s="103"/>
      <c r="C87" s="103" t="s">
        <v>165</v>
      </c>
      <c r="E87" s="103">
        <v>125682</v>
      </c>
      <c r="G87" s="3">
        <v>1803859</v>
      </c>
      <c r="H87" s="3"/>
      <c r="I87" s="3">
        <v>56652</v>
      </c>
      <c r="J87" s="3"/>
      <c r="K87" s="3">
        <v>0</v>
      </c>
      <c r="L87" s="3"/>
      <c r="M87" s="3">
        <v>0</v>
      </c>
      <c r="N87" s="3"/>
      <c r="O87" s="3">
        <v>0</v>
      </c>
      <c r="P87" s="3"/>
      <c r="Q87" s="3">
        <v>420221</v>
      </c>
      <c r="R87" s="3"/>
      <c r="S87" s="3">
        <v>1416906</v>
      </c>
      <c r="T87" s="3"/>
      <c r="U87" s="3">
        <v>32905</v>
      </c>
      <c r="V87" s="3"/>
      <c r="W87" s="3">
        <v>1039610</v>
      </c>
      <c r="X87" s="3"/>
      <c r="Y87" s="3">
        <v>152794</v>
      </c>
      <c r="Z87" s="3"/>
      <c r="AA87" s="3">
        <v>0</v>
      </c>
      <c r="AB87" s="3"/>
      <c r="AC87" s="3">
        <v>23337</v>
      </c>
      <c r="AD87" s="3"/>
      <c r="AE87" s="3" t="s">
        <v>164</v>
      </c>
      <c r="AF87" s="103"/>
      <c r="AG87" s="103" t="s">
        <v>165</v>
      </c>
      <c r="AH87" s="103"/>
      <c r="AI87" s="3">
        <v>444846</v>
      </c>
      <c r="AJ87" s="3"/>
      <c r="AK87" s="3">
        <v>102103</v>
      </c>
      <c r="AL87" s="3"/>
      <c r="AM87" s="3"/>
      <c r="AN87" s="3"/>
      <c r="AO87" s="3">
        <v>0</v>
      </c>
      <c r="AP87" s="3"/>
      <c r="AQ87" s="3">
        <v>42475</v>
      </c>
      <c r="AR87" s="3"/>
      <c r="AS87" s="3">
        <v>0</v>
      </c>
      <c r="AT87" s="3"/>
      <c r="AU87" s="3">
        <v>0</v>
      </c>
      <c r="AV87" s="3"/>
      <c r="AW87" s="3">
        <v>0</v>
      </c>
      <c r="AX87" s="3"/>
      <c r="AY87" s="3"/>
      <c r="AZ87" s="3"/>
      <c r="BA87" s="3">
        <v>0</v>
      </c>
      <c r="BB87" s="3"/>
      <c r="BC87" s="3">
        <f t="shared" si="2"/>
        <v>5535708</v>
      </c>
      <c r="BD87" s="3"/>
      <c r="BE87" s="3">
        <f>+'St of Act-Rev'!AG87-BC87</f>
        <v>56552</v>
      </c>
      <c r="BF87" s="3"/>
      <c r="BG87" s="3">
        <v>1061606</v>
      </c>
      <c r="BH87" s="3"/>
      <c r="BI87" s="3">
        <f t="shared" si="3"/>
        <v>1118158</v>
      </c>
      <c r="BJ87" s="3"/>
      <c r="BK87" s="3">
        <f>+'St of Net Position'!AE87-BI87</f>
        <v>0</v>
      </c>
    </row>
    <row r="88" spans="1:63" s="102" customFormat="1">
      <c r="A88" s="107" t="s">
        <v>313</v>
      </c>
      <c r="B88" s="103"/>
      <c r="C88" s="103" t="s">
        <v>166</v>
      </c>
      <c r="E88" s="103">
        <v>47159</v>
      </c>
      <c r="G88" s="3">
        <v>133214</v>
      </c>
      <c r="H88" s="3"/>
      <c r="I88" s="3">
        <v>4271111</v>
      </c>
      <c r="J88" s="3"/>
      <c r="K88" s="3">
        <v>391484</v>
      </c>
      <c r="L88" s="3"/>
      <c r="M88" s="3">
        <v>7901</v>
      </c>
      <c r="N88" s="3"/>
      <c r="O88" s="3">
        <v>0</v>
      </c>
      <c r="P88" s="3"/>
      <c r="Q88" s="3">
        <v>3837196</v>
      </c>
      <c r="R88" s="3"/>
      <c r="S88" s="3">
        <v>1891076</v>
      </c>
      <c r="T88" s="3"/>
      <c r="U88" s="3">
        <v>24218</v>
      </c>
      <c r="V88" s="3"/>
      <c r="W88" s="3">
        <v>1575496</v>
      </c>
      <c r="X88" s="3"/>
      <c r="Y88" s="3">
        <v>267680</v>
      </c>
      <c r="Z88" s="3"/>
      <c r="AA88" s="3">
        <v>24580</v>
      </c>
      <c r="AB88" s="3"/>
      <c r="AC88" s="3">
        <v>98346</v>
      </c>
      <c r="AD88" s="3"/>
      <c r="AE88" s="107" t="s">
        <v>313</v>
      </c>
      <c r="AF88" s="103"/>
      <c r="AG88" s="103" t="s">
        <v>166</v>
      </c>
      <c r="AH88" s="103"/>
      <c r="AI88" s="3">
        <v>4261</v>
      </c>
      <c r="AJ88" s="3"/>
      <c r="AK88" s="3">
        <v>190461</v>
      </c>
      <c r="AL88" s="3"/>
      <c r="AM88" s="3"/>
      <c r="AN88" s="3"/>
      <c r="AO88" s="3">
        <v>0</v>
      </c>
      <c r="AP88" s="3"/>
      <c r="AQ88" s="3">
        <v>0</v>
      </c>
      <c r="AR88" s="3"/>
      <c r="AS88" s="3">
        <v>0</v>
      </c>
      <c r="AT88" s="3"/>
      <c r="AU88" s="3">
        <v>0</v>
      </c>
      <c r="AV88" s="3"/>
      <c r="AW88" s="3">
        <v>0</v>
      </c>
      <c r="AX88" s="3"/>
      <c r="AY88" s="3"/>
      <c r="AZ88" s="3"/>
      <c r="BA88" s="3">
        <v>0</v>
      </c>
      <c r="BB88" s="3"/>
      <c r="BC88" s="3">
        <f t="shared" si="2"/>
        <v>12717024</v>
      </c>
      <c r="BD88" s="3"/>
      <c r="BE88" s="3">
        <f>+'St of Act-Rev'!AG88-BC88</f>
        <v>-149673</v>
      </c>
      <c r="BF88" s="3"/>
      <c r="BG88" s="3">
        <v>1020818</v>
      </c>
      <c r="BH88" s="3"/>
      <c r="BI88" s="3">
        <f t="shared" si="3"/>
        <v>871145</v>
      </c>
      <c r="BJ88" s="3"/>
      <c r="BK88" s="3">
        <f>+'St of Net Position'!AE88-BI88</f>
        <v>0</v>
      </c>
    </row>
    <row r="89" spans="1:63" s="102" customFormat="1">
      <c r="A89" s="103" t="s">
        <v>291</v>
      </c>
      <c r="B89" s="103"/>
      <c r="C89" s="103" t="s">
        <v>167</v>
      </c>
      <c r="E89" s="103">
        <v>47233</v>
      </c>
      <c r="G89" s="3">
        <v>511804</v>
      </c>
      <c r="H89" s="3"/>
      <c r="I89" s="3">
        <v>2839546</v>
      </c>
      <c r="J89" s="3"/>
      <c r="K89" s="3">
        <v>0</v>
      </c>
      <c r="L89" s="3"/>
      <c r="M89" s="3">
        <v>0</v>
      </c>
      <c r="N89" s="3"/>
      <c r="O89" s="3">
        <v>0</v>
      </c>
      <c r="P89" s="3"/>
      <c r="Q89" s="3">
        <v>5686339</v>
      </c>
      <c r="R89" s="3"/>
      <c r="S89" s="3">
        <v>1927994</v>
      </c>
      <c r="T89" s="3"/>
      <c r="U89" s="3">
        <v>27540</v>
      </c>
      <c r="V89" s="3"/>
      <c r="W89" s="3">
        <v>163989</v>
      </c>
      <c r="X89" s="3"/>
      <c r="Y89" s="3">
        <v>256986</v>
      </c>
      <c r="Z89" s="3"/>
      <c r="AA89" s="3">
        <v>10742</v>
      </c>
      <c r="AB89" s="3"/>
      <c r="AC89" s="3">
        <v>186188</v>
      </c>
      <c r="AD89" s="3"/>
      <c r="AE89" s="103" t="s">
        <v>291</v>
      </c>
      <c r="AF89" s="103"/>
      <c r="AG89" s="103" t="s">
        <v>167</v>
      </c>
      <c r="AH89" s="103"/>
      <c r="AI89" s="3">
        <v>0</v>
      </c>
      <c r="AJ89" s="3"/>
      <c r="AK89" s="3">
        <v>10321</v>
      </c>
      <c r="AL89" s="3"/>
      <c r="AM89" s="3"/>
      <c r="AN89" s="3"/>
      <c r="AO89" s="3">
        <v>0</v>
      </c>
      <c r="AP89" s="3"/>
      <c r="AQ89" s="3">
        <f>1600+178074</f>
        <v>179674</v>
      </c>
      <c r="AR89" s="3"/>
      <c r="AS89" s="3">
        <v>0</v>
      </c>
      <c r="AT89" s="3"/>
      <c r="AU89" s="3">
        <v>0</v>
      </c>
      <c r="AV89" s="3"/>
      <c r="AW89" s="3">
        <v>0</v>
      </c>
      <c r="AX89" s="3"/>
      <c r="AY89" s="3"/>
      <c r="AZ89" s="3"/>
      <c r="BA89" s="3">
        <v>0</v>
      </c>
      <c r="BB89" s="3"/>
      <c r="BC89" s="3">
        <f t="shared" si="2"/>
        <v>11801123</v>
      </c>
      <c r="BD89" s="3"/>
      <c r="BE89" s="3">
        <f>+'St of Act-Rev'!AG89-BC89</f>
        <v>-93802</v>
      </c>
      <c r="BF89" s="3"/>
      <c r="BG89" s="3">
        <v>1342350</v>
      </c>
      <c r="BH89" s="3"/>
      <c r="BI89" s="3">
        <f t="shared" si="3"/>
        <v>1248548</v>
      </c>
      <c r="BJ89" s="3"/>
      <c r="BK89" s="3">
        <f>+'St of Net Position'!AE89-BI89</f>
        <v>0</v>
      </c>
    </row>
    <row r="90" spans="1:63" s="102" customFormat="1">
      <c r="A90" s="103" t="s">
        <v>292</v>
      </c>
      <c r="B90" s="103"/>
      <c r="C90" s="103" t="s">
        <v>168</v>
      </c>
      <c r="E90" s="103">
        <v>47324</v>
      </c>
      <c r="G90" s="3">
        <v>0</v>
      </c>
      <c r="H90" s="3"/>
      <c r="I90" s="3">
        <v>7596740</v>
      </c>
      <c r="J90" s="3"/>
      <c r="K90" s="3">
        <v>42087</v>
      </c>
      <c r="L90" s="3"/>
      <c r="M90" s="3">
        <v>0</v>
      </c>
      <c r="N90" s="3"/>
      <c r="O90" s="3">
        <v>0</v>
      </c>
      <c r="P90" s="3"/>
      <c r="Q90" s="3">
        <v>7823242</v>
      </c>
      <c r="R90" s="3"/>
      <c r="S90" s="3">
        <v>9462353</v>
      </c>
      <c r="T90" s="3"/>
      <c r="U90" s="3">
        <v>0</v>
      </c>
      <c r="V90" s="3"/>
      <c r="W90" s="3">
        <f>114115+4394925</f>
        <v>4509040</v>
      </c>
      <c r="X90" s="3"/>
      <c r="Y90" s="3">
        <v>1378413</v>
      </c>
      <c r="Z90" s="3"/>
      <c r="AA90" s="3">
        <v>409942</v>
      </c>
      <c r="AB90" s="3"/>
      <c r="AC90" s="3">
        <v>433340</v>
      </c>
      <c r="AD90" s="3"/>
      <c r="AE90" s="103" t="s">
        <v>292</v>
      </c>
      <c r="AF90" s="103"/>
      <c r="AG90" s="103" t="s">
        <v>168</v>
      </c>
      <c r="AH90" s="103"/>
      <c r="AI90" s="3">
        <v>0</v>
      </c>
      <c r="AJ90" s="3"/>
      <c r="AK90" s="3">
        <v>938762</v>
      </c>
      <c r="AL90" s="3"/>
      <c r="AM90" s="3"/>
      <c r="AN90" s="3"/>
      <c r="AO90" s="3">
        <v>0</v>
      </c>
      <c r="AP90" s="3"/>
      <c r="AQ90" s="3">
        <v>10558827</v>
      </c>
      <c r="AR90" s="3"/>
      <c r="AS90" s="3">
        <v>0</v>
      </c>
      <c r="AT90" s="3"/>
      <c r="AU90" s="3">
        <v>99963</v>
      </c>
      <c r="AV90" s="3"/>
      <c r="AW90" s="3">
        <v>0</v>
      </c>
      <c r="AX90" s="3"/>
      <c r="AY90" s="3"/>
      <c r="AZ90" s="3"/>
      <c r="BA90" s="3">
        <v>0</v>
      </c>
      <c r="BB90" s="3"/>
      <c r="BC90" s="3">
        <f t="shared" si="2"/>
        <v>43252709</v>
      </c>
      <c r="BD90" s="3"/>
      <c r="BE90" s="3">
        <f>+'St of Act-Rev'!AG90-BC90</f>
        <v>175203</v>
      </c>
      <c r="BF90" s="3"/>
      <c r="BG90" s="3">
        <v>8361830</v>
      </c>
      <c r="BH90" s="3"/>
      <c r="BI90" s="3">
        <f t="shared" si="3"/>
        <v>8537033</v>
      </c>
      <c r="BJ90" s="3"/>
      <c r="BK90" s="3">
        <f>+'St of Net Position'!AE90-BI90</f>
        <v>0</v>
      </c>
    </row>
    <row r="91" spans="1:63" s="102" customFormat="1">
      <c r="A91" s="103" t="s">
        <v>293</v>
      </c>
      <c r="B91" s="103"/>
      <c r="C91" s="103" t="s">
        <v>169</v>
      </c>
      <c r="E91" s="103">
        <v>47407</v>
      </c>
      <c r="G91" s="3">
        <v>109357</v>
      </c>
      <c r="H91" s="3"/>
      <c r="I91" s="3">
        <v>1622994</v>
      </c>
      <c r="J91" s="3"/>
      <c r="K91" s="3">
        <v>0</v>
      </c>
      <c r="L91" s="3"/>
      <c r="M91" s="3">
        <v>0</v>
      </c>
      <c r="N91" s="3"/>
      <c r="O91" s="3">
        <v>0</v>
      </c>
      <c r="P91" s="3"/>
      <c r="Q91" s="3">
        <v>1376745</v>
      </c>
      <c r="R91" s="3"/>
      <c r="S91" s="3">
        <v>1819361</v>
      </c>
      <c r="T91" s="3"/>
      <c r="U91" s="3">
        <v>41191</v>
      </c>
      <c r="V91" s="3"/>
      <c r="W91" s="3">
        <v>578690</v>
      </c>
      <c r="X91" s="3"/>
      <c r="Y91" s="3">
        <v>258347</v>
      </c>
      <c r="Z91" s="3"/>
      <c r="AA91" s="3">
        <v>0</v>
      </c>
      <c r="AB91" s="3"/>
      <c r="AC91" s="3">
        <v>82216</v>
      </c>
      <c r="AD91" s="3"/>
      <c r="AE91" s="103" t="s">
        <v>293</v>
      </c>
      <c r="AF91" s="103"/>
      <c r="AG91" s="103" t="s">
        <v>169</v>
      </c>
      <c r="AH91" s="103"/>
      <c r="AI91" s="3">
        <v>95142</v>
      </c>
      <c r="AJ91" s="3"/>
      <c r="AK91" s="3">
        <v>16498</v>
      </c>
      <c r="AL91" s="3"/>
      <c r="AM91" s="3"/>
      <c r="AN91" s="3"/>
      <c r="AO91" s="3">
        <v>0</v>
      </c>
      <c r="AP91" s="3"/>
      <c r="AQ91" s="3">
        <v>4327</v>
      </c>
      <c r="AR91" s="3"/>
      <c r="AS91" s="3">
        <v>2</v>
      </c>
      <c r="AT91" s="3"/>
      <c r="AU91" s="3">
        <v>0</v>
      </c>
      <c r="AV91" s="3"/>
      <c r="AW91" s="3">
        <v>0</v>
      </c>
      <c r="AX91" s="3"/>
      <c r="AY91" s="3"/>
      <c r="AZ91" s="3"/>
      <c r="BA91" s="3">
        <v>0</v>
      </c>
      <c r="BB91" s="3"/>
      <c r="BC91" s="3">
        <f t="shared" si="2"/>
        <v>6004870</v>
      </c>
      <c r="BD91" s="3"/>
      <c r="BE91" s="3">
        <f>+'St of Act-Rev'!AG91-BC91</f>
        <v>25772</v>
      </c>
      <c r="BF91" s="3"/>
      <c r="BG91" s="3">
        <v>86619</v>
      </c>
      <c r="BH91" s="3"/>
      <c r="BI91" s="3">
        <f t="shared" si="3"/>
        <v>112391</v>
      </c>
      <c r="BJ91" s="3"/>
      <c r="BK91" s="3">
        <f>+'St of Net Position'!AE91-BI91</f>
        <v>0</v>
      </c>
    </row>
    <row r="92" spans="1:63" s="65" customFormat="1" hidden="1">
      <c r="A92" s="59" t="s">
        <v>349</v>
      </c>
      <c r="B92" s="59"/>
      <c r="C92" s="59" t="s">
        <v>19</v>
      </c>
      <c r="E92" s="59">
        <v>47480</v>
      </c>
      <c r="G92" s="58">
        <v>0</v>
      </c>
      <c r="H92" s="58"/>
      <c r="I92" s="58">
        <v>0</v>
      </c>
      <c r="J92" s="58"/>
      <c r="K92" s="58">
        <v>0</v>
      </c>
      <c r="L92" s="58"/>
      <c r="M92" s="58">
        <v>0</v>
      </c>
      <c r="N92" s="58"/>
      <c r="O92" s="58">
        <v>0</v>
      </c>
      <c r="P92" s="58"/>
      <c r="Q92" s="58">
        <v>0</v>
      </c>
      <c r="R92" s="58"/>
      <c r="S92" s="58">
        <v>0</v>
      </c>
      <c r="T92" s="58"/>
      <c r="U92" s="58">
        <v>0</v>
      </c>
      <c r="V92" s="58"/>
      <c r="W92" s="58">
        <v>0</v>
      </c>
      <c r="X92" s="58"/>
      <c r="Y92" s="58">
        <v>0</v>
      </c>
      <c r="Z92" s="58"/>
      <c r="AA92" s="58">
        <v>0</v>
      </c>
      <c r="AB92" s="58"/>
      <c r="AC92" s="58">
        <v>0</v>
      </c>
      <c r="AD92" s="58"/>
      <c r="AE92" s="59" t="s">
        <v>349</v>
      </c>
      <c r="AF92" s="59"/>
      <c r="AG92" s="59" t="s">
        <v>19</v>
      </c>
      <c r="AH92" s="59"/>
      <c r="AI92" s="58">
        <v>0</v>
      </c>
      <c r="AJ92" s="58"/>
      <c r="AK92" s="58">
        <v>0</v>
      </c>
      <c r="AL92" s="58"/>
      <c r="AM92" s="58"/>
      <c r="AN92" s="58"/>
      <c r="AO92" s="58">
        <v>0</v>
      </c>
      <c r="AP92" s="58"/>
      <c r="AQ92" s="58">
        <v>0</v>
      </c>
      <c r="AR92" s="58"/>
      <c r="AS92" s="58">
        <v>0</v>
      </c>
      <c r="AT92" s="58"/>
      <c r="AU92" s="58">
        <v>0</v>
      </c>
      <c r="AV92" s="58"/>
      <c r="AW92" s="58">
        <v>0</v>
      </c>
      <c r="AX92" s="58"/>
      <c r="AY92" s="58"/>
      <c r="AZ92" s="58"/>
      <c r="BA92" s="58">
        <v>0</v>
      </c>
      <c r="BB92" s="58"/>
      <c r="BC92" s="58">
        <f t="shared" si="2"/>
        <v>0</v>
      </c>
      <c r="BD92" s="58"/>
      <c r="BE92" s="58">
        <f>+'St of Act-Rev'!AG92-BC92</f>
        <v>0</v>
      </c>
      <c r="BF92" s="58"/>
      <c r="BG92" s="58">
        <v>0</v>
      </c>
      <c r="BH92" s="58"/>
      <c r="BI92" s="58">
        <f t="shared" si="3"/>
        <v>0</v>
      </c>
      <c r="BJ92" s="58"/>
      <c r="BK92" s="58">
        <f>+'St of Net Position'!AE92-BI92</f>
        <v>0</v>
      </c>
    </row>
    <row r="93" spans="1:63" s="102" customFormat="1">
      <c r="A93" s="103" t="s">
        <v>294</v>
      </c>
      <c r="B93" s="103"/>
      <c r="C93" s="103" t="s">
        <v>170</v>
      </c>
      <c r="E93" s="103">
        <v>47779</v>
      </c>
      <c r="G93" s="3">
        <v>337859</v>
      </c>
      <c r="H93" s="3"/>
      <c r="I93" s="3">
        <v>583036</v>
      </c>
      <c r="J93" s="3"/>
      <c r="K93" s="3">
        <v>0</v>
      </c>
      <c r="L93" s="3"/>
      <c r="M93" s="3">
        <v>0</v>
      </c>
      <c r="N93" s="3"/>
      <c r="O93" s="3">
        <v>6400</v>
      </c>
      <c r="P93" s="3"/>
      <c r="Q93" s="3">
        <v>1182810</v>
      </c>
      <c r="R93" s="3"/>
      <c r="S93" s="3">
        <v>2101208</v>
      </c>
      <c r="T93" s="3"/>
      <c r="U93" s="3">
        <v>17356</v>
      </c>
      <c r="V93" s="3"/>
      <c r="W93" s="3">
        <v>767294</v>
      </c>
      <c r="X93" s="3"/>
      <c r="Y93" s="3">
        <v>229411</v>
      </c>
      <c r="Z93" s="3"/>
      <c r="AA93" s="3">
        <v>9980</v>
      </c>
      <c r="AB93" s="3"/>
      <c r="AC93" s="3">
        <v>22631</v>
      </c>
      <c r="AD93" s="3"/>
      <c r="AE93" s="103" t="s">
        <v>294</v>
      </c>
      <c r="AF93" s="103"/>
      <c r="AG93" s="103" t="s">
        <v>170</v>
      </c>
      <c r="AH93" s="103"/>
      <c r="AI93" s="3">
        <v>0</v>
      </c>
      <c r="AJ93" s="3"/>
      <c r="AK93" s="3">
        <v>3758</v>
      </c>
      <c r="AL93" s="3"/>
      <c r="AM93" s="3"/>
      <c r="AN93" s="3"/>
      <c r="AO93" s="3">
        <v>0</v>
      </c>
      <c r="AP93" s="3"/>
      <c r="AQ93" s="3">
        <v>0</v>
      </c>
      <c r="AR93" s="3"/>
      <c r="AS93" s="3">
        <v>0</v>
      </c>
      <c r="AT93" s="3"/>
      <c r="AU93" s="3">
        <v>408</v>
      </c>
      <c r="AV93" s="3"/>
      <c r="AW93" s="3">
        <v>0</v>
      </c>
      <c r="AX93" s="3"/>
      <c r="AY93" s="3"/>
      <c r="AZ93" s="3"/>
      <c r="BA93" s="3">
        <v>0</v>
      </c>
      <c r="BB93" s="3"/>
      <c r="BC93" s="3">
        <f t="shared" si="2"/>
        <v>5262151</v>
      </c>
      <c r="BD93" s="3"/>
      <c r="BE93" s="3">
        <f>+'St of Act-Rev'!AG93-BC93</f>
        <v>-264246</v>
      </c>
      <c r="BF93" s="3"/>
      <c r="BG93" s="3">
        <v>3632927</v>
      </c>
      <c r="BH93" s="3"/>
      <c r="BI93" s="3">
        <f t="shared" si="3"/>
        <v>3368681</v>
      </c>
      <c r="BJ93" s="3"/>
      <c r="BK93" s="3">
        <f>+'St of Net Position'!AE93-BI93</f>
        <v>0</v>
      </c>
    </row>
    <row r="94" spans="1:63" s="102" customFormat="1">
      <c r="A94" s="103" t="s">
        <v>295</v>
      </c>
      <c r="B94" s="103"/>
      <c r="C94" s="103" t="s">
        <v>171</v>
      </c>
      <c r="E94" s="103">
        <v>47811</v>
      </c>
      <c r="G94" s="3">
        <v>153598</v>
      </c>
      <c r="H94" s="3"/>
      <c r="I94" s="3">
        <v>3041546</v>
      </c>
      <c r="J94" s="3"/>
      <c r="K94" s="3">
        <v>0</v>
      </c>
      <c r="L94" s="3"/>
      <c r="M94" s="3">
        <v>0</v>
      </c>
      <c r="N94" s="3"/>
      <c r="O94" s="3">
        <v>0</v>
      </c>
      <c r="P94" s="3"/>
      <c r="Q94" s="3">
        <v>697475</v>
      </c>
      <c r="R94" s="3"/>
      <c r="S94" s="3">
        <v>762818</v>
      </c>
      <c r="T94" s="3"/>
      <c r="U94" s="3">
        <v>26176</v>
      </c>
      <c r="V94" s="3"/>
      <c r="W94" s="3">
        <v>572461</v>
      </c>
      <c r="X94" s="3"/>
      <c r="Y94" s="3">
        <v>99262</v>
      </c>
      <c r="Z94" s="3"/>
      <c r="AA94" s="3">
        <v>0</v>
      </c>
      <c r="AB94" s="3"/>
      <c r="AC94" s="3">
        <v>27379</v>
      </c>
      <c r="AD94" s="3"/>
      <c r="AE94" s="103" t="s">
        <v>295</v>
      </c>
      <c r="AF94" s="103"/>
      <c r="AG94" s="103" t="s">
        <v>171</v>
      </c>
      <c r="AH94" s="103"/>
      <c r="AI94" s="3">
        <v>0</v>
      </c>
      <c r="AJ94" s="3"/>
      <c r="AK94" s="3">
        <v>3530</v>
      </c>
      <c r="AL94" s="3"/>
      <c r="AM94" s="3"/>
      <c r="AN94" s="3"/>
      <c r="AO94" s="3">
        <v>0</v>
      </c>
      <c r="AP94" s="3"/>
      <c r="AQ94" s="3">
        <v>0</v>
      </c>
      <c r="AR94" s="3"/>
      <c r="AS94" s="3">
        <v>4689</v>
      </c>
      <c r="AT94" s="3"/>
      <c r="AU94" s="3">
        <v>0</v>
      </c>
      <c r="AV94" s="3"/>
      <c r="AW94" s="3">
        <v>0</v>
      </c>
      <c r="AX94" s="3"/>
      <c r="AY94" s="3"/>
      <c r="AZ94" s="3"/>
      <c r="BA94" s="3">
        <v>0</v>
      </c>
      <c r="BB94" s="3"/>
      <c r="BC94" s="3">
        <v>5388934</v>
      </c>
      <c r="BD94" s="3"/>
      <c r="BE94" s="3">
        <v>501752</v>
      </c>
      <c r="BF94" s="3"/>
      <c r="BG94" s="3">
        <v>-134895</v>
      </c>
      <c r="BH94" s="3"/>
      <c r="BI94" s="3">
        <v>366857</v>
      </c>
      <c r="BJ94" s="3"/>
      <c r="BK94" s="3">
        <v>0</v>
      </c>
    </row>
    <row r="95" spans="1:63" s="102" customFormat="1">
      <c r="A95" s="103" t="s">
        <v>296</v>
      </c>
      <c r="B95" s="103"/>
      <c r="C95" s="103" t="s">
        <v>146</v>
      </c>
      <c r="E95" s="103">
        <v>47860</v>
      </c>
      <c r="G95" s="3">
        <v>671546</v>
      </c>
      <c r="H95" s="3"/>
      <c r="I95" s="3">
        <v>3634313</v>
      </c>
      <c r="J95" s="3"/>
      <c r="K95" s="3">
        <v>149499</v>
      </c>
      <c r="L95" s="3"/>
      <c r="M95" s="3">
        <v>0</v>
      </c>
      <c r="N95" s="3"/>
      <c r="O95" s="3">
        <v>202033</v>
      </c>
      <c r="P95" s="3"/>
      <c r="Q95" s="3">
        <v>3169652</v>
      </c>
      <c r="R95" s="3"/>
      <c r="S95" s="3">
        <v>2375282</v>
      </c>
      <c r="T95" s="3"/>
      <c r="U95" s="3">
        <v>0</v>
      </c>
      <c r="V95" s="3"/>
      <c r="W95" s="3">
        <v>8008265</v>
      </c>
      <c r="X95" s="3"/>
      <c r="Y95" s="3">
        <v>229297</v>
      </c>
      <c r="Z95" s="3"/>
      <c r="AA95" s="3">
        <v>0</v>
      </c>
      <c r="AB95" s="3"/>
      <c r="AC95" s="3">
        <v>109267</v>
      </c>
      <c r="AD95" s="3"/>
      <c r="AE95" s="103" t="s">
        <v>296</v>
      </c>
      <c r="AF95" s="103"/>
      <c r="AG95" s="103" t="s">
        <v>146</v>
      </c>
      <c r="AH95" s="103"/>
      <c r="AI95" s="3">
        <v>132623</v>
      </c>
      <c r="AJ95" s="3"/>
      <c r="AK95" s="3">
        <v>808924</v>
      </c>
      <c r="AL95" s="3"/>
      <c r="AM95" s="3"/>
      <c r="AN95" s="3"/>
      <c r="AO95" s="3">
        <v>0</v>
      </c>
      <c r="AP95" s="3"/>
      <c r="AQ95" s="3">
        <v>3053</v>
      </c>
      <c r="AR95" s="3"/>
      <c r="AS95" s="3">
        <v>0</v>
      </c>
      <c r="AT95" s="3"/>
      <c r="AU95" s="3">
        <v>0</v>
      </c>
      <c r="AV95" s="3"/>
      <c r="AW95" s="3">
        <v>0</v>
      </c>
      <c r="AX95" s="3"/>
      <c r="AY95" s="3"/>
      <c r="AZ95" s="3"/>
      <c r="BA95" s="3">
        <v>0</v>
      </c>
      <c r="BB95" s="3"/>
      <c r="BC95" s="3">
        <v>19493754</v>
      </c>
      <c r="BD95" s="3"/>
      <c r="BE95" s="3">
        <v>-196994</v>
      </c>
      <c r="BF95" s="3"/>
      <c r="BG95" s="3">
        <v>1963853</v>
      </c>
      <c r="BH95" s="3"/>
      <c r="BI95" s="3">
        <v>1766859</v>
      </c>
      <c r="BJ95" s="3"/>
      <c r="BK95" s="3">
        <v>0</v>
      </c>
    </row>
    <row r="96" spans="1:63" s="102" customFormat="1">
      <c r="A96" s="103" t="s">
        <v>297</v>
      </c>
      <c r="B96" s="103"/>
      <c r="C96" s="103" t="s">
        <v>172</v>
      </c>
      <c r="E96" s="103">
        <v>47910</v>
      </c>
      <c r="G96" s="3">
        <v>142788</v>
      </c>
      <c r="H96" s="3"/>
      <c r="I96" s="3">
        <v>380423</v>
      </c>
      <c r="J96" s="3"/>
      <c r="K96" s="3">
        <v>0</v>
      </c>
      <c r="L96" s="3"/>
      <c r="M96" s="3">
        <v>0</v>
      </c>
      <c r="N96" s="3"/>
      <c r="O96" s="3">
        <v>0</v>
      </c>
      <c r="P96" s="3"/>
      <c r="Q96" s="3">
        <v>400759</v>
      </c>
      <c r="R96" s="3"/>
      <c r="S96" s="3">
        <v>589742</v>
      </c>
      <c r="T96" s="3"/>
      <c r="U96" s="3">
        <v>50660</v>
      </c>
      <c r="V96" s="3"/>
      <c r="W96" s="3">
        <v>225905</v>
      </c>
      <c r="X96" s="3"/>
      <c r="Y96" s="3">
        <v>202754</v>
      </c>
      <c r="Z96" s="3"/>
      <c r="AA96" s="3">
        <v>0</v>
      </c>
      <c r="AB96" s="3"/>
      <c r="AC96" s="3">
        <v>44708</v>
      </c>
      <c r="AD96" s="3"/>
      <c r="AE96" s="103" t="s">
        <v>297</v>
      </c>
      <c r="AF96" s="103"/>
      <c r="AG96" s="103" t="s">
        <v>172</v>
      </c>
      <c r="AH96" s="103"/>
      <c r="AI96" s="3">
        <v>0</v>
      </c>
      <c r="AJ96" s="3"/>
      <c r="AK96" s="3">
        <v>545552</v>
      </c>
      <c r="AL96" s="3"/>
      <c r="AM96" s="3"/>
      <c r="AN96" s="3"/>
      <c r="AO96" s="3">
        <v>0</v>
      </c>
      <c r="AP96" s="3"/>
      <c r="AQ96" s="3">
        <v>0</v>
      </c>
      <c r="AR96" s="3"/>
      <c r="AS96" s="3">
        <v>0</v>
      </c>
      <c r="AT96" s="3"/>
      <c r="AU96" s="3">
        <v>0</v>
      </c>
      <c r="AV96" s="3"/>
      <c r="AW96" s="3">
        <v>0</v>
      </c>
      <c r="AX96" s="3"/>
      <c r="AY96" s="3"/>
      <c r="AZ96" s="3"/>
      <c r="BA96" s="3">
        <v>0</v>
      </c>
      <c r="BB96" s="3"/>
      <c r="BC96" s="3">
        <f t="shared" si="2"/>
        <v>2583291</v>
      </c>
      <c r="BD96" s="3"/>
      <c r="BE96" s="3">
        <f>+'St of Act-Rev'!AG96-BC96</f>
        <v>305017</v>
      </c>
      <c r="BF96" s="3"/>
      <c r="BG96" s="3">
        <v>853335</v>
      </c>
      <c r="BH96" s="3"/>
      <c r="BI96" s="3">
        <f t="shared" si="3"/>
        <v>1158352</v>
      </c>
      <c r="BJ96" s="3"/>
      <c r="BK96" s="3">
        <f>+'St of Net Position'!AE96-BI96</f>
        <v>0</v>
      </c>
    </row>
    <row r="97" spans="1:63" s="65" customFormat="1" hidden="1">
      <c r="A97" s="58" t="s">
        <v>386</v>
      </c>
      <c r="B97" s="58"/>
      <c r="C97" s="58" t="s">
        <v>173</v>
      </c>
      <c r="E97" s="59">
        <v>47977</v>
      </c>
      <c r="G97" s="58">
        <v>0</v>
      </c>
      <c r="H97" s="58"/>
      <c r="I97" s="58">
        <v>0</v>
      </c>
      <c r="J97" s="58"/>
      <c r="K97" s="58">
        <v>0</v>
      </c>
      <c r="L97" s="58"/>
      <c r="M97" s="58">
        <v>0</v>
      </c>
      <c r="N97" s="58"/>
      <c r="O97" s="58">
        <v>0</v>
      </c>
      <c r="P97" s="58"/>
      <c r="Q97" s="58">
        <v>0</v>
      </c>
      <c r="R97" s="58"/>
      <c r="S97" s="58">
        <v>0</v>
      </c>
      <c r="T97" s="58"/>
      <c r="U97" s="58">
        <v>0</v>
      </c>
      <c r="V97" s="58"/>
      <c r="W97" s="58">
        <v>0</v>
      </c>
      <c r="X97" s="58"/>
      <c r="Y97" s="58">
        <v>0</v>
      </c>
      <c r="Z97" s="58"/>
      <c r="AA97" s="58">
        <v>0</v>
      </c>
      <c r="AB97" s="58"/>
      <c r="AC97" s="58">
        <v>0</v>
      </c>
      <c r="AD97" s="58"/>
      <c r="AE97" s="58" t="s">
        <v>386</v>
      </c>
      <c r="AF97" s="58"/>
      <c r="AG97" s="58" t="s">
        <v>173</v>
      </c>
      <c r="AH97" s="58"/>
      <c r="AI97" s="58">
        <v>0</v>
      </c>
      <c r="AJ97" s="58"/>
      <c r="AK97" s="58">
        <v>0</v>
      </c>
      <c r="AL97" s="58"/>
      <c r="AM97" s="58"/>
      <c r="AN97" s="58"/>
      <c r="AO97" s="58">
        <v>0</v>
      </c>
      <c r="AP97" s="58"/>
      <c r="AQ97" s="58">
        <v>0</v>
      </c>
      <c r="AR97" s="58"/>
      <c r="AS97" s="58">
        <v>0</v>
      </c>
      <c r="AT97" s="58"/>
      <c r="AU97" s="58">
        <v>0</v>
      </c>
      <c r="AV97" s="58"/>
      <c r="AW97" s="58">
        <v>0</v>
      </c>
      <c r="AX97" s="58"/>
      <c r="AY97" s="58"/>
      <c r="AZ97" s="58"/>
      <c r="BA97" s="58">
        <v>0</v>
      </c>
      <c r="BB97" s="58"/>
      <c r="BC97" s="58">
        <f t="shared" si="2"/>
        <v>0</v>
      </c>
      <c r="BD97" s="58"/>
      <c r="BE97" s="58">
        <f>+'St of Act-Rev'!AG97-BC97</f>
        <v>0</v>
      </c>
      <c r="BF97" s="58"/>
      <c r="BG97" s="58">
        <v>0</v>
      </c>
      <c r="BH97" s="58"/>
      <c r="BI97" s="58">
        <f>+BE97+BG97</f>
        <v>0</v>
      </c>
      <c r="BJ97" s="58"/>
      <c r="BK97" s="58">
        <f>+'St of Net Position'!AE97-BI97</f>
        <v>0</v>
      </c>
    </row>
    <row r="98" spans="1:63" s="102" customFormat="1">
      <c r="A98" s="103" t="s">
        <v>298</v>
      </c>
      <c r="B98" s="103"/>
      <c r="C98" s="103" t="s">
        <v>174</v>
      </c>
      <c r="E98" s="103">
        <v>48058</v>
      </c>
      <c r="G98" s="3">
        <v>0</v>
      </c>
      <c r="H98" s="3"/>
      <c r="I98" s="3">
        <v>2764198</v>
      </c>
      <c r="J98" s="3"/>
      <c r="K98" s="3">
        <v>0</v>
      </c>
      <c r="L98" s="3"/>
      <c r="M98" s="3">
        <v>0</v>
      </c>
      <c r="N98" s="3"/>
      <c r="O98" s="3">
        <v>0</v>
      </c>
      <c r="P98" s="3"/>
      <c r="Q98" s="3">
        <v>374246</v>
      </c>
      <c r="R98" s="3"/>
      <c r="S98" s="3">
        <v>307172</v>
      </c>
      <c r="T98" s="3"/>
      <c r="U98" s="3">
        <v>15981</v>
      </c>
      <c r="V98" s="3"/>
      <c r="W98" s="3">
        <v>389032</v>
      </c>
      <c r="X98" s="3"/>
      <c r="Y98" s="3">
        <v>370559</v>
      </c>
      <c r="Z98" s="3"/>
      <c r="AA98" s="3">
        <v>0</v>
      </c>
      <c r="AB98" s="3"/>
      <c r="AC98" s="3">
        <v>12370</v>
      </c>
      <c r="AD98" s="3"/>
      <c r="AE98" s="103" t="s">
        <v>298</v>
      </c>
      <c r="AF98" s="103"/>
      <c r="AG98" s="103" t="s">
        <v>174</v>
      </c>
      <c r="AH98" s="103"/>
      <c r="AI98" s="3">
        <v>0</v>
      </c>
      <c r="AJ98" s="3"/>
      <c r="AK98" s="3">
        <v>29839</v>
      </c>
      <c r="AL98" s="3"/>
      <c r="AM98" s="3"/>
      <c r="AN98" s="3"/>
      <c r="AO98" s="3">
        <v>0</v>
      </c>
      <c r="AP98" s="3"/>
      <c r="AQ98" s="3">
        <v>37295</v>
      </c>
      <c r="AR98" s="3"/>
      <c r="AS98" s="3">
        <v>463</v>
      </c>
      <c r="AT98" s="3"/>
      <c r="AU98" s="3">
        <v>0</v>
      </c>
      <c r="AV98" s="3"/>
      <c r="AW98" s="3">
        <v>0</v>
      </c>
      <c r="AX98" s="3"/>
      <c r="AY98" s="3"/>
      <c r="AZ98" s="3"/>
      <c r="BA98" s="3">
        <v>0</v>
      </c>
      <c r="BB98" s="3"/>
      <c r="BC98" s="3">
        <f t="shared" si="2"/>
        <v>4301155</v>
      </c>
      <c r="BD98" s="3"/>
      <c r="BE98" s="3">
        <f>+'St of Act-Rev'!AG98-BC98</f>
        <v>113961</v>
      </c>
      <c r="BF98" s="3"/>
      <c r="BG98" s="3">
        <v>912327</v>
      </c>
      <c r="BH98" s="3"/>
      <c r="BI98" s="3">
        <f t="shared" si="3"/>
        <v>1026288</v>
      </c>
      <c r="BJ98" s="3"/>
      <c r="BK98" s="3">
        <f>+'St of Net Position'!AE98-BI98</f>
        <v>0</v>
      </c>
    </row>
    <row r="99" spans="1:63" s="92" customFormat="1" hidden="1">
      <c r="A99" s="89" t="s">
        <v>351</v>
      </c>
      <c r="B99" s="89"/>
      <c r="C99" s="89" t="s">
        <v>142</v>
      </c>
      <c r="E99" s="89">
        <v>48108</v>
      </c>
      <c r="G99" s="88">
        <v>0</v>
      </c>
      <c r="H99" s="88"/>
      <c r="I99" s="88">
        <v>0</v>
      </c>
      <c r="J99" s="88"/>
      <c r="K99" s="88">
        <v>0</v>
      </c>
      <c r="L99" s="88"/>
      <c r="M99" s="88">
        <v>0</v>
      </c>
      <c r="N99" s="88"/>
      <c r="O99" s="88">
        <v>0</v>
      </c>
      <c r="P99" s="88"/>
      <c r="Q99" s="88">
        <v>0</v>
      </c>
      <c r="R99" s="88"/>
      <c r="S99" s="88">
        <v>0</v>
      </c>
      <c r="T99" s="88"/>
      <c r="U99" s="88">
        <v>0</v>
      </c>
      <c r="V99" s="88"/>
      <c r="W99" s="88">
        <v>0</v>
      </c>
      <c r="X99" s="88"/>
      <c r="Y99" s="88">
        <v>0</v>
      </c>
      <c r="Z99" s="88"/>
      <c r="AA99" s="88">
        <v>0</v>
      </c>
      <c r="AB99" s="88"/>
      <c r="AC99" s="88">
        <v>0</v>
      </c>
      <c r="AD99" s="88"/>
      <c r="AE99" s="89" t="s">
        <v>351</v>
      </c>
      <c r="AF99" s="89"/>
      <c r="AG99" s="89" t="s">
        <v>142</v>
      </c>
      <c r="AH99" s="89"/>
      <c r="AI99" s="88">
        <v>0</v>
      </c>
      <c r="AJ99" s="88"/>
      <c r="AK99" s="88">
        <v>0</v>
      </c>
      <c r="AL99" s="88"/>
      <c r="AM99" s="88"/>
      <c r="AN99" s="88"/>
      <c r="AO99" s="88">
        <v>0</v>
      </c>
      <c r="AP99" s="88"/>
      <c r="AQ99" s="88">
        <v>0</v>
      </c>
      <c r="AR99" s="88"/>
      <c r="AS99" s="88">
        <v>0</v>
      </c>
      <c r="AT99" s="88"/>
      <c r="AU99" s="88">
        <v>0</v>
      </c>
      <c r="AV99" s="88"/>
      <c r="AW99" s="88">
        <v>0</v>
      </c>
      <c r="AX99" s="88"/>
      <c r="AY99" s="88"/>
      <c r="AZ99" s="88"/>
      <c r="BA99" s="88">
        <v>0</v>
      </c>
      <c r="BB99" s="88"/>
      <c r="BC99" s="88">
        <f t="shared" si="2"/>
        <v>0</v>
      </c>
      <c r="BD99" s="88"/>
      <c r="BE99" s="88">
        <f>+'St of Act-Rev'!AG99-BC99</f>
        <v>0</v>
      </c>
      <c r="BF99" s="88"/>
      <c r="BG99" s="88">
        <v>0</v>
      </c>
      <c r="BH99" s="88"/>
      <c r="BI99" s="88">
        <f t="shared" si="3"/>
        <v>0</v>
      </c>
      <c r="BJ99" s="88"/>
      <c r="BK99" s="88">
        <f>+'St of Net Position'!AE99-BI99</f>
        <v>0</v>
      </c>
    </row>
    <row r="100" spans="1:63" s="102" customFormat="1">
      <c r="A100" s="103" t="s">
        <v>350</v>
      </c>
      <c r="B100" s="103"/>
      <c r="C100" s="103" t="s">
        <v>175</v>
      </c>
      <c r="E100" s="103">
        <v>48199</v>
      </c>
      <c r="G100" s="3">
        <v>12265</v>
      </c>
      <c r="H100" s="3"/>
      <c r="I100" s="3">
        <v>5701368</v>
      </c>
      <c r="J100" s="3"/>
      <c r="K100" s="3">
        <v>89799</v>
      </c>
      <c r="L100" s="3"/>
      <c r="M100" s="3">
        <v>42149</v>
      </c>
      <c r="N100" s="3"/>
      <c r="O100" s="3">
        <v>25402</v>
      </c>
      <c r="P100" s="3"/>
      <c r="Q100" s="3">
        <v>5216365</v>
      </c>
      <c r="R100" s="3"/>
      <c r="S100" s="3">
        <v>4789324</v>
      </c>
      <c r="T100" s="3"/>
      <c r="U100" s="3">
        <v>19278</v>
      </c>
      <c r="V100" s="3"/>
      <c r="W100" s="3">
        <v>2467734</v>
      </c>
      <c r="X100" s="3"/>
      <c r="Y100" s="3">
        <v>1103768</v>
      </c>
      <c r="Z100" s="3"/>
      <c r="AA100" s="3">
        <v>66278</v>
      </c>
      <c r="AB100" s="3"/>
      <c r="AC100" s="3">
        <v>954830</v>
      </c>
      <c r="AD100" s="3"/>
      <c r="AE100" s="103" t="s">
        <v>350</v>
      </c>
      <c r="AF100" s="103"/>
      <c r="AG100" s="103" t="s">
        <v>175</v>
      </c>
      <c r="AH100" s="103"/>
      <c r="AI100" s="3">
        <v>2857</v>
      </c>
      <c r="AJ100" s="3"/>
      <c r="AK100" s="3">
        <v>316256</v>
      </c>
      <c r="AL100" s="3"/>
      <c r="AM100" s="3"/>
      <c r="AN100" s="3"/>
      <c r="AO100" s="3">
        <v>34888</v>
      </c>
      <c r="AP100" s="3"/>
      <c r="AQ100" s="3">
        <v>3780691</v>
      </c>
      <c r="AR100" s="3"/>
      <c r="AS100" s="3">
        <v>0</v>
      </c>
      <c r="AT100" s="3"/>
      <c r="AU100" s="3">
        <v>293</v>
      </c>
      <c r="AV100" s="3"/>
      <c r="AW100" s="3">
        <v>0</v>
      </c>
      <c r="AX100" s="3"/>
      <c r="AY100" s="3"/>
      <c r="AZ100" s="3"/>
      <c r="BA100" s="3">
        <v>0</v>
      </c>
      <c r="BB100" s="3"/>
      <c r="BC100" s="3">
        <f t="shared" si="2"/>
        <v>24623545</v>
      </c>
      <c r="BD100" s="3"/>
      <c r="BE100" s="3">
        <f>+'St of Act-Rev'!AG100-BC100</f>
        <v>-632664</v>
      </c>
      <c r="BF100" s="3"/>
      <c r="BG100" s="3">
        <v>7127834</v>
      </c>
      <c r="BH100" s="3"/>
      <c r="BI100" s="3">
        <f t="shared" si="3"/>
        <v>6495170</v>
      </c>
      <c r="BJ100" s="3"/>
      <c r="BK100" s="3">
        <f>+'St of Net Position'!AE100-BI100</f>
        <v>0</v>
      </c>
    </row>
    <row r="101" spans="1:63" s="65" customFormat="1" hidden="1">
      <c r="A101" s="58" t="s">
        <v>316</v>
      </c>
      <c r="B101" s="59"/>
      <c r="C101" s="59" t="s">
        <v>151</v>
      </c>
      <c r="E101" s="59">
        <v>137364</v>
      </c>
      <c r="G101" s="58">
        <v>0</v>
      </c>
      <c r="H101" s="58"/>
      <c r="I101" s="58">
        <v>0</v>
      </c>
      <c r="J101" s="58"/>
      <c r="K101" s="58">
        <v>0</v>
      </c>
      <c r="L101" s="58"/>
      <c r="M101" s="58">
        <v>0</v>
      </c>
      <c r="N101" s="58"/>
      <c r="O101" s="58">
        <v>0</v>
      </c>
      <c r="P101" s="58"/>
      <c r="Q101" s="58">
        <v>0</v>
      </c>
      <c r="R101" s="58"/>
      <c r="S101" s="58">
        <v>0</v>
      </c>
      <c r="T101" s="58"/>
      <c r="U101" s="58">
        <v>0</v>
      </c>
      <c r="V101" s="58"/>
      <c r="W101" s="58">
        <v>0</v>
      </c>
      <c r="X101" s="58"/>
      <c r="Y101" s="58">
        <v>0</v>
      </c>
      <c r="Z101" s="58"/>
      <c r="AA101" s="58">
        <v>0</v>
      </c>
      <c r="AB101" s="58"/>
      <c r="AC101" s="58">
        <v>0</v>
      </c>
      <c r="AD101" s="58"/>
      <c r="AE101" s="58" t="s">
        <v>316</v>
      </c>
      <c r="AF101" s="59"/>
      <c r="AG101" s="59" t="s">
        <v>151</v>
      </c>
      <c r="AH101" s="59"/>
      <c r="AI101" s="58">
        <v>0</v>
      </c>
      <c r="AJ101" s="58"/>
      <c r="AK101" s="58">
        <v>0</v>
      </c>
      <c r="AL101" s="58"/>
      <c r="AM101" s="58"/>
      <c r="AN101" s="58"/>
      <c r="AO101" s="58">
        <v>0</v>
      </c>
      <c r="AP101" s="58"/>
      <c r="AQ101" s="58">
        <v>0</v>
      </c>
      <c r="AR101" s="58"/>
      <c r="AS101" s="58">
        <v>0</v>
      </c>
      <c r="AT101" s="58"/>
      <c r="AU101" s="58">
        <v>0</v>
      </c>
      <c r="AV101" s="58"/>
      <c r="AW101" s="58">
        <v>0</v>
      </c>
      <c r="AX101" s="58"/>
      <c r="AY101" s="58"/>
      <c r="AZ101" s="58"/>
      <c r="BA101" s="58">
        <v>0</v>
      </c>
      <c r="BB101" s="58"/>
      <c r="BC101" s="58">
        <f t="shared" si="2"/>
        <v>0</v>
      </c>
      <c r="BD101" s="58"/>
      <c r="BE101" s="58">
        <f>+'St of Act-Rev'!AG101-BC101</f>
        <v>0</v>
      </c>
      <c r="BF101" s="58"/>
      <c r="BG101" s="58">
        <v>0</v>
      </c>
      <c r="BH101" s="58"/>
      <c r="BI101" s="58">
        <f t="shared" si="3"/>
        <v>0</v>
      </c>
      <c r="BJ101" s="58"/>
      <c r="BK101" s="58">
        <f>+'St of Net Position'!AE101-BI101</f>
        <v>0</v>
      </c>
    </row>
    <row r="102" spans="1:63" s="102" customFormat="1">
      <c r="A102" s="3" t="s">
        <v>317</v>
      </c>
      <c r="B102" s="103"/>
      <c r="C102" s="103" t="s">
        <v>176</v>
      </c>
      <c r="E102" s="103">
        <v>48280</v>
      </c>
      <c r="G102" s="3">
        <v>1905612</v>
      </c>
      <c r="H102" s="3"/>
      <c r="I102" s="3">
        <v>5871823</v>
      </c>
      <c r="J102" s="3"/>
      <c r="K102" s="3">
        <v>64379</v>
      </c>
      <c r="L102" s="3"/>
      <c r="M102" s="3">
        <v>83020</v>
      </c>
      <c r="N102" s="3"/>
      <c r="O102" s="3">
        <v>0</v>
      </c>
      <c r="P102" s="3"/>
      <c r="Q102" s="3">
        <v>5960157</v>
      </c>
      <c r="R102" s="3"/>
      <c r="S102" s="3">
        <v>6313125</v>
      </c>
      <c r="T102" s="3"/>
      <c r="U102" s="3">
        <v>39283</v>
      </c>
      <c r="V102" s="3"/>
      <c r="W102" s="3">
        <v>1211356</v>
      </c>
      <c r="X102" s="3"/>
      <c r="Y102" s="3">
        <v>633110</v>
      </c>
      <c r="Z102" s="3"/>
      <c r="AA102" s="3">
        <v>327314</v>
      </c>
      <c r="AB102" s="3"/>
      <c r="AC102" s="3">
        <v>270339</v>
      </c>
      <c r="AD102" s="3"/>
      <c r="AE102" s="3" t="s">
        <v>317</v>
      </c>
      <c r="AF102" s="103"/>
      <c r="AG102" s="103" t="s">
        <v>176</v>
      </c>
      <c r="AH102" s="103"/>
      <c r="AI102" s="3">
        <v>5235</v>
      </c>
      <c r="AJ102" s="3"/>
      <c r="AK102" s="3">
        <v>936947</v>
      </c>
      <c r="AL102" s="3"/>
      <c r="AM102" s="3"/>
      <c r="AN102" s="3"/>
      <c r="AO102" s="3">
        <v>0</v>
      </c>
      <c r="AP102" s="3"/>
      <c r="AQ102" s="3">
        <v>127950</v>
      </c>
      <c r="AR102" s="3"/>
      <c r="AS102" s="3">
        <v>7518</v>
      </c>
      <c r="AT102" s="3"/>
      <c r="AU102" s="3">
        <v>2067</v>
      </c>
      <c r="AV102" s="3"/>
      <c r="AW102" s="3">
        <v>0</v>
      </c>
      <c r="AX102" s="3"/>
      <c r="AY102" s="3"/>
      <c r="AZ102" s="3"/>
      <c r="BA102" s="3">
        <v>0</v>
      </c>
      <c r="BB102" s="3"/>
      <c r="BC102" s="3">
        <f t="shared" si="2"/>
        <v>23759235</v>
      </c>
      <c r="BD102" s="3"/>
      <c r="BE102" s="3">
        <f>+'St of Act-Rev'!AG102-BC102</f>
        <v>-2148247</v>
      </c>
      <c r="BF102" s="3"/>
      <c r="BG102" s="3">
        <v>3975911</v>
      </c>
      <c r="BH102" s="3"/>
      <c r="BI102" s="3">
        <f t="shared" si="3"/>
        <v>1827664</v>
      </c>
      <c r="BJ102" s="3"/>
      <c r="BK102" s="3">
        <f>+'St of Net Position'!AE102-BI102</f>
        <v>0</v>
      </c>
    </row>
    <row r="103" spans="1:63" s="102" customFormat="1">
      <c r="A103" s="3" t="s">
        <v>177</v>
      </c>
      <c r="B103" s="103"/>
      <c r="C103" s="103" t="s">
        <v>178</v>
      </c>
      <c r="E103" s="103">
        <v>48454</v>
      </c>
      <c r="G103" s="3">
        <v>799400</v>
      </c>
      <c r="H103" s="3"/>
      <c r="I103" s="3">
        <v>95939</v>
      </c>
      <c r="J103" s="3"/>
      <c r="K103" s="3">
        <v>0</v>
      </c>
      <c r="L103" s="3"/>
      <c r="M103" s="3">
        <v>214817</v>
      </c>
      <c r="N103" s="3"/>
      <c r="O103" s="3">
        <v>757</v>
      </c>
      <c r="P103" s="3"/>
      <c r="Q103" s="3">
        <v>433922</v>
      </c>
      <c r="R103" s="3"/>
      <c r="S103" s="3">
        <v>1916503</v>
      </c>
      <c r="T103" s="3"/>
      <c r="U103" s="3">
        <v>43368</v>
      </c>
      <c r="V103" s="3"/>
      <c r="W103" s="3">
        <v>271307</v>
      </c>
      <c r="X103" s="3"/>
      <c r="Y103" s="3">
        <v>233800</v>
      </c>
      <c r="Z103" s="3"/>
      <c r="AA103" s="3">
        <v>196958</v>
      </c>
      <c r="AB103" s="3"/>
      <c r="AC103" s="3">
        <v>0</v>
      </c>
      <c r="AD103" s="3"/>
      <c r="AE103" s="3" t="s">
        <v>177</v>
      </c>
      <c r="AF103" s="103"/>
      <c r="AG103" s="103" t="s">
        <v>178</v>
      </c>
      <c r="AH103" s="103"/>
      <c r="AI103" s="3">
        <v>192403</v>
      </c>
      <c r="AJ103" s="3"/>
      <c r="AK103" s="3">
        <v>161603</v>
      </c>
      <c r="AL103" s="3"/>
      <c r="AM103" s="3"/>
      <c r="AN103" s="3"/>
      <c r="AO103" s="3">
        <v>0</v>
      </c>
      <c r="AP103" s="3"/>
      <c r="AQ103" s="3">
        <v>556</v>
      </c>
      <c r="AR103" s="3"/>
      <c r="AS103" s="3">
        <v>12829</v>
      </c>
      <c r="AT103" s="3"/>
      <c r="AU103" s="3">
        <v>0</v>
      </c>
      <c r="AV103" s="3"/>
      <c r="AW103" s="3">
        <v>0</v>
      </c>
      <c r="AX103" s="3"/>
      <c r="AY103" s="3"/>
      <c r="AZ103" s="3"/>
      <c r="BA103" s="3">
        <v>0</v>
      </c>
      <c r="BB103" s="3"/>
      <c r="BC103" s="3">
        <f t="shared" si="2"/>
        <v>4574162</v>
      </c>
      <c r="BD103" s="3"/>
      <c r="BE103" s="3">
        <f>+'St of Act-Rev'!AG103-BC103</f>
        <v>328301</v>
      </c>
      <c r="BF103" s="3"/>
      <c r="BG103" s="3">
        <v>799723</v>
      </c>
      <c r="BH103" s="3"/>
      <c r="BI103" s="3">
        <f t="shared" si="3"/>
        <v>1128024</v>
      </c>
      <c r="BJ103" s="3"/>
      <c r="BK103" s="3">
        <f>+'St of Net Position'!AE103-BI103</f>
        <v>0</v>
      </c>
    </row>
    <row r="104" spans="1:63" s="65" customFormat="1" hidden="1">
      <c r="A104" s="58" t="s">
        <v>318</v>
      </c>
      <c r="B104" s="59"/>
      <c r="C104" s="59" t="s">
        <v>179</v>
      </c>
      <c r="E104" s="59">
        <v>48546</v>
      </c>
      <c r="G104" s="58">
        <v>0</v>
      </c>
      <c r="H104" s="58"/>
      <c r="I104" s="58">
        <v>0</v>
      </c>
      <c r="J104" s="58"/>
      <c r="K104" s="58">
        <v>0</v>
      </c>
      <c r="L104" s="58"/>
      <c r="M104" s="58">
        <v>0</v>
      </c>
      <c r="N104" s="58"/>
      <c r="O104" s="58">
        <v>0</v>
      </c>
      <c r="P104" s="58"/>
      <c r="Q104" s="58">
        <v>0</v>
      </c>
      <c r="R104" s="58"/>
      <c r="S104" s="58">
        <v>0</v>
      </c>
      <c r="T104" s="58"/>
      <c r="U104" s="58">
        <v>0</v>
      </c>
      <c r="V104" s="58"/>
      <c r="W104" s="58">
        <v>0</v>
      </c>
      <c r="X104" s="58"/>
      <c r="Y104" s="58">
        <v>0</v>
      </c>
      <c r="Z104" s="58"/>
      <c r="AA104" s="58">
        <v>0</v>
      </c>
      <c r="AB104" s="58"/>
      <c r="AC104" s="58">
        <v>0</v>
      </c>
      <c r="AD104" s="58"/>
      <c r="AE104" s="58" t="s">
        <v>318</v>
      </c>
      <c r="AF104" s="59"/>
      <c r="AG104" s="59" t="s">
        <v>179</v>
      </c>
      <c r="AH104" s="59"/>
      <c r="AI104" s="58">
        <v>0</v>
      </c>
      <c r="AJ104" s="58"/>
      <c r="AK104" s="58">
        <v>0</v>
      </c>
      <c r="AL104" s="58"/>
      <c r="AM104" s="58"/>
      <c r="AN104" s="58"/>
      <c r="AO104" s="58">
        <v>0</v>
      </c>
      <c r="AP104" s="58"/>
      <c r="AQ104" s="58">
        <v>0</v>
      </c>
      <c r="AR104" s="58"/>
      <c r="AS104" s="58">
        <v>0</v>
      </c>
      <c r="AT104" s="58"/>
      <c r="AU104" s="58">
        <v>0</v>
      </c>
      <c r="AV104" s="58"/>
      <c r="AW104" s="58">
        <v>0</v>
      </c>
      <c r="AX104" s="58"/>
      <c r="AY104" s="58"/>
      <c r="AZ104" s="58"/>
      <c r="BA104" s="58">
        <v>0</v>
      </c>
      <c r="BB104" s="58"/>
      <c r="BC104" s="58">
        <f t="shared" si="2"/>
        <v>0</v>
      </c>
      <c r="BD104" s="58"/>
      <c r="BE104" s="58">
        <f>+'St of Act-Rev'!AG104-BC104</f>
        <v>0</v>
      </c>
      <c r="BF104" s="58"/>
      <c r="BG104" s="58">
        <v>0</v>
      </c>
      <c r="BH104" s="58"/>
      <c r="BI104" s="58">
        <f t="shared" si="3"/>
        <v>0</v>
      </c>
      <c r="BJ104" s="58"/>
      <c r="BK104" s="58">
        <f>+'St of Net Position'!AE104-BI104</f>
        <v>0</v>
      </c>
    </row>
    <row r="105" spans="1:63" s="102" customFormat="1">
      <c r="A105" s="3" t="s">
        <v>319</v>
      </c>
      <c r="B105" s="103"/>
      <c r="C105" s="103" t="s">
        <v>180</v>
      </c>
      <c r="E105" s="103">
        <v>48603</v>
      </c>
      <c r="G105" s="3">
        <v>415889</v>
      </c>
      <c r="H105" s="3"/>
      <c r="I105" s="3">
        <v>5191395</v>
      </c>
      <c r="J105" s="3"/>
      <c r="K105" s="3">
        <v>0</v>
      </c>
      <c r="L105" s="3"/>
      <c r="M105" s="3">
        <v>0</v>
      </c>
      <c r="N105" s="3"/>
      <c r="O105" s="3">
        <v>0</v>
      </c>
      <c r="P105" s="3"/>
      <c r="Q105" s="3">
        <v>3099931</v>
      </c>
      <c r="R105" s="3"/>
      <c r="S105" s="3">
        <v>2955969</v>
      </c>
      <c r="T105" s="3"/>
      <c r="U105" s="3">
        <v>15182</v>
      </c>
      <c r="V105" s="3"/>
      <c r="W105" s="3">
        <v>1024703</v>
      </c>
      <c r="X105" s="3"/>
      <c r="Y105" s="3">
        <v>211667</v>
      </c>
      <c r="Z105" s="3"/>
      <c r="AA105" s="3">
        <v>0</v>
      </c>
      <c r="AB105" s="3"/>
      <c r="AC105" s="3">
        <v>97047</v>
      </c>
      <c r="AD105" s="3"/>
      <c r="AE105" s="3" t="s">
        <v>319</v>
      </c>
      <c r="AF105" s="103"/>
      <c r="AG105" s="103" t="s">
        <v>180</v>
      </c>
      <c r="AH105" s="103"/>
      <c r="AI105" s="3">
        <v>2185</v>
      </c>
      <c r="AJ105" s="3"/>
      <c r="AK105" s="3">
        <v>223289</v>
      </c>
      <c r="AL105" s="3"/>
      <c r="AM105" s="3"/>
      <c r="AN105" s="3"/>
      <c r="AO105" s="3">
        <v>0</v>
      </c>
      <c r="AP105" s="3"/>
      <c r="AQ105" s="3">
        <v>0</v>
      </c>
      <c r="AR105" s="3"/>
      <c r="AS105" s="3">
        <v>257</v>
      </c>
      <c r="AT105" s="3"/>
      <c r="AU105" s="3">
        <v>5833</v>
      </c>
      <c r="AV105" s="3"/>
      <c r="AW105" s="3">
        <v>0</v>
      </c>
      <c r="AX105" s="3"/>
      <c r="AY105" s="3"/>
      <c r="AZ105" s="3"/>
      <c r="BA105" s="3">
        <v>0</v>
      </c>
      <c r="BB105" s="3"/>
      <c r="BC105" s="3">
        <f t="shared" si="2"/>
        <v>13243347</v>
      </c>
      <c r="BD105" s="3"/>
      <c r="BE105" s="3">
        <f>+'St of Act-Rev'!AG105-BC105</f>
        <v>124544</v>
      </c>
      <c r="BF105" s="3"/>
      <c r="BG105" s="3">
        <v>3418026</v>
      </c>
      <c r="BH105" s="3"/>
      <c r="BI105" s="3">
        <f t="shared" si="3"/>
        <v>3542570</v>
      </c>
      <c r="BJ105" s="3"/>
      <c r="BK105" s="3">
        <f>+'St of Net Position'!AE105-BI105</f>
        <v>0</v>
      </c>
    </row>
    <row r="106" spans="1:63" s="65" customFormat="1" hidden="1">
      <c r="A106" s="58" t="s">
        <v>275</v>
      </c>
      <c r="B106" s="58"/>
      <c r="C106" s="58" t="s">
        <v>189</v>
      </c>
      <c r="E106" s="59">
        <v>12351</v>
      </c>
      <c r="G106" s="58">
        <v>0</v>
      </c>
      <c r="H106" s="58"/>
      <c r="I106" s="58">
        <v>0</v>
      </c>
      <c r="J106" s="58"/>
      <c r="K106" s="58">
        <v>0</v>
      </c>
      <c r="L106" s="58"/>
      <c r="M106" s="58">
        <v>0</v>
      </c>
      <c r="N106" s="58"/>
      <c r="O106" s="58">
        <v>0</v>
      </c>
      <c r="P106" s="58"/>
      <c r="Q106" s="58">
        <v>0</v>
      </c>
      <c r="R106" s="58"/>
      <c r="S106" s="58">
        <v>0</v>
      </c>
      <c r="T106" s="58"/>
      <c r="U106" s="58">
        <v>0</v>
      </c>
      <c r="V106" s="58"/>
      <c r="W106" s="58">
        <v>0</v>
      </c>
      <c r="X106" s="58"/>
      <c r="Y106" s="58">
        <v>0</v>
      </c>
      <c r="Z106" s="58"/>
      <c r="AA106" s="58">
        <v>0</v>
      </c>
      <c r="AB106" s="58"/>
      <c r="AC106" s="58">
        <v>0</v>
      </c>
      <c r="AD106" s="58"/>
      <c r="AE106" s="58" t="s">
        <v>275</v>
      </c>
      <c r="AF106" s="58"/>
      <c r="AG106" s="58" t="s">
        <v>189</v>
      </c>
      <c r="AH106" s="58"/>
      <c r="AI106" s="58">
        <v>0</v>
      </c>
      <c r="AJ106" s="58"/>
      <c r="AK106" s="58">
        <v>0</v>
      </c>
      <c r="AL106" s="58"/>
      <c r="AM106" s="58"/>
      <c r="AN106" s="58"/>
      <c r="AO106" s="58">
        <v>0</v>
      </c>
      <c r="AP106" s="58"/>
      <c r="AQ106" s="58">
        <v>0</v>
      </c>
      <c r="AR106" s="58"/>
      <c r="AS106" s="58">
        <v>0</v>
      </c>
      <c r="AT106" s="58"/>
      <c r="AU106" s="58">
        <v>0</v>
      </c>
      <c r="AV106" s="58"/>
      <c r="AW106" s="58">
        <v>0</v>
      </c>
      <c r="AX106" s="58"/>
      <c r="AY106" s="58"/>
      <c r="AZ106" s="58"/>
      <c r="BA106" s="58">
        <v>0</v>
      </c>
      <c r="BB106" s="58"/>
      <c r="BC106" s="58">
        <f>SUM(G106:BB106)</f>
        <v>0</v>
      </c>
      <c r="BD106" s="58"/>
      <c r="BE106" s="58">
        <f>+'St of Act-Rev'!AG106-BC106</f>
        <v>0</v>
      </c>
      <c r="BF106" s="58"/>
      <c r="BG106" s="58">
        <v>0</v>
      </c>
      <c r="BH106" s="58"/>
      <c r="BI106" s="58">
        <f>+BE106+BG106</f>
        <v>0</v>
      </c>
      <c r="BJ106" s="58"/>
      <c r="BK106" s="58">
        <f>+'St of Net Position'!AE106-BI106</f>
        <v>0</v>
      </c>
    </row>
    <row r="107" spans="1:63" s="102" customFormat="1">
      <c r="A107" s="3" t="s">
        <v>320</v>
      </c>
      <c r="B107" s="103"/>
      <c r="C107" s="103" t="s">
        <v>181</v>
      </c>
      <c r="E107" s="103">
        <v>48660</v>
      </c>
      <c r="G107" s="3">
        <v>0</v>
      </c>
      <c r="H107" s="3"/>
      <c r="I107" s="3">
        <v>6027526</v>
      </c>
      <c r="J107" s="3"/>
      <c r="K107" s="3">
        <v>0</v>
      </c>
      <c r="L107" s="3"/>
      <c r="M107" s="3">
        <v>0</v>
      </c>
      <c r="N107" s="3"/>
      <c r="O107" s="3">
        <v>0</v>
      </c>
      <c r="P107" s="3"/>
      <c r="Q107" s="3">
        <v>9176523</v>
      </c>
      <c r="R107" s="3"/>
      <c r="S107" s="3">
        <v>8754365</v>
      </c>
      <c r="T107" s="3"/>
      <c r="U107" s="3">
        <v>0</v>
      </c>
      <c r="V107" s="3"/>
      <c r="W107" s="3">
        <f>101207+1414148</f>
        <v>1515355</v>
      </c>
      <c r="X107" s="3"/>
      <c r="Y107" s="3">
        <v>652034</v>
      </c>
      <c r="Z107" s="3"/>
      <c r="AA107" s="3">
        <v>16706</v>
      </c>
      <c r="AB107" s="3"/>
      <c r="AC107" s="3">
        <v>1545626</v>
      </c>
      <c r="AD107" s="3"/>
      <c r="AE107" s="3" t="s">
        <v>320</v>
      </c>
      <c r="AF107" s="103"/>
      <c r="AG107" s="103" t="s">
        <v>181</v>
      </c>
      <c r="AH107" s="103"/>
      <c r="AI107" s="3">
        <v>1025624</v>
      </c>
      <c r="AJ107" s="3"/>
      <c r="AK107" s="3">
        <v>1032640</v>
      </c>
      <c r="AL107" s="3"/>
      <c r="AM107" s="3"/>
      <c r="AN107" s="3"/>
      <c r="AO107" s="3">
        <v>0</v>
      </c>
      <c r="AP107" s="3"/>
      <c r="AQ107" s="3">
        <v>232619</v>
      </c>
      <c r="AR107" s="3"/>
      <c r="AS107" s="3">
        <v>0</v>
      </c>
      <c r="AT107" s="3"/>
      <c r="AU107" s="3">
        <v>0</v>
      </c>
      <c r="AV107" s="3"/>
      <c r="AW107" s="3">
        <v>0</v>
      </c>
      <c r="AX107" s="3"/>
      <c r="AY107" s="3"/>
      <c r="AZ107" s="3"/>
      <c r="BA107" s="3">
        <v>0</v>
      </c>
      <c r="BB107" s="3"/>
      <c r="BC107" s="3">
        <f t="shared" si="2"/>
        <v>29979018</v>
      </c>
      <c r="BD107" s="3"/>
      <c r="BE107" s="3">
        <f>+'St of Act-Rev'!AG107-BC107</f>
        <v>1194008</v>
      </c>
      <c r="BF107" s="3"/>
      <c r="BG107" s="3">
        <v>20404176</v>
      </c>
      <c r="BH107" s="3"/>
      <c r="BI107" s="3">
        <f t="shared" si="3"/>
        <v>21598184</v>
      </c>
      <c r="BJ107" s="3"/>
      <c r="BK107" s="3">
        <f>+'St of Net Position'!AE107-BI107</f>
        <v>0</v>
      </c>
    </row>
    <row r="108" spans="1:63" s="102" customFormat="1">
      <c r="A108" s="3" t="s">
        <v>182</v>
      </c>
      <c r="B108" s="103"/>
      <c r="C108" s="103" t="s">
        <v>183</v>
      </c>
      <c r="E108" s="103">
        <v>125252</v>
      </c>
      <c r="G108" s="3">
        <v>827029</v>
      </c>
      <c r="H108" s="3"/>
      <c r="I108" s="3">
        <v>4785364</v>
      </c>
      <c r="J108" s="3"/>
      <c r="K108" s="3">
        <v>0</v>
      </c>
      <c r="L108" s="3"/>
      <c r="M108" s="3">
        <v>34640</v>
      </c>
      <c r="N108" s="3"/>
      <c r="O108" s="3">
        <v>639826</v>
      </c>
      <c r="P108" s="3"/>
      <c r="Q108" s="3">
        <v>3758384</v>
      </c>
      <c r="R108" s="3"/>
      <c r="S108" s="3">
        <v>5508628</v>
      </c>
      <c r="T108" s="3"/>
      <c r="U108" s="3">
        <v>42588</v>
      </c>
      <c r="V108" s="3"/>
      <c r="W108" s="3">
        <v>1645261</v>
      </c>
      <c r="X108" s="3"/>
      <c r="Y108" s="3">
        <v>491112</v>
      </c>
      <c r="Z108" s="3"/>
      <c r="AA108" s="3">
        <v>0</v>
      </c>
      <c r="AB108" s="3"/>
      <c r="AC108" s="3">
        <v>127288</v>
      </c>
      <c r="AD108" s="3"/>
      <c r="AE108" s="3" t="s">
        <v>182</v>
      </c>
      <c r="AF108" s="103"/>
      <c r="AG108" s="103" t="s">
        <v>183</v>
      </c>
      <c r="AH108" s="103"/>
      <c r="AI108" s="3">
        <v>49793</v>
      </c>
      <c r="AJ108" s="3"/>
      <c r="AK108" s="3">
        <v>396984</v>
      </c>
      <c r="AL108" s="3"/>
      <c r="AM108" s="3"/>
      <c r="AN108" s="3"/>
      <c r="AO108" s="3">
        <v>0</v>
      </c>
      <c r="AP108" s="3"/>
      <c r="AQ108" s="3">
        <v>133523</v>
      </c>
      <c r="AR108" s="3"/>
      <c r="AS108" s="3">
        <v>15108</v>
      </c>
      <c r="AT108" s="3"/>
      <c r="AU108" s="3">
        <v>571</v>
      </c>
      <c r="AV108" s="3"/>
      <c r="AW108" s="3">
        <v>0</v>
      </c>
      <c r="AX108" s="3"/>
      <c r="AY108" s="3"/>
      <c r="AZ108" s="3"/>
      <c r="BA108" s="3">
        <v>0</v>
      </c>
      <c r="BB108" s="3"/>
      <c r="BC108" s="3">
        <f t="shared" si="2"/>
        <v>18456099</v>
      </c>
      <c r="BD108" s="3"/>
      <c r="BE108" s="3">
        <f>+'St of Act-Rev'!AG108-BC108</f>
        <v>437112</v>
      </c>
      <c r="BF108" s="3"/>
      <c r="BG108" s="3">
        <v>2802485</v>
      </c>
      <c r="BH108" s="3"/>
      <c r="BI108" s="3">
        <f t="shared" si="3"/>
        <v>3239597</v>
      </c>
      <c r="BJ108" s="3"/>
      <c r="BK108" s="3">
        <f>+'St of Net Position'!AE108-BI108</f>
        <v>0</v>
      </c>
    </row>
    <row r="109" spans="1:63" s="102" customFormat="1">
      <c r="A109" s="3" t="s">
        <v>265</v>
      </c>
      <c r="B109" s="103"/>
      <c r="C109" s="103" t="s">
        <v>193</v>
      </c>
      <c r="E109" s="103">
        <v>123257</v>
      </c>
      <c r="G109" s="3">
        <v>1549449</v>
      </c>
      <c r="H109" s="3"/>
      <c r="I109" s="3">
        <v>5114018</v>
      </c>
      <c r="J109" s="3"/>
      <c r="K109" s="3">
        <v>0</v>
      </c>
      <c r="L109" s="3"/>
      <c r="M109" s="3">
        <v>0</v>
      </c>
      <c r="N109" s="3"/>
      <c r="O109" s="3">
        <v>84216</v>
      </c>
      <c r="P109" s="3"/>
      <c r="Q109" s="3">
        <v>4093415</v>
      </c>
      <c r="R109" s="3"/>
      <c r="S109" s="3">
        <v>3940363</v>
      </c>
      <c r="T109" s="3"/>
      <c r="U109" s="3">
        <v>67357</v>
      </c>
      <c r="V109" s="3"/>
      <c r="W109" s="3">
        <v>1957655</v>
      </c>
      <c r="X109" s="3"/>
      <c r="Y109" s="3">
        <v>791165</v>
      </c>
      <c r="Z109" s="3"/>
      <c r="AA109" s="3">
        <v>162876</v>
      </c>
      <c r="AB109" s="3"/>
      <c r="AC109" s="3">
        <v>558337</v>
      </c>
      <c r="AD109" s="3"/>
      <c r="AE109" s="3" t="s">
        <v>265</v>
      </c>
      <c r="AF109" s="103"/>
      <c r="AG109" s="103" t="s">
        <v>193</v>
      </c>
      <c r="AH109" s="103"/>
      <c r="AI109" s="3">
        <v>153560</v>
      </c>
      <c r="AJ109" s="3"/>
      <c r="AK109" s="3">
        <v>1281400</v>
      </c>
      <c r="AL109" s="3"/>
      <c r="AM109" s="3"/>
      <c r="AN109" s="3"/>
      <c r="AO109" s="3">
        <v>39694</v>
      </c>
      <c r="AP109" s="3"/>
      <c r="AQ109" s="3">
        <v>82354</v>
      </c>
      <c r="AR109" s="3"/>
      <c r="AS109" s="3">
        <v>2233</v>
      </c>
      <c r="AT109" s="3"/>
      <c r="AU109" s="3">
        <v>122920</v>
      </c>
      <c r="AV109" s="3"/>
      <c r="AW109" s="3">
        <v>0</v>
      </c>
      <c r="AX109" s="3"/>
      <c r="AY109" s="3"/>
      <c r="AZ109" s="3"/>
      <c r="BA109" s="3">
        <v>0</v>
      </c>
      <c r="BB109" s="3"/>
      <c r="BC109" s="3">
        <f t="shared" si="2"/>
        <v>20001012</v>
      </c>
      <c r="BD109" s="3"/>
      <c r="BE109" s="3">
        <f>+'St of Act-Rev'!AG109-BC109</f>
        <v>-1308942</v>
      </c>
      <c r="BF109" s="3"/>
      <c r="BG109" s="3">
        <v>606218</v>
      </c>
      <c r="BH109" s="3"/>
      <c r="BI109" s="3">
        <f t="shared" si="3"/>
        <v>-702724</v>
      </c>
      <c r="BJ109" s="3"/>
      <c r="BK109" s="3">
        <f>+'St of Net Position'!AE109-BI109</f>
        <v>0</v>
      </c>
    </row>
    <row r="110" spans="1:63" s="102" customFormat="1">
      <c r="A110" s="103" t="s">
        <v>299</v>
      </c>
      <c r="B110" s="103"/>
      <c r="C110" s="103" t="s">
        <v>160</v>
      </c>
      <c r="E110" s="12">
        <v>125690</v>
      </c>
      <c r="G110" s="3">
        <v>479608</v>
      </c>
      <c r="H110" s="3"/>
      <c r="I110" s="3">
        <v>5491031</v>
      </c>
      <c r="J110" s="3"/>
      <c r="K110" s="3">
        <v>0</v>
      </c>
      <c r="L110" s="3"/>
      <c r="M110" s="3">
        <v>0</v>
      </c>
      <c r="N110" s="3"/>
      <c r="O110" s="3">
        <v>0</v>
      </c>
      <c r="P110" s="3"/>
      <c r="Q110" s="3">
        <v>5425471</v>
      </c>
      <c r="R110" s="3"/>
      <c r="S110" s="3">
        <v>6392419</v>
      </c>
      <c r="T110" s="3"/>
      <c r="U110" s="3">
        <v>258787</v>
      </c>
      <c r="V110" s="3"/>
      <c r="W110" s="3">
        <v>847270</v>
      </c>
      <c r="X110" s="3"/>
      <c r="Y110" s="3">
        <v>399380</v>
      </c>
      <c r="Z110" s="3"/>
      <c r="AA110" s="3">
        <v>179822</v>
      </c>
      <c r="AB110" s="3"/>
      <c r="AC110" s="3">
        <v>544257</v>
      </c>
      <c r="AD110" s="3"/>
      <c r="AE110" s="103" t="s">
        <v>299</v>
      </c>
      <c r="AF110" s="103"/>
      <c r="AG110" s="103" t="s">
        <v>160</v>
      </c>
      <c r="AH110" s="103"/>
      <c r="AI110" s="3">
        <v>0</v>
      </c>
      <c r="AJ110" s="3"/>
      <c r="AK110" s="3">
        <v>22075</v>
      </c>
      <c r="AL110" s="3"/>
      <c r="AM110" s="3"/>
      <c r="AN110" s="3"/>
      <c r="AO110" s="3">
        <v>0</v>
      </c>
      <c r="AP110" s="3"/>
      <c r="AQ110" s="3">
        <v>100994</v>
      </c>
      <c r="AR110" s="3"/>
      <c r="AS110" s="3">
        <v>15616</v>
      </c>
      <c r="AT110" s="3"/>
      <c r="AU110" s="3">
        <v>0</v>
      </c>
      <c r="AV110" s="3"/>
      <c r="AW110" s="3">
        <v>0</v>
      </c>
      <c r="AX110" s="3"/>
      <c r="AY110" s="3"/>
      <c r="AZ110" s="3"/>
      <c r="BA110" s="3">
        <v>0</v>
      </c>
      <c r="BB110" s="3"/>
      <c r="BC110" s="3">
        <f t="shared" ref="BC110" si="4">SUM(G110:BB110)</f>
        <v>20156730</v>
      </c>
      <c r="BD110" s="3"/>
      <c r="BE110" s="3">
        <f>+'St of Act-Rev'!AG110-BC110</f>
        <v>949717</v>
      </c>
      <c r="BF110" s="3"/>
      <c r="BG110" s="3">
        <v>4046646</v>
      </c>
      <c r="BH110" s="3"/>
      <c r="BI110" s="3">
        <f t="shared" ref="BI110" si="5">+BE110+BG110</f>
        <v>4996363</v>
      </c>
      <c r="BJ110" s="3"/>
      <c r="BK110" s="3">
        <f>+'St of Net Position'!AE110-BI110</f>
        <v>0</v>
      </c>
    </row>
    <row r="111" spans="1:63" s="102" customFormat="1">
      <c r="A111" s="3" t="s">
        <v>163</v>
      </c>
      <c r="B111" s="103"/>
      <c r="C111" s="3" t="s">
        <v>321</v>
      </c>
      <c r="E111" s="103">
        <v>124297</v>
      </c>
      <c r="G111" s="3">
        <v>1362138</v>
      </c>
      <c r="H111" s="3"/>
      <c r="I111" s="3">
        <v>3544516</v>
      </c>
      <c r="J111" s="3"/>
      <c r="K111" s="3">
        <v>0</v>
      </c>
      <c r="L111" s="3"/>
      <c r="M111" s="3">
        <v>0</v>
      </c>
      <c r="N111" s="3"/>
      <c r="O111" s="3">
        <v>0</v>
      </c>
      <c r="P111" s="3"/>
      <c r="Q111" s="3">
        <v>4441802</v>
      </c>
      <c r="R111" s="3"/>
      <c r="S111" s="3">
        <v>6827079</v>
      </c>
      <c r="T111" s="3"/>
      <c r="U111" s="3">
        <v>109158</v>
      </c>
      <c r="V111" s="3"/>
      <c r="W111" s="3">
        <v>742376</v>
      </c>
      <c r="X111" s="3"/>
      <c r="Y111" s="3">
        <v>482786</v>
      </c>
      <c r="Z111" s="3"/>
      <c r="AA111" s="3">
        <v>56795</v>
      </c>
      <c r="AB111" s="3"/>
      <c r="AC111" s="3">
        <v>403134</v>
      </c>
      <c r="AD111" s="3"/>
      <c r="AE111" s="3" t="s">
        <v>163</v>
      </c>
      <c r="AF111" s="103"/>
      <c r="AG111" s="3" t="s">
        <v>321</v>
      </c>
      <c r="AH111" s="3"/>
      <c r="AI111" s="3">
        <v>219037</v>
      </c>
      <c r="AJ111" s="3"/>
      <c r="AK111" s="3">
        <v>162655</v>
      </c>
      <c r="AL111" s="3"/>
      <c r="AM111" s="3"/>
      <c r="AN111" s="3"/>
      <c r="AO111" s="3">
        <v>0</v>
      </c>
      <c r="AP111" s="3"/>
      <c r="AQ111" s="3">
        <v>56642</v>
      </c>
      <c r="AR111" s="3"/>
      <c r="AS111" s="3">
        <v>0</v>
      </c>
      <c r="AT111" s="3"/>
      <c r="AU111" s="3">
        <v>30959</v>
      </c>
      <c r="AV111" s="3"/>
      <c r="AW111" s="3">
        <v>0</v>
      </c>
      <c r="AX111" s="3"/>
      <c r="AY111" s="3"/>
      <c r="AZ111" s="3"/>
      <c r="BA111" s="3">
        <v>3306784</v>
      </c>
      <c r="BB111" s="3"/>
      <c r="BC111" s="3">
        <f t="shared" si="2"/>
        <v>21745861</v>
      </c>
      <c r="BD111" s="3"/>
      <c r="BE111" s="3">
        <f>+'St of Act-Rev'!AG111-BC111</f>
        <v>229832</v>
      </c>
      <c r="BF111" s="3"/>
      <c r="BG111" s="3">
        <v>6121416</v>
      </c>
      <c r="BH111" s="3"/>
      <c r="BI111" s="3">
        <f t="shared" si="3"/>
        <v>6351248</v>
      </c>
      <c r="BJ111" s="3"/>
      <c r="BK111" s="3">
        <f>+'St of Net Position'!AE111-BI111</f>
        <v>0</v>
      </c>
    </row>
    <row r="112" spans="1:63" s="102" customFormat="1">
      <c r="A112" s="3" t="s">
        <v>308</v>
      </c>
      <c r="B112" s="103"/>
      <c r="C112" s="3" t="s">
        <v>259</v>
      </c>
      <c r="E112" s="103">
        <v>123281</v>
      </c>
      <c r="G112" s="3">
        <v>241562</v>
      </c>
      <c r="H112" s="3"/>
      <c r="I112" s="3">
        <f>2410011+120090</f>
        <v>2530101</v>
      </c>
      <c r="J112" s="3"/>
      <c r="K112" s="3">
        <v>0</v>
      </c>
      <c r="L112" s="3"/>
      <c r="M112" s="3">
        <v>45444</v>
      </c>
      <c r="N112" s="3"/>
      <c r="O112" s="3">
        <v>0</v>
      </c>
      <c r="P112" s="3"/>
      <c r="Q112" s="3">
        <v>1777762</v>
      </c>
      <c r="R112" s="3"/>
      <c r="S112" s="3">
        <v>2602205</v>
      </c>
      <c r="T112" s="3"/>
      <c r="U112" s="3">
        <v>41499</v>
      </c>
      <c r="V112" s="3"/>
      <c r="W112" s="3">
        <v>780128</v>
      </c>
      <c r="X112" s="3"/>
      <c r="Y112" s="3">
        <v>288574</v>
      </c>
      <c r="Z112" s="3"/>
      <c r="AA112" s="3">
        <v>0</v>
      </c>
      <c r="AB112" s="3"/>
      <c r="AC112" s="3">
        <v>76932</v>
      </c>
      <c r="AD112" s="3"/>
      <c r="AE112" s="3" t="s">
        <v>308</v>
      </c>
      <c r="AF112" s="103"/>
      <c r="AG112" s="3" t="s">
        <v>259</v>
      </c>
      <c r="AH112" s="103"/>
      <c r="AI112" s="3">
        <v>13112</v>
      </c>
      <c r="AJ112" s="3"/>
      <c r="AK112" s="3">
        <v>53931</v>
      </c>
      <c r="AL112" s="3"/>
      <c r="AM112" s="3"/>
      <c r="AN112" s="3"/>
      <c r="AO112" s="3">
        <v>0</v>
      </c>
      <c r="AP112" s="3"/>
      <c r="AQ112" s="3">
        <v>2614</v>
      </c>
      <c r="AR112" s="3"/>
      <c r="AS112" s="3">
        <v>51649</v>
      </c>
      <c r="AT112" s="3"/>
      <c r="AU112" s="3">
        <v>564</v>
      </c>
      <c r="AV112" s="3"/>
      <c r="AW112" s="3">
        <v>0</v>
      </c>
      <c r="AX112" s="3"/>
      <c r="AY112" s="3"/>
      <c r="AZ112" s="3"/>
      <c r="BA112" s="3">
        <v>0</v>
      </c>
      <c r="BB112" s="3"/>
      <c r="BC112" s="3">
        <f t="shared" si="2"/>
        <v>8506077</v>
      </c>
      <c r="BD112" s="3"/>
      <c r="BE112" s="3">
        <f>+'St of Act-Rev'!AG112-BC112</f>
        <v>439360</v>
      </c>
      <c r="BF112" s="3"/>
      <c r="BG112" s="3">
        <v>1492853</v>
      </c>
      <c r="BH112" s="3"/>
      <c r="BI112" s="3">
        <f t="shared" si="3"/>
        <v>1932213</v>
      </c>
      <c r="BJ112" s="3"/>
      <c r="BK112" s="3">
        <f>+'St of Net Position'!AE112-BI112</f>
        <v>0</v>
      </c>
    </row>
    <row r="113" spans="1:63" s="92" customFormat="1" hidden="1">
      <c r="A113" s="88" t="s">
        <v>355</v>
      </c>
      <c r="B113" s="89"/>
      <c r="C113" s="89" t="s">
        <v>184</v>
      </c>
      <c r="E113" s="89">
        <v>125674</v>
      </c>
      <c r="G113" s="88">
        <v>0</v>
      </c>
      <c r="H113" s="88"/>
      <c r="I113" s="88">
        <v>0</v>
      </c>
      <c r="J113" s="88"/>
      <c r="K113" s="88">
        <v>0</v>
      </c>
      <c r="L113" s="88"/>
      <c r="M113" s="88">
        <v>0</v>
      </c>
      <c r="N113" s="88"/>
      <c r="O113" s="88">
        <v>0</v>
      </c>
      <c r="P113" s="88"/>
      <c r="Q113" s="88">
        <v>0</v>
      </c>
      <c r="R113" s="88"/>
      <c r="S113" s="88">
        <v>0</v>
      </c>
      <c r="T113" s="88"/>
      <c r="U113" s="88">
        <v>0</v>
      </c>
      <c r="V113" s="88"/>
      <c r="W113" s="88">
        <v>0</v>
      </c>
      <c r="X113" s="88"/>
      <c r="Y113" s="88">
        <v>0</v>
      </c>
      <c r="Z113" s="88"/>
      <c r="AA113" s="88">
        <v>0</v>
      </c>
      <c r="AB113" s="88"/>
      <c r="AC113" s="88">
        <v>0</v>
      </c>
      <c r="AD113" s="88"/>
      <c r="AE113" s="88" t="s">
        <v>355</v>
      </c>
      <c r="AF113" s="89"/>
      <c r="AG113" s="89" t="s">
        <v>184</v>
      </c>
      <c r="AH113" s="89"/>
      <c r="AI113" s="88">
        <v>0</v>
      </c>
      <c r="AJ113" s="88"/>
      <c r="AK113" s="88">
        <v>0</v>
      </c>
      <c r="AL113" s="88"/>
      <c r="AM113" s="88"/>
      <c r="AN113" s="88"/>
      <c r="AO113" s="88">
        <v>0</v>
      </c>
      <c r="AP113" s="88"/>
      <c r="AQ113" s="88">
        <v>0</v>
      </c>
      <c r="AR113" s="88"/>
      <c r="AS113" s="88">
        <v>0</v>
      </c>
      <c r="AT113" s="88"/>
      <c r="AU113" s="88">
        <v>0</v>
      </c>
      <c r="AV113" s="88"/>
      <c r="AW113" s="88">
        <v>0</v>
      </c>
      <c r="AX113" s="88"/>
      <c r="AY113" s="88"/>
      <c r="AZ113" s="88"/>
      <c r="BA113" s="88">
        <v>0</v>
      </c>
      <c r="BB113" s="88"/>
      <c r="BC113" s="88">
        <f t="shared" si="2"/>
        <v>0</v>
      </c>
      <c r="BD113" s="88"/>
      <c r="BE113" s="88">
        <f>+'St of Act-Rev'!AG113-BC113</f>
        <v>0</v>
      </c>
      <c r="BF113" s="88"/>
      <c r="BG113" s="88">
        <v>0</v>
      </c>
      <c r="BH113" s="88"/>
      <c r="BI113" s="88">
        <f t="shared" si="3"/>
        <v>0</v>
      </c>
      <c r="BJ113" s="88"/>
      <c r="BK113" s="88">
        <f>+'St of Net Position'!AE113-BI113</f>
        <v>0</v>
      </c>
    </row>
    <row r="114" spans="1:63" s="102" customFormat="1">
      <c r="A114" s="3" t="s">
        <v>332</v>
      </c>
      <c r="B114" s="103"/>
      <c r="C114" s="103" t="s">
        <v>185</v>
      </c>
      <c r="E114" s="103">
        <v>49072</v>
      </c>
      <c r="G114" s="3">
        <v>82787</v>
      </c>
      <c r="H114" s="3"/>
      <c r="I114" s="3">
        <v>373762</v>
      </c>
      <c r="J114" s="3"/>
      <c r="K114" s="3">
        <v>0</v>
      </c>
      <c r="L114" s="3"/>
      <c r="M114" s="3">
        <v>70658</v>
      </c>
      <c r="N114" s="3"/>
      <c r="O114" s="3">
        <v>12852</v>
      </c>
      <c r="P114" s="3"/>
      <c r="Q114" s="3">
        <v>2023385</v>
      </c>
      <c r="R114" s="3"/>
      <c r="S114" s="3">
        <v>654717</v>
      </c>
      <c r="T114" s="3"/>
      <c r="U114" s="3">
        <v>46965</v>
      </c>
      <c r="V114" s="3"/>
      <c r="W114" s="3">
        <v>451617</v>
      </c>
      <c r="X114" s="3"/>
      <c r="Y114" s="3">
        <v>144154</v>
      </c>
      <c r="Z114" s="3"/>
      <c r="AA114" s="3">
        <v>22468</v>
      </c>
      <c r="AB114" s="3"/>
      <c r="AC114" s="3">
        <v>146698</v>
      </c>
      <c r="AD114" s="3"/>
      <c r="AE114" s="3" t="s">
        <v>332</v>
      </c>
      <c r="AF114" s="103"/>
      <c r="AG114" s="103" t="s">
        <v>185</v>
      </c>
      <c r="AH114" s="103"/>
      <c r="AI114" s="3">
        <v>175283</v>
      </c>
      <c r="AJ114" s="3"/>
      <c r="AK114" s="3">
        <v>173584</v>
      </c>
      <c r="AL114" s="3"/>
      <c r="AM114" s="3"/>
      <c r="AN114" s="3"/>
      <c r="AO114" s="3">
        <v>0</v>
      </c>
      <c r="AP114" s="3"/>
      <c r="AQ114" s="3">
        <v>567</v>
      </c>
      <c r="AR114" s="3"/>
      <c r="AS114" s="3">
        <v>0</v>
      </c>
      <c r="AT114" s="3"/>
      <c r="AU114" s="3">
        <v>0</v>
      </c>
      <c r="AV114" s="3"/>
      <c r="AW114" s="3">
        <v>0</v>
      </c>
      <c r="AX114" s="3"/>
      <c r="AY114" s="3"/>
      <c r="AZ114" s="3"/>
      <c r="BA114" s="3">
        <v>0</v>
      </c>
      <c r="BB114" s="3"/>
      <c r="BC114" s="3">
        <f t="shared" si="2"/>
        <v>4379497</v>
      </c>
      <c r="BD114" s="3"/>
      <c r="BE114" s="3">
        <f>+'St of Act-Rev'!AG114-BC114</f>
        <v>-51817</v>
      </c>
      <c r="BF114" s="3"/>
      <c r="BG114" s="3">
        <v>965577</v>
      </c>
      <c r="BH114" s="3"/>
      <c r="BI114" s="3">
        <f t="shared" si="3"/>
        <v>913760</v>
      </c>
      <c r="BJ114" s="3"/>
      <c r="BK114" s="3">
        <f>+'St of Net Position'!AE114-BI114</f>
        <v>0</v>
      </c>
    </row>
    <row r="115" spans="1:63" s="102" customFormat="1">
      <c r="A115" s="3" t="s">
        <v>323</v>
      </c>
      <c r="B115" s="103"/>
      <c r="C115" s="103" t="s">
        <v>186</v>
      </c>
      <c r="E115" s="103">
        <v>49163</v>
      </c>
      <c r="G115" s="3">
        <v>211376</v>
      </c>
      <c r="H115" s="3"/>
      <c r="I115" s="3">
        <v>3542033</v>
      </c>
      <c r="J115" s="3"/>
      <c r="K115" s="3">
        <v>0</v>
      </c>
      <c r="L115" s="3"/>
      <c r="M115" s="3">
        <v>0</v>
      </c>
      <c r="N115" s="3"/>
      <c r="O115" s="3">
        <v>21513</v>
      </c>
      <c r="P115" s="3"/>
      <c r="Q115" s="3">
        <v>1641196</v>
      </c>
      <c r="R115" s="3"/>
      <c r="S115" s="3">
        <v>2209762</v>
      </c>
      <c r="T115" s="3"/>
      <c r="U115" s="3">
        <v>257714</v>
      </c>
      <c r="V115" s="3"/>
      <c r="W115" s="3">
        <v>669971</v>
      </c>
      <c r="X115" s="3"/>
      <c r="Y115" s="3">
        <v>328209</v>
      </c>
      <c r="Z115" s="3"/>
      <c r="AA115" s="3">
        <v>101437</v>
      </c>
      <c r="AB115" s="3"/>
      <c r="AC115" s="3">
        <v>50932</v>
      </c>
      <c r="AD115" s="3"/>
      <c r="AE115" s="3" t="s">
        <v>323</v>
      </c>
      <c r="AF115" s="103"/>
      <c r="AG115" s="103" t="s">
        <v>186</v>
      </c>
      <c r="AH115" s="103"/>
      <c r="AI115" s="3">
        <v>13301</v>
      </c>
      <c r="AJ115" s="3"/>
      <c r="AK115" s="3">
        <v>0</v>
      </c>
      <c r="AL115" s="3"/>
      <c r="AM115" s="3"/>
      <c r="AN115" s="3"/>
      <c r="AO115" s="3">
        <v>143612</v>
      </c>
      <c r="AP115" s="3"/>
      <c r="AQ115" s="3">
        <v>0</v>
      </c>
      <c r="AR115" s="3"/>
      <c r="AS115" s="3">
        <v>7953</v>
      </c>
      <c r="AT115" s="3"/>
      <c r="AU115" s="3">
        <v>1523</v>
      </c>
      <c r="AV115" s="3"/>
      <c r="AW115" s="3">
        <v>0</v>
      </c>
      <c r="AX115" s="3"/>
      <c r="AY115" s="3"/>
      <c r="AZ115" s="3"/>
      <c r="BA115" s="3">
        <v>0</v>
      </c>
      <c r="BB115" s="3"/>
      <c r="BC115" s="3">
        <f t="shared" si="2"/>
        <v>9200532</v>
      </c>
      <c r="BD115" s="3"/>
      <c r="BE115" s="3">
        <f>+'St of Act-Rev'!AG115-BC115</f>
        <v>-642615</v>
      </c>
      <c r="BF115" s="3"/>
      <c r="BG115" s="3">
        <v>779901</v>
      </c>
      <c r="BH115" s="3"/>
      <c r="BI115" s="3">
        <f t="shared" si="3"/>
        <v>137286</v>
      </c>
      <c r="BJ115" s="3"/>
      <c r="BK115" s="3">
        <f>+'St of Net Position'!AE115-BI115</f>
        <v>0</v>
      </c>
    </row>
    <row r="116" spans="1:63" s="65" customFormat="1" hidden="1">
      <c r="A116" s="59" t="s">
        <v>324</v>
      </c>
      <c r="B116" s="59"/>
      <c r="C116" s="59" t="s">
        <v>187</v>
      </c>
      <c r="E116" s="59">
        <v>49254</v>
      </c>
      <c r="G116" s="58">
        <v>0</v>
      </c>
      <c r="H116" s="58"/>
      <c r="I116" s="58">
        <v>0</v>
      </c>
      <c r="J116" s="58"/>
      <c r="K116" s="58">
        <v>0</v>
      </c>
      <c r="L116" s="58"/>
      <c r="M116" s="58">
        <v>0</v>
      </c>
      <c r="N116" s="58"/>
      <c r="O116" s="58">
        <v>0</v>
      </c>
      <c r="P116" s="58"/>
      <c r="Q116" s="58">
        <v>0</v>
      </c>
      <c r="R116" s="58"/>
      <c r="S116" s="58">
        <v>0</v>
      </c>
      <c r="T116" s="58"/>
      <c r="U116" s="58">
        <v>0</v>
      </c>
      <c r="V116" s="58"/>
      <c r="W116" s="58">
        <v>0</v>
      </c>
      <c r="X116" s="58"/>
      <c r="Y116" s="58">
        <v>0</v>
      </c>
      <c r="Z116" s="58"/>
      <c r="AA116" s="58">
        <v>0</v>
      </c>
      <c r="AB116" s="58"/>
      <c r="AC116" s="58">
        <v>0</v>
      </c>
      <c r="AD116" s="58"/>
      <c r="AE116" s="59" t="s">
        <v>324</v>
      </c>
      <c r="AF116" s="59"/>
      <c r="AG116" s="59" t="s">
        <v>187</v>
      </c>
      <c r="AH116" s="59"/>
      <c r="AI116" s="58">
        <v>0</v>
      </c>
      <c r="AJ116" s="58"/>
      <c r="AK116" s="58">
        <v>0</v>
      </c>
      <c r="AL116" s="58"/>
      <c r="AM116" s="58"/>
      <c r="AN116" s="58"/>
      <c r="AO116" s="58">
        <v>0</v>
      </c>
      <c r="AP116" s="58"/>
      <c r="AQ116" s="58">
        <v>0</v>
      </c>
      <c r="AR116" s="58"/>
      <c r="AS116" s="58">
        <v>0</v>
      </c>
      <c r="AT116" s="58"/>
      <c r="AU116" s="58">
        <v>0</v>
      </c>
      <c r="AV116" s="58"/>
      <c r="AW116" s="58">
        <v>0</v>
      </c>
      <c r="AX116" s="58"/>
      <c r="AY116" s="58"/>
      <c r="AZ116" s="58"/>
      <c r="BA116" s="58">
        <v>0</v>
      </c>
      <c r="BB116" s="58"/>
      <c r="BC116" s="58">
        <f t="shared" si="2"/>
        <v>0</v>
      </c>
      <c r="BD116" s="58"/>
      <c r="BE116" s="58">
        <f>+'St of Act-Rev'!AG116-BC116</f>
        <v>0</v>
      </c>
      <c r="BF116" s="58"/>
      <c r="BG116" s="58">
        <v>0</v>
      </c>
      <c r="BH116" s="58"/>
      <c r="BI116" s="58">
        <f t="shared" si="3"/>
        <v>0</v>
      </c>
      <c r="BJ116" s="58"/>
      <c r="BK116" s="58">
        <f>+'St of Net Position'!AE116-BI116</f>
        <v>0</v>
      </c>
    </row>
    <row r="117" spans="1:63" s="102" customFormat="1">
      <c r="A117" s="3" t="s">
        <v>325</v>
      </c>
      <c r="B117" s="103"/>
      <c r="C117" s="103" t="s">
        <v>188</v>
      </c>
      <c r="E117" s="103">
        <v>49304</v>
      </c>
      <c r="G117" s="3">
        <v>388728</v>
      </c>
      <c r="H117" s="3"/>
      <c r="I117" s="3">
        <v>940661</v>
      </c>
      <c r="J117" s="3"/>
      <c r="K117" s="3">
        <v>0</v>
      </c>
      <c r="L117" s="3"/>
      <c r="M117" s="3">
        <v>44438</v>
      </c>
      <c r="N117" s="3"/>
      <c r="O117" s="3">
        <v>117</v>
      </c>
      <c r="P117" s="3"/>
      <c r="Q117" s="3">
        <v>846739</v>
      </c>
      <c r="R117" s="3"/>
      <c r="S117" s="3">
        <v>1604037</v>
      </c>
      <c r="T117" s="3"/>
      <c r="U117" s="3">
        <v>25926</v>
      </c>
      <c r="V117" s="3"/>
      <c r="W117" s="3">
        <v>296147</v>
      </c>
      <c r="X117" s="3"/>
      <c r="Y117" s="3">
        <v>357924</v>
      </c>
      <c r="Z117" s="3"/>
      <c r="AA117" s="3">
        <v>22991</v>
      </c>
      <c r="AB117" s="3"/>
      <c r="AC117" s="3">
        <v>163417</v>
      </c>
      <c r="AD117" s="3"/>
      <c r="AE117" s="3" t="s">
        <v>325</v>
      </c>
      <c r="AF117" s="103"/>
      <c r="AG117" s="103" t="s">
        <v>188</v>
      </c>
      <c r="AH117" s="103"/>
      <c r="AI117" s="3">
        <v>106407</v>
      </c>
      <c r="AJ117" s="3"/>
      <c r="AK117" s="3">
        <v>108341</v>
      </c>
      <c r="AL117" s="3"/>
      <c r="AM117" s="3"/>
      <c r="AN117" s="3"/>
      <c r="AO117" s="3">
        <v>0</v>
      </c>
      <c r="AP117" s="3"/>
      <c r="AQ117" s="3">
        <v>19650</v>
      </c>
      <c r="AR117" s="3"/>
      <c r="AS117" s="3">
        <v>0</v>
      </c>
      <c r="AT117" s="3"/>
      <c r="AU117" s="3">
        <v>25308</v>
      </c>
      <c r="AV117" s="3"/>
      <c r="AW117" s="3">
        <v>0</v>
      </c>
      <c r="AX117" s="3"/>
      <c r="AY117" s="3"/>
      <c r="AZ117" s="3"/>
      <c r="BA117" s="3">
        <v>1021951</v>
      </c>
      <c r="BB117" s="3"/>
      <c r="BC117" s="3">
        <f t="shared" si="2"/>
        <v>5972782</v>
      </c>
      <c r="BD117" s="3"/>
      <c r="BE117" s="3">
        <f>+'St of Act-Rev'!AG117-BC117</f>
        <v>18115</v>
      </c>
      <c r="BF117" s="3"/>
      <c r="BG117" s="3">
        <v>4193400</v>
      </c>
      <c r="BH117" s="3"/>
      <c r="BI117" s="3">
        <f t="shared" si="3"/>
        <v>4211515</v>
      </c>
      <c r="BJ117" s="3"/>
      <c r="BK117" s="3">
        <f>+'St of Net Position'!AE117-BI117</f>
        <v>0</v>
      </c>
    </row>
    <row r="118" spans="1:63" s="102" customFormat="1">
      <c r="A118" s="3" t="s">
        <v>326</v>
      </c>
      <c r="B118" s="103"/>
      <c r="C118" s="103" t="s">
        <v>190</v>
      </c>
      <c r="E118" s="103">
        <v>138222</v>
      </c>
      <c r="G118" s="3">
        <v>44747</v>
      </c>
      <c r="H118" s="3"/>
      <c r="I118" s="3">
        <v>3636858</v>
      </c>
      <c r="J118" s="3"/>
      <c r="K118" s="3">
        <v>0</v>
      </c>
      <c r="L118" s="3"/>
      <c r="M118" s="3">
        <v>0</v>
      </c>
      <c r="N118" s="3"/>
      <c r="O118" s="3">
        <v>3392</v>
      </c>
      <c r="P118" s="3"/>
      <c r="Q118" s="3">
        <v>1519405</v>
      </c>
      <c r="R118" s="3"/>
      <c r="S118" s="3">
        <v>2318578</v>
      </c>
      <c r="T118" s="3"/>
      <c r="U118" s="3">
        <v>64226</v>
      </c>
      <c r="V118" s="3"/>
      <c r="W118" s="3">
        <v>1024675</v>
      </c>
      <c r="X118" s="3"/>
      <c r="Y118" s="3">
        <v>315693</v>
      </c>
      <c r="Z118" s="3"/>
      <c r="AA118" s="3">
        <v>0</v>
      </c>
      <c r="AB118" s="3"/>
      <c r="AC118" s="3">
        <v>140688</v>
      </c>
      <c r="AD118" s="3"/>
      <c r="AE118" s="3" t="s">
        <v>326</v>
      </c>
      <c r="AF118" s="103"/>
      <c r="AG118" s="103" t="s">
        <v>190</v>
      </c>
      <c r="AH118" s="103"/>
      <c r="AI118" s="3">
        <v>0</v>
      </c>
      <c r="AJ118" s="3"/>
      <c r="AK118" s="3">
        <v>75113</v>
      </c>
      <c r="AL118" s="3"/>
      <c r="AM118" s="3"/>
      <c r="AN118" s="3"/>
      <c r="AO118" s="3">
        <v>0</v>
      </c>
      <c r="AP118" s="3"/>
      <c r="AQ118" s="3">
        <v>0</v>
      </c>
      <c r="AR118" s="3"/>
      <c r="AS118" s="3">
        <v>0</v>
      </c>
      <c r="AT118" s="3"/>
      <c r="AU118" s="3">
        <v>0</v>
      </c>
      <c r="AV118" s="3"/>
      <c r="AW118" s="3">
        <v>0</v>
      </c>
      <c r="AX118" s="3"/>
      <c r="AY118" s="3"/>
      <c r="AZ118" s="3"/>
      <c r="BA118" s="3">
        <v>0</v>
      </c>
      <c r="BB118" s="3"/>
      <c r="BC118" s="3">
        <f t="shared" si="2"/>
        <v>9143375</v>
      </c>
      <c r="BD118" s="3"/>
      <c r="BE118" s="3">
        <f>+'St of Act-Rev'!AG118-BC118</f>
        <v>202583</v>
      </c>
      <c r="BF118" s="3"/>
      <c r="BG118" s="3">
        <v>3309958</v>
      </c>
      <c r="BH118" s="3"/>
      <c r="BI118" s="3">
        <f t="shared" si="3"/>
        <v>3512541</v>
      </c>
      <c r="BJ118" s="3"/>
      <c r="BK118" s="3">
        <f>+'St of Net Position'!AE118-BI118</f>
        <v>0</v>
      </c>
    </row>
    <row r="119" spans="1:63" s="92" customFormat="1" hidden="1">
      <c r="A119" s="88" t="s">
        <v>300</v>
      </c>
      <c r="B119" s="89"/>
      <c r="C119" s="89" t="s">
        <v>191</v>
      </c>
      <c r="E119" s="89">
        <v>49551</v>
      </c>
      <c r="G119" s="88">
        <v>0</v>
      </c>
      <c r="H119" s="88"/>
      <c r="I119" s="88">
        <v>0</v>
      </c>
      <c r="J119" s="88"/>
      <c r="K119" s="88">
        <v>0</v>
      </c>
      <c r="L119" s="88"/>
      <c r="M119" s="88">
        <v>0</v>
      </c>
      <c r="N119" s="88"/>
      <c r="O119" s="88">
        <v>0</v>
      </c>
      <c r="P119" s="88"/>
      <c r="Q119" s="88">
        <v>0</v>
      </c>
      <c r="R119" s="88"/>
      <c r="S119" s="88">
        <v>0</v>
      </c>
      <c r="T119" s="88"/>
      <c r="U119" s="88">
        <v>0</v>
      </c>
      <c r="V119" s="88"/>
      <c r="W119" s="88">
        <v>0</v>
      </c>
      <c r="X119" s="88"/>
      <c r="Y119" s="88">
        <v>0</v>
      </c>
      <c r="Z119" s="88"/>
      <c r="AA119" s="88">
        <v>0</v>
      </c>
      <c r="AB119" s="88"/>
      <c r="AC119" s="88">
        <v>0</v>
      </c>
      <c r="AD119" s="88"/>
      <c r="AE119" s="88" t="s">
        <v>300</v>
      </c>
      <c r="AF119" s="89"/>
      <c r="AG119" s="89" t="s">
        <v>191</v>
      </c>
      <c r="AH119" s="89"/>
      <c r="AI119" s="88">
        <v>0</v>
      </c>
      <c r="AJ119" s="88"/>
      <c r="AK119" s="88">
        <v>0</v>
      </c>
      <c r="AL119" s="88"/>
      <c r="AM119" s="88"/>
      <c r="AN119" s="88"/>
      <c r="AO119" s="88">
        <v>0</v>
      </c>
      <c r="AP119" s="88"/>
      <c r="AQ119" s="88">
        <v>0</v>
      </c>
      <c r="AR119" s="88"/>
      <c r="AS119" s="88">
        <v>0</v>
      </c>
      <c r="AT119" s="88"/>
      <c r="AU119" s="88">
        <v>0</v>
      </c>
      <c r="AV119" s="88"/>
      <c r="AW119" s="88">
        <v>0</v>
      </c>
      <c r="AX119" s="88"/>
      <c r="AY119" s="88"/>
      <c r="AZ119" s="88"/>
      <c r="BA119" s="88">
        <v>0</v>
      </c>
      <c r="BB119" s="88"/>
      <c r="BC119" s="88">
        <f t="shared" si="2"/>
        <v>0</v>
      </c>
      <c r="BD119" s="88"/>
      <c r="BE119" s="88">
        <f>+'St of Act-Rev'!AG119-BC119</f>
        <v>0</v>
      </c>
      <c r="BF119" s="88"/>
      <c r="BG119" s="88">
        <v>0</v>
      </c>
      <c r="BH119" s="88"/>
      <c r="BI119" s="88">
        <f t="shared" si="3"/>
        <v>0</v>
      </c>
      <c r="BJ119" s="88"/>
      <c r="BK119" s="88">
        <f>+'St of Net Position'!AE119-BI119</f>
        <v>0</v>
      </c>
    </row>
    <row r="120" spans="1:63" s="65" customFormat="1" hidden="1">
      <c r="A120" s="58" t="s">
        <v>384</v>
      </c>
      <c r="B120" s="59"/>
      <c r="C120" s="59" t="s">
        <v>194</v>
      </c>
      <c r="E120" s="59">
        <v>49742</v>
      </c>
      <c r="G120" s="58">
        <v>0</v>
      </c>
      <c r="H120" s="58"/>
      <c r="I120" s="58">
        <v>0</v>
      </c>
      <c r="J120" s="58"/>
      <c r="K120" s="58">
        <v>0</v>
      </c>
      <c r="L120" s="58"/>
      <c r="M120" s="58">
        <v>0</v>
      </c>
      <c r="N120" s="58"/>
      <c r="O120" s="58">
        <v>0</v>
      </c>
      <c r="P120" s="58"/>
      <c r="Q120" s="58">
        <v>0</v>
      </c>
      <c r="R120" s="58"/>
      <c r="S120" s="58">
        <v>0</v>
      </c>
      <c r="T120" s="58"/>
      <c r="U120" s="58">
        <v>0</v>
      </c>
      <c r="V120" s="58"/>
      <c r="W120" s="58">
        <v>0</v>
      </c>
      <c r="X120" s="58"/>
      <c r="Y120" s="58">
        <v>0</v>
      </c>
      <c r="Z120" s="58"/>
      <c r="AA120" s="58">
        <v>0</v>
      </c>
      <c r="AB120" s="58"/>
      <c r="AC120" s="58">
        <v>0</v>
      </c>
      <c r="AD120" s="58"/>
      <c r="AE120" s="58" t="s">
        <v>384</v>
      </c>
      <c r="AF120" s="59"/>
      <c r="AG120" s="59" t="s">
        <v>194</v>
      </c>
      <c r="AH120" s="59"/>
      <c r="AI120" s="58">
        <v>0</v>
      </c>
      <c r="AJ120" s="58"/>
      <c r="AK120" s="58">
        <v>0</v>
      </c>
      <c r="AL120" s="58"/>
      <c r="AM120" s="58"/>
      <c r="AN120" s="58"/>
      <c r="AO120" s="58">
        <v>0</v>
      </c>
      <c r="AP120" s="58"/>
      <c r="AQ120" s="58">
        <v>0</v>
      </c>
      <c r="AR120" s="58"/>
      <c r="AS120" s="58">
        <v>0</v>
      </c>
      <c r="AT120" s="58"/>
      <c r="AU120" s="58">
        <v>0</v>
      </c>
      <c r="AV120" s="58"/>
      <c r="AW120" s="58">
        <v>0</v>
      </c>
      <c r="AX120" s="58"/>
      <c r="AY120" s="58"/>
      <c r="AZ120" s="58"/>
      <c r="BA120" s="58">
        <v>0</v>
      </c>
      <c r="BB120" s="58"/>
      <c r="BC120" s="58">
        <f t="shared" si="2"/>
        <v>0</v>
      </c>
      <c r="BD120" s="58"/>
      <c r="BE120" s="58">
        <f>+'St of Act-Rev'!AG120-BC120</f>
        <v>0</v>
      </c>
      <c r="BF120" s="58"/>
      <c r="BG120" s="58">
        <v>0</v>
      </c>
      <c r="BH120" s="58"/>
      <c r="BI120" s="58">
        <f t="shared" si="3"/>
        <v>0</v>
      </c>
      <c r="BJ120" s="58"/>
      <c r="BK120" s="58">
        <f>+'St of Net Position'!AE120-BI120</f>
        <v>0</v>
      </c>
    </row>
    <row r="121" spans="1:63" s="102" customFormat="1">
      <c r="A121" s="3" t="s">
        <v>263</v>
      </c>
      <c r="B121" s="103"/>
      <c r="C121" s="103" t="s">
        <v>192</v>
      </c>
      <c r="E121" s="103">
        <v>125658</v>
      </c>
      <c r="G121" s="3">
        <v>309532</v>
      </c>
      <c r="H121" s="3"/>
      <c r="I121" s="3">
        <v>4197433</v>
      </c>
      <c r="J121" s="3"/>
      <c r="K121" s="3">
        <v>0</v>
      </c>
      <c r="L121" s="3"/>
      <c r="M121" s="3">
        <v>153439</v>
      </c>
      <c r="N121" s="3"/>
      <c r="O121" s="3">
        <v>0</v>
      </c>
      <c r="P121" s="3"/>
      <c r="Q121" s="3">
        <v>2155090</v>
      </c>
      <c r="R121" s="3"/>
      <c r="S121" s="3">
        <v>1586147</v>
      </c>
      <c r="T121" s="3"/>
      <c r="U121" s="3">
        <v>32386</v>
      </c>
      <c r="V121" s="3"/>
      <c r="W121" s="3">
        <v>685907</v>
      </c>
      <c r="X121" s="3"/>
      <c r="Y121" s="3">
        <v>237411</v>
      </c>
      <c r="Z121" s="3"/>
      <c r="AA121" s="3">
        <v>0</v>
      </c>
      <c r="AB121" s="3"/>
      <c r="AC121" s="3">
        <v>243328</v>
      </c>
      <c r="AD121" s="3"/>
      <c r="AE121" s="3" t="s">
        <v>263</v>
      </c>
      <c r="AF121" s="103"/>
      <c r="AG121" s="103" t="s">
        <v>192</v>
      </c>
      <c r="AH121" s="103"/>
      <c r="AI121" s="3">
        <v>0</v>
      </c>
      <c r="AJ121" s="3"/>
      <c r="AK121" s="3">
        <v>171858</v>
      </c>
      <c r="AL121" s="3"/>
      <c r="AM121" s="3"/>
      <c r="AN121" s="3"/>
      <c r="AO121" s="3">
        <v>0</v>
      </c>
      <c r="AP121" s="3"/>
      <c r="AQ121" s="3">
        <v>0</v>
      </c>
      <c r="AR121" s="3"/>
      <c r="AS121" s="3">
        <v>0</v>
      </c>
      <c r="AT121" s="3"/>
      <c r="AU121" s="3">
        <v>0</v>
      </c>
      <c r="AV121" s="3"/>
      <c r="AW121" s="3">
        <v>0</v>
      </c>
      <c r="AX121" s="3"/>
      <c r="AY121" s="3"/>
      <c r="AZ121" s="3"/>
      <c r="BA121" s="3">
        <v>0</v>
      </c>
      <c r="BB121" s="3"/>
      <c r="BC121" s="3">
        <f t="shared" si="2"/>
        <v>9772531</v>
      </c>
      <c r="BD121" s="3"/>
      <c r="BE121" s="3">
        <f>+'St of Act-Rev'!AG121-BC121</f>
        <v>4194313</v>
      </c>
      <c r="BF121" s="3"/>
      <c r="BG121" s="3">
        <v>1044632</v>
      </c>
      <c r="BH121" s="3"/>
      <c r="BI121" s="3">
        <f t="shared" si="3"/>
        <v>5238945</v>
      </c>
      <c r="BJ121" s="3"/>
      <c r="BK121" s="3">
        <f>+'St of Net Position'!AE121-BI121</f>
        <v>0</v>
      </c>
    </row>
    <row r="122" spans="1:63" s="102" customFormat="1">
      <c r="A122" s="3" t="s">
        <v>262</v>
      </c>
      <c r="B122" s="3"/>
      <c r="C122" s="3" t="s">
        <v>155</v>
      </c>
      <c r="E122" s="103">
        <v>46375</v>
      </c>
      <c r="G122" s="3">
        <v>226303</v>
      </c>
      <c r="H122" s="3"/>
      <c r="I122" s="3">
        <v>599179</v>
      </c>
      <c r="J122" s="3"/>
      <c r="K122" s="3">
        <v>0</v>
      </c>
      <c r="L122" s="3"/>
      <c r="M122" s="3">
        <v>0</v>
      </c>
      <c r="N122" s="3"/>
      <c r="O122" s="3">
        <v>0</v>
      </c>
      <c r="P122" s="3"/>
      <c r="Q122" s="3">
        <v>850717</v>
      </c>
      <c r="R122" s="3"/>
      <c r="S122" s="3">
        <v>1256562</v>
      </c>
      <c r="T122" s="3"/>
      <c r="U122" s="3">
        <v>0</v>
      </c>
      <c r="V122" s="3"/>
      <c r="W122" s="3">
        <f>45755+509739</f>
        <v>555494</v>
      </c>
      <c r="X122" s="3"/>
      <c r="Y122" s="3">
        <v>258757</v>
      </c>
      <c r="Z122" s="3"/>
      <c r="AA122" s="3">
        <v>0</v>
      </c>
      <c r="AB122" s="3"/>
      <c r="AC122" s="3">
        <v>66111</v>
      </c>
      <c r="AD122" s="3"/>
      <c r="AE122" s="3" t="s">
        <v>262</v>
      </c>
      <c r="AF122" s="3"/>
      <c r="AG122" s="3" t="s">
        <v>155</v>
      </c>
      <c r="AH122" s="3"/>
      <c r="AI122" s="3">
        <v>0</v>
      </c>
      <c r="AJ122" s="3"/>
      <c r="AK122" s="3">
        <v>320957</v>
      </c>
      <c r="AL122" s="3"/>
      <c r="AM122" s="3"/>
      <c r="AN122" s="3"/>
      <c r="AO122" s="3">
        <v>0</v>
      </c>
      <c r="AP122" s="3"/>
      <c r="AQ122" s="3">
        <v>0</v>
      </c>
      <c r="AR122" s="3"/>
      <c r="AS122" s="3">
        <v>0</v>
      </c>
      <c r="AT122" s="3"/>
      <c r="AU122" s="3">
        <v>0</v>
      </c>
      <c r="AV122" s="3"/>
      <c r="AW122" s="3">
        <v>0</v>
      </c>
      <c r="AX122" s="3"/>
      <c r="AY122" s="3"/>
      <c r="AZ122" s="3"/>
      <c r="BA122" s="3">
        <v>0</v>
      </c>
      <c r="BB122" s="3"/>
      <c r="BC122" s="3">
        <f>SUM(G122:BB122)</f>
        <v>4134080</v>
      </c>
      <c r="BD122" s="3"/>
      <c r="BE122" s="3">
        <f>+'St of Act-Rev'!AG122-BC122</f>
        <v>-313591</v>
      </c>
      <c r="BF122" s="3"/>
      <c r="BG122" s="3">
        <v>2678246</v>
      </c>
      <c r="BH122" s="3"/>
      <c r="BI122" s="3">
        <f>+BE122+BG122</f>
        <v>2364655</v>
      </c>
      <c r="BJ122" s="3"/>
      <c r="BK122" s="3">
        <f>+'St of Net Position'!AE122-BI122</f>
        <v>0</v>
      </c>
    </row>
    <row r="123" spans="1:63" s="102" customFormat="1">
      <c r="A123" s="103" t="s">
        <v>330</v>
      </c>
      <c r="B123" s="103"/>
      <c r="C123" s="103" t="s">
        <v>195</v>
      </c>
      <c r="E123" s="103">
        <v>49825</v>
      </c>
      <c r="G123" s="3">
        <v>47114</v>
      </c>
      <c r="H123" s="3"/>
      <c r="I123" s="3">
        <v>5521341</v>
      </c>
      <c r="J123" s="3"/>
      <c r="K123" s="3">
        <v>0</v>
      </c>
      <c r="L123" s="3"/>
      <c r="M123" s="3">
        <v>0</v>
      </c>
      <c r="N123" s="3"/>
      <c r="O123" s="3">
        <v>0</v>
      </c>
      <c r="P123" s="3"/>
      <c r="Q123" s="3">
        <v>3495113</v>
      </c>
      <c r="R123" s="3"/>
      <c r="S123" s="3">
        <v>6376412</v>
      </c>
      <c r="T123" s="3"/>
      <c r="U123" s="3">
        <v>24276</v>
      </c>
      <c r="V123" s="3"/>
      <c r="W123" s="3">
        <v>3291423</v>
      </c>
      <c r="X123" s="3"/>
      <c r="Y123" s="3">
        <v>504364</v>
      </c>
      <c r="Z123" s="3"/>
      <c r="AA123" s="3">
        <v>723965</v>
      </c>
      <c r="AB123" s="3"/>
      <c r="AC123" s="3">
        <v>411764</v>
      </c>
      <c r="AD123" s="3"/>
      <c r="AE123" s="103" t="s">
        <v>330</v>
      </c>
      <c r="AF123" s="103"/>
      <c r="AG123" s="103" t="s">
        <v>195</v>
      </c>
      <c r="AH123" s="103"/>
      <c r="AI123" s="3">
        <v>0</v>
      </c>
      <c r="AJ123" s="3"/>
      <c r="AK123" s="3">
        <v>45269</v>
      </c>
      <c r="AL123" s="3"/>
      <c r="AM123" s="3"/>
      <c r="AN123" s="3"/>
      <c r="AO123" s="3">
        <v>29556</v>
      </c>
      <c r="AP123" s="3"/>
      <c r="AQ123" s="3">
        <v>0</v>
      </c>
      <c r="AR123" s="3"/>
      <c r="AS123" s="3">
        <v>0</v>
      </c>
      <c r="AT123" s="3"/>
      <c r="AU123" s="3">
        <v>0</v>
      </c>
      <c r="AV123" s="3"/>
      <c r="AW123" s="3">
        <v>0</v>
      </c>
      <c r="AX123" s="3"/>
      <c r="AY123" s="3"/>
      <c r="AZ123" s="3"/>
      <c r="BA123" s="3">
        <v>0</v>
      </c>
      <c r="BB123" s="3"/>
      <c r="BC123" s="3">
        <f t="shared" si="2"/>
        <v>20470597</v>
      </c>
      <c r="BD123" s="3"/>
      <c r="BE123" s="3">
        <f>+'St of Act-Rev'!AG123-BC123</f>
        <v>519482</v>
      </c>
      <c r="BF123" s="3"/>
      <c r="BG123" s="3">
        <v>1833218</v>
      </c>
      <c r="BH123" s="3"/>
      <c r="BI123" s="3">
        <f t="shared" si="3"/>
        <v>2352700</v>
      </c>
      <c r="BJ123" s="3"/>
      <c r="BK123" s="3">
        <f>+'St of Net Position'!AE123-BI123</f>
        <v>0</v>
      </c>
    </row>
    <row r="124" spans="1:63" s="102" customFormat="1">
      <c r="A124" s="3" t="s">
        <v>331</v>
      </c>
      <c r="B124" s="103"/>
      <c r="C124" s="103" t="s">
        <v>196</v>
      </c>
      <c r="E124" s="103">
        <v>49965</v>
      </c>
      <c r="G124" s="3">
        <v>546062</v>
      </c>
      <c r="H124" s="3"/>
      <c r="I124" s="3">
        <v>6756094</v>
      </c>
      <c r="J124" s="3"/>
      <c r="K124" s="3">
        <v>68790</v>
      </c>
      <c r="L124" s="3"/>
      <c r="M124" s="3">
        <v>0</v>
      </c>
      <c r="N124" s="3"/>
      <c r="O124" s="3">
        <v>0</v>
      </c>
      <c r="P124" s="3"/>
      <c r="Q124" s="3">
        <v>3754776</v>
      </c>
      <c r="R124" s="3"/>
      <c r="S124" s="3">
        <v>4449228</v>
      </c>
      <c r="T124" s="3"/>
      <c r="U124" s="3">
        <v>56629</v>
      </c>
      <c r="V124" s="3"/>
      <c r="W124" s="3">
        <v>1013927</v>
      </c>
      <c r="X124" s="3"/>
      <c r="Y124" s="3">
        <v>315483</v>
      </c>
      <c r="Z124" s="3"/>
      <c r="AA124" s="3">
        <v>32837</v>
      </c>
      <c r="AB124" s="3"/>
      <c r="AC124" s="3">
        <v>561598</v>
      </c>
      <c r="AD124" s="3"/>
      <c r="AE124" s="3" t="s">
        <v>331</v>
      </c>
      <c r="AF124" s="103"/>
      <c r="AG124" s="103" t="s">
        <v>196</v>
      </c>
      <c r="AH124" s="103"/>
      <c r="AI124" s="3">
        <v>0</v>
      </c>
      <c r="AJ124" s="3"/>
      <c r="AK124" s="3">
        <v>123273</v>
      </c>
      <c r="AL124" s="3"/>
      <c r="AM124" s="3"/>
      <c r="AN124" s="3"/>
      <c r="AO124" s="3">
        <v>0</v>
      </c>
      <c r="AP124" s="3"/>
      <c r="AQ124" s="3">
        <v>0</v>
      </c>
      <c r="AR124" s="3"/>
      <c r="AS124" s="3">
        <v>56208</v>
      </c>
      <c r="AT124" s="3"/>
      <c r="AU124" s="3">
        <v>0</v>
      </c>
      <c r="AV124" s="3"/>
      <c r="AW124" s="3">
        <v>0</v>
      </c>
      <c r="AX124" s="3"/>
      <c r="AY124" s="3"/>
      <c r="AZ124" s="3"/>
      <c r="BA124" s="3">
        <v>37763</v>
      </c>
      <c r="BB124" s="3"/>
      <c r="BC124" s="3">
        <f t="shared" si="2"/>
        <v>17772668</v>
      </c>
      <c r="BD124" s="3"/>
      <c r="BE124" s="3">
        <f>+'St of Act-Rev'!AG124-BC124</f>
        <v>-1167859</v>
      </c>
      <c r="BF124" s="3"/>
      <c r="BG124" s="3">
        <v>7342138</v>
      </c>
      <c r="BH124" s="3"/>
      <c r="BI124" s="3">
        <f t="shared" si="3"/>
        <v>6174279</v>
      </c>
      <c r="BJ124" s="3"/>
      <c r="BK124" s="3">
        <f>+'St of Net Position'!AE124-BI124</f>
        <v>0</v>
      </c>
    </row>
    <row r="125" spans="1:63" s="65" customFormat="1" hidden="1">
      <c r="A125" s="58" t="s">
        <v>353</v>
      </c>
      <c r="B125" s="59"/>
      <c r="C125" s="59" t="s">
        <v>203</v>
      </c>
      <c r="E125" s="59">
        <v>50526</v>
      </c>
      <c r="G125" s="58">
        <v>0</v>
      </c>
      <c r="H125" s="58"/>
      <c r="I125" s="58">
        <v>0</v>
      </c>
      <c r="J125" s="58"/>
      <c r="K125" s="58">
        <v>0</v>
      </c>
      <c r="L125" s="58"/>
      <c r="M125" s="58">
        <v>0</v>
      </c>
      <c r="N125" s="58"/>
      <c r="O125" s="58">
        <v>0</v>
      </c>
      <c r="P125" s="58"/>
      <c r="Q125" s="58">
        <v>0</v>
      </c>
      <c r="R125" s="58"/>
      <c r="S125" s="58">
        <v>0</v>
      </c>
      <c r="T125" s="58"/>
      <c r="U125" s="58">
        <v>0</v>
      </c>
      <c r="V125" s="58"/>
      <c r="W125" s="58">
        <v>0</v>
      </c>
      <c r="X125" s="58"/>
      <c r="Y125" s="58">
        <v>0</v>
      </c>
      <c r="Z125" s="58"/>
      <c r="AA125" s="58">
        <v>0</v>
      </c>
      <c r="AB125" s="58"/>
      <c r="AC125" s="58">
        <v>0</v>
      </c>
      <c r="AD125" s="58"/>
      <c r="AE125" s="58" t="s">
        <v>353</v>
      </c>
      <c r="AF125" s="59"/>
      <c r="AG125" s="59" t="s">
        <v>203</v>
      </c>
      <c r="AH125" s="59"/>
      <c r="AI125" s="58">
        <v>0</v>
      </c>
      <c r="AJ125" s="58"/>
      <c r="AK125" s="58">
        <v>0</v>
      </c>
      <c r="AL125" s="58"/>
      <c r="AM125" s="58"/>
      <c r="AN125" s="58"/>
      <c r="AO125" s="58">
        <v>0</v>
      </c>
      <c r="AP125" s="58"/>
      <c r="AQ125" s="58">
        <v>0</v>
      </c>
      <c r="AR125" s="58"/>
      <c r="AS125" s="58">
        <v>0</v>
      </c>
      <c r="AT125" s="58"/>
      <c r="AU125" s="58">
        <v>0</v>
      </c>
      <c r="AV125" s="58"/>
      <c r="AW125" s="58">
        <v>0</v>
      </c>
      <c r="AX125" s="58"/>
      <c r="AY125" s="58"/>
      <c r="AZ125" s="58"/>
      <c r="BA125" s="58">
        <v>0</v>
      </c>
      <c r="BB125" s="58"/>
      <c r="BC125" s="58">
        <f t="shared" si="2"/>
        <v>0</v>
      </c>
      <c r="BD125" s="58"/>
      <c r="BE125" s="58">
        <f>+'St of Act-Rev'!AG125-BC125</f>
        <v>0</v>
      </c>
      <c r="BF125" s="58"/>
      <c r="BG125" s="58">
        <v>0</v>
      </c>
      <c r="BH125" s="58"/>
      <c r="BI125" s="58">
        <f t="shared" si="3"/>
        <v>0</v>
      </c>
      <c r="BJ125" s="58"/>
      <c r="BK125" s="58">
        <f>+'St of Net Position'!AE125-BI125</f>
        <v>0</v>
      </c>
    </row>
    <row r="126" spans="1:63" s="102" customFormat="1">
      <c r="A126" s="3" t="s">
        <v>333</v>
      </c>
      <c r="B126" s="103"/>
      <c r="C126" s="103" t="s">
        <v>197</v>
      </c>
      <c r="E126" s="103">
        <v>50088</v>
      </c>
      <c r="G126" s="3">
        <v>518465</v>
      </c>
      <c r="H126" s="3"/>
      <c r="I126" s="3">
        <v>6535229</v>
      </c>
      <c r="J126" s="3"/>
      <c r="K126" s="3">
        <v>0</v>
      </c>
      <c r="L126" s="3"/>
      <c r="M126" s="3">
        <v>0</v>
      </c>
      <c r="N126" s="3"/>
      <c r="O126" s="3">
        <v>0</v>
      </c>
      <c r="P126" s="3"/>
      <c r="Q126" s="3">
        <v>3934845</v>
      </c>
      <c r="R126" s="3"/>
      <c r="S126" s="3">
        <v>2259346</v>
      </c>
      <c r="T126" s="3"/>
      <c r="U126" s="3">
        <v>69919</v>
      </c>
      <c r="V126" s="3"/>
      <c r="W126" s="3">
        <v>1890139</v>
      </c>
      <c r="X126" s="3"/>
      <c r="Y126" s="3">
        <v>321086</v>
      </c>
      <c r="Z126" s="3"/>
      <c r="AA126" s="3">
        <v>31605</v>
      </c>
      <c r="AB126" s="3"/>
      <c r="AC126" s="3">
        <v>208431</v>
      </c>
      <c r="AD126" s="3"/>
      <c r="AE126" s="3" t="s">
        <v>333</v>
      </c>
      <c r="AF126" s="103"/>
      <c r="AG126" s="103" t="s">
        <v>197</v>
      </c>
      <c r="AH126" s="103"/>
      <c r="AI126" s="3">
        <v>14574</v>
      </c>
      <c r="AJ126" s="3"/>
      <c r="AK126" s="3">
        <v>0</v>
      </c>
      <c r="AL126" s="3"/>
      <c r="AM126" s="3"/>
      <c r="AN126" s="3"/>
      <c r="AO126" s="3">
        <v>0</v>
      </c>
      <c r="AP126" s="3"/>
      <c r="AQ126" s="3">
        <v>0</v>
      </c>
      <c r="AR126" s="3"/>
      <c r="AS126" s="3">
        <v>0</v>
      </c>
      <c r="AT126" s="3"/>
      <c r="AU126" s="3">
        <v>1298</v>
      </c>
      <c r="AV126" s="3"/>
      <c r="AW126" s="3">
        <v>0</v>
      </c>
      <c r="AX126" s="3"/>
      <c r="AY126" s="3"/>
      <c r="AZ126" s="3"/>
      <c r="BA126" s="3">
        <v>75125</v>
      </c>
      <c r="BB126" s="3"/>
      <c r="BC126" s="3">
        <f t="shared" si="2"/>
        <v>15860062</v>
      </c>
      <c r="BD126" s="3"/>
      <c r="BE126" s="3">
        <f>+'St of Act-Rev'!AG126-BC126</f>
        <v>-119812</v>
      </c>
      <c r="BF126" s="3"/>
      <c r="BG126" s="3">
        <v>4644143</v>
      </c>
      <c r="BH126" s="3"/>
      <c r="BI126" s="3">
        <f t="shared" si="3"/>
        <v>4524331</v>
      </c>
      <c r="BJ126" s="3"/>
      <c r="BK126" s="3">
        <f>+'St of Net Position'!AE126-BI126</f>
        <v>0</v>
      </c>
    </row>
    <row r="127" spans="1:63" s="92" customFormat="1" hidden="1">
      <c r="A127" s="88" t="s">
        <v>301</v>
      </c>
      <c r="B127" s="89"/>
      <c r="C127" s="89" t="s">
        <v>198</v>
      </c>
      <c r="E127" s="89">
        <v>50260</v>
      </c>
      <c r="G127" s="88">
        <v>0</v>
      </c>
      <c r="H127" s="88"/>
      <c r="I127" s="88">
        <v>0</v>
      </c>
      <c r="J127" s="88"/>
      <c r="K127" s="88">
        <v>0</v>
      </c>
      <c r="L127" s="88"/>
      <c r="M127" s="88">
        <v>0</v>
      </c>
      <c r="N127" s="88"/>
      <c r="O127" s="88">
        <v>0</v>
      </c>
      <c r="P127" s="88"/>
      <c r="Q127" s="88">
        <v>0</v>
      </c>
      <c r="R127" s="88"/>
      <c r="S127" s="88">
        <v>0</v>
      </c>
      <c r="T127" s="88"/>
      <c r="U127" s="88">
        <v>0</v>
      </c>
      <c r="V127" s="88"/>
      <c r="W127" s="88">
        <v>0</v>
      </c>
      <c r="X127" s="88"/>
      <c r="Y127" s="88">
        <v>0</v>
      </c>
      <c r="Z127" s="88"/>
      <c r="AA127" s="88">
        <v>0</v>
      </c>
      <c r="AB127" s="88"/>
      <c r="AC127" s="88">
        <v>0</v>
      </c>
      <c r="AD127" s="88"/>
      <c r="AE127" s="88" t="s">
        <v>301</v>
      </c>
      <c r="AF127" s="89"/>
      <c r="AG127" s="89" t="s">
        <v>198</v>
      </c>
      <c r="AH127" s="89"/>
      <c r="AI127" s="88">
        <v>0</v>
      </c>
      <c r="AJ127" s="88"/>
      <c r="AK127" s="88">
        <v>0</v>
      </c>
      <c r="AL127" s="88"/>
      <c r="AM127" s="88"/>
      <c r="AN127" s="88"/>
      <c r="AO127" s="88">
        <v>0</v>
      </c>
      <c r="AP127" s="88"/>
      <c r="AQ127" s="88">
        <v>0</v>
      </c>
      <c r="AR127" s="88"/>
      <c r="AS127" s="88">
        <v>0</v>
      </c>
      <c r="AT127" s="88"/>
      <c r="AU127" s="88">
        <v>0</v>
      </c>
      <c r="AV127" s="88"/>
      <c r="AW127" s="88">
        <v>0</v>
      </c>
      <c r="AX127" s="88"/>
      <c r="AY127" s="88"/>
      <c r="AZ127" s="88"/>
      <c r="BA127" s="88">
        <v>0</v>
      </c>
      <c r="BB127" s="88"/>
      <c r="BC127" s="88">
        <f t="shared" si="2"/>
        <v>0</v>
      </c>
      <c r="BD127" s="88"/>
      <c r="BE127" s="88">
        <f>+'St of Act-Rev'!AG127-BC127</f>
        <v>0</v>
      </c>
      <c r="BF127" s="88"/>
      <c r="BG127" s="88">
        <v>0</v>
      </c>
      <c r="BH127" s="88"/>
      <c r="BI127" s="88">
        <f t="shared" si="3"/>
        <v>0</v>
      </c>
      <c r="BJ127" s="88"/>
      <c r="BK127" s="88">
        <f>+'St of Net Position'!AE127-BI127</f>
        <v>0</v>
      </c>
    </row>
    <row r="128" spans="1:63" s="65" customFormat="1" hidden="1">
      <c r="A128" s="58" t="s">
        <v>335</v>
      </c>
      <c r="B128" s="59"/>
      <c r="C128" s="59" t="s">
        <v>201</v>
      </c>
      <c r="E128" s="59">
        <v>50401</v>
      </c>
      <c r="G128" s="58">
        <v>0</v>
      </c>
      <c r="H128" s="58"/>
      <c r="I128" s="58">
        <v>0</v>
      </c>
      <c r="J128" s="58"/>
      <c r="K128" s="58">
        <v>0</v>
      </c>
      <c r="L128" s="58"/>
      <c r="M128" s="58">
        <v>0</v>
      </c>
      <c r="N128" s="58"/>
      <c r="O128" s="58">
        <v>0</v>
      </c>
      <c r="P128" s="58"/>
      <c r="Q128" s="58">
        <v>0</v>
      </c>
      <c r="R128" s="58"/>
      <c r="S128" s="58">
        <v>0</v>
      </c>
      <c r="T128" s="58"/>
      <c r="U128" s="58">
        <v>0</v>
      </c>
      <c r="V128" s="58"/>
      <c r="W128" s="58">
        <v>0</v>
      </c>
      <c r="X128" s="58"/>
      <c r="Y128" s="58">
        <v>0</v>
      </c>
      <c r="Z128" s="58"/>
      <c r="AA128" s="58">
        <v>0</v>
      </c>
      <c r="AB128" s="58"/>
      <c r="AC128" s="58">
        <v>0</v>
      </c>
      <c r="AD128" s="58"/>
      <c r="AE128" s="58" t="s">
        <v>335</v>
      </c>
      <c r="AF128" s="59"/>
      <c r="AG128" s="59" t="s">
        <v>201</v>
      </c>
      <c r="AH128" s="59"/>
      <c r="AI128" s="58">
        <v>0</v>
      </c>
      <c r="AJ128" s="58"/>
      <c r="AK128" s="58">
        <v>0</v>
      </c>
      <c r="AL128" s="58"/>
      <c r="AM128" s="58"/>
      <c r="AN128" s="58"/>
      <c r="AO128" s="58">
        <v>0</v>
      </c>
      <c r="AP128" s="58"/>
      <c r="AQ128" s="58">
        <v>0</v>
      </c>
      <c r="AR128" s="58"/>
      <c r="AS128" s="58">
        <v>0</v>
      </c>
      <c r="AT128" s="58"/>
      <c r="AU128" s="58">
        <v>0</v>
      </c>
      <c r="AV128" s="58"/>
      <c r="AW128" s="58">
        <v>0</v>
      </c>
      <c r="AX128" s="58"/>
      <c r="AY128" s="58"/>
      <c r="AZ128" s="58"/>
      <c r="BA128" s="58">
        <v>0</v>
      </c>
      <c r="BB128" s="58"/>
      <c r="BC128" s="58">
        <f t="shared" si="2"/>
        <v>0</v>
      </c>
      <c r="BD128" s="58"/>
      <c r="BE128" s="58">
        <f>+'St of Act-Rev'!AG128-BC128</f>
        <v>0</v>
      </c>
      <c r="BF128" s="58"/>
      <c r="BG128" s="58">
        <v>0</v>
      </c>
      <c r="BH128" s="58"/>
      <c r="BI128" s="58">
        <f t="shared" si="3"/>
        <v>0</v>
      </c>
      <c r="BJ128" s="58"/>
      <c r="BK128" s="58">
        <f>+'St of Net Position'!AE128-BI128</f>
        <v>0</v>
      </c>
    </row>
    <row r="129" spans="1:63" s="92" customFormat="1" hidden="1">
      <c r="A129" s="88" t="s">
        <v>302</v>
      </c>
      <c r="B129" s="89"/>
      <c r="C129" s="89" t="s">
        <v>202</v>
      </c>
      <c r="E129" s="89">
        <v>50476</v>
      </c>
      <c r="G129" s="94">
        <v>0</v>
      </c>
      <c r="H129" s="94"/>
      <c r="I129" s="94">
        <v>0</v>
      </c>
      <c r="J129" s="94"/>
      <c r="K129" s="94">
        <v>0</v>
      </c>
      <c r="L129" s="94"/>
      <c r="M129" s="94">
        <v>0</v>
      </c>
      <c r="N129" s="94"/>
      <c r="O129" s="94">
        <v>0</v>
      </c>
      <c r="P129" s="94"/>
      <c r="Q129" s="94">
        <v>0</v>
      </c>
      <c r="R129" s="94"/>
      <c r="S129" s="94">
        <v>0</v>
      </c>
      <c r="T129" s="94"/>
      <c r="U129" s="94">
        <v>0</v>
      </c>
      <c r="V129" s="94"/>
      <c r="W129" s="94">
        <v>0</v>
      </c>
      <c r="X129" s="94"/>
      <c r="Y129" s="94">
        <v>0</v>
      </c>
      <c r="Z129" s="94"/>
      <c r="AA129" s="94">
        <v>0</v>
      </c>
      <c r="AB129" s="94"/>
      <c r="AC129" s="94">
        <v>0</v>
      </c>
      <c r="AE129" s="88" t="s">
        <v>302</v>
      </c>
      <c r="AF129" s="89"/>
      <c r="AG129" s="89" t="s">
        <v>202</v>
      </c>
      <c r="AI129" s="94">
        <v>0</v>
      </c>
      <c r="AJ129" s="94"/>
      <c r="AK129" s="94">
        <v>0</v>
      </c>
      <c r="AL129" s="94"/>
      <c r="AM129" s="94"/>
      <c r="AN129" s="94"/>
      <c r="AO129" s="94">
        <v>0</v>
      </c>
      <c r="AP129" s="94"/>
      <c r="AQ129" s="94">
        <v>0</v>
      </c>
      <c r="AR129" s="94"/>
      <c r="AS129" s="94">
        <v>0</v>
      </c>
      <c r="AT129" s="94"/>
      <c r="AU129" s="94">
        <v>0</v>
      </c>
      <c r="AV129" s="94"/>
      <c r="AW129" s="94">
        <v>0</v>
      </c>
      <c r="AX129" s="94"/>
      <c r="AY129" s="94"/>
      <c r="AZ129" s="94"/>
      <c r="BA129" s="94">
        <v>0</v>
      </c>
      <c r="BB129" s="88"/>
      <c r="BC129" s="88">
        <f t="shared" si="2"/>
        <v>0</v>
      </c>
      <c r="BD129" s="88"/>
      <c r="BE129" s="88">
        <f>+'St of Act-Rev'!AG129-BC129</f>
        <v>0</v>
      </c>
      <c r="BF129" s="88"/>
      <c r="BG129" s="88">
        <v>0</v>
      </c>
      <c r="BH129" s="88"/>
      <c r="BI129" s="88">
        <f t="shared" si="3"/>
        <v>0</v>
      </c>
      <c r="BJ129" s="88"/>
      <c r="BK129" s="88">
        <f>+'St of Net Position'!AE129-BI129</f>
        <v>0</v>
      </c>
    </row>
    <row r="130" spans="1:63" s="102" customFormat="1">
      <c r="A130" s="3" t="s">
        <v>199</v>
      </c>
      <c r="B130" s="103"/>
      <c r="C130" s="103" t="s">
        <v>258</v>
      </c>
      <c r="E130" s="103">
        <v>134999</v>
      </c>
      <c r="G130" s="3">
        <v>157223</v>
      </c>
      <c r="H130" s="3"/>
      <c r="I130" s="3">
        <v>1270960</v>
      </c>
      <c r="J130" s="3"/>
      <c r="K130" s="3">
        <v>0</v>
      </c>
      <c r="L130" s="3"/>
      <c r="M130" s="3">
        <v>0</v>
      </c>
      <c r="N130" s="3"/>
      <c r="O130" s="3">
        <v>0</v>
      </c>
      <c r="P130" s="3"/>
      <c r="Q130" s="3">
        <v>979245</v>
      </c>
      <c r="R130" s="3"/>
      <c r="S130" s="3">
        <v>1054125</v>
      </c>
      <c r="T130" s="3"/>
      <c r="U130" s="3">
        <v>51169</v>
      </c>
      <c r="V130" s="3"/>
      <c r="W130" s="3">
        <v>395320</v>
      </c>
      <c r="X130" s="3"/>
      <c r="Y130" s="3">
        <v>225588</v>
      </c>
      <c r="Z130" s="3"/>
      <c r="AA130" s="3">
        <v>0</v>
      </c>
      <c r="AB130" s="3"/>
      <c r="AC130" s="3">
        <v>12278</v>
      </c>
      <c r="AD130" s="3"/>
      <c r="AE130" s="3" t="s">
        <v>199</v>
      </c>
      <c r="AF130" s="103"/>
      <c r="AG130" s="103" t="s">
        <v>258</v>
      </c>
      <c r="AH130" s="103"/>
      <c r="AI130" s="3">
        <v>0</v>
      </c>
      <c r="AJ130" s="3"/>
      <c r="AK130" s="3">
        <v>18138</v>
      </c>
      <c r="AL130" s="3"/>
      <c r="AM130" s="3"/>
      <c r="AN130" s="3"/>
      <c r="AO130" s="3">
        <v>0</v>
      </c>
      <c r="AP130" s="3"/>
      <c r="AQ130" s="3">
        <v>375</v>
      </c>
      <c r="AR130" s="3"/>
      <c r="AS130" s="3">
        <v>0</v>
      </c>
      <c r="AT130" s="3"/>
      <c r="AU130" s="3">
        <v>0</v>
      </c>
      <c r="AV130" s="3"/>
      <c r="AW130" s="3">
        <v>0</v>
      </c>
      <c r="AX130" s="3"/>
      <c r="AY130" s="3"/>
      <c r="AZ130" s="3"/>
      <c r="BA130" s="3">
        <v>407942</v>
      </c>
      <c r="BB130" s="3"/>
      <c r="BC130" s="3">
        <f>SUM(G130:BB130)</f>
        <v>4572363</v>
      </c>
      <c r="BD130" s="3"/>
      <c r="BE130" s="3">
        <f>+'St of Act-Rev'!AG130-BC130</f>
        <v>-233111</v>
      </c>
      <c r="BF130" s="3"/>
      <c r="BG130" s="3">
        <v>247917</v>
      </c>
      <c r="BH130" s="3"/>
      <c r="BI130" s="3">
        <f t="shared" si="3"/>
        <v>14806</v>
      </c>
      <c r="BJ130" s="3"/>
      <c r="BK130" s="3">
        <f>+'St of Net Position'!AE130-BI130</f>
        <v>0</v>
      </c>
    </row>
    <row r="131" spans="1:63" s="102" customFormat="1">
      <c r="A131" s="3" t="s">
        <v>334</v>
      </c>
      <c r="B131" s="103"/>
      <c r="C131" s="103" t="s">
        <v>204</v>
      </c>
      <c r="E131" s="103">
        <v>50666</v>
      </c>
      <c r="G131" s="3">
        <v>1660457</v>
      </c>
      <c r="H131" s="3"/>
      <c r="I131" s="3">
        <v>4230744</v>
      </c>
      <c r="J131" s="3"/>
      <c r="K131" s="3">
        <v>0</v>
      </c>
      <c r="L131" s="3"/>
      <c r="M131" s="3">
        <v>14107</v>
      </c>
      <c r="N131" s="3"/>
      <c r="O131" s="3">
        <v>0</v>
      </c>
      <c r="P131" s="3"/>
      <c r="Q131" s="3">
        <v>3165271</v>
      </c>
      <c r="R131" s="3"/>
      <c r="S131" s="3">
        <v>2875014</v>
      </c>
      <c r="T131" s="3"/>
      <c r="U131" s="3">
        <v>23596</v>
      </c>
      <c r="V131" s="3"/>
      <c r="W131" s="3">
        <v>1182331</v>
      </c>
      <c r="X131" s="3"/>
      <c r="Y131" s="3">
        <v>765050</v>
      </c>
      <c r="Z131" s="3"/>
      <c r="AA131" s="3">
        <v>0</v>
      </c>
      <c r="AB131" s="3"/>
      <c r="AC131" s="3">
        <v>285458</v>
      </c>
      <c r="AD131" s="3"/>
      <c r="AE131" s="3" t="s">
        <v>334</v>
      </c>
      <c r="AF131" s="103"/>
      <c r="AG131" s="103" t="s">
        <v>204</v>
      </c>
      <c r="AH131" s="103"/>
      <c r="AI131" s="3">
        <v>83439</v>
      </c>
      <c r="AJ131" s="3"/>
      <c r="AK131" s="3">
        <v>261975</v>
      </c>
      <c r="AL131" s="3"/>
      <c r="AM131" s="3"/>
      <c r="AN131" s="3"/>
      <c r="AO131" s="3">
        <v>0</v>
      </c>
      <c r="AP131" s="3"/>
      <c r="AQ131" s="3">
        <v>22365</v>
      </c>
      <c r="AR131" s="3"/>
      <c r="AS131" s="3">
        <v>0</v>
      </c>
      <c r="AT131" s="3"/>
      <c r="AU131" s="3">
        <v>0</v>
      </c>
      <c r="AV131" s="3"/>
      <c r="AW131" s="3">
        <v>0</v>
      </c>
      <c r="AX131" s="3"/>
      <c r="AY131" s="3"/>
      <c r="AZ131" s="3"/>
      <c r="BA131" s="3">
        <v>71833</v>
      </c>
      <c r="BB131" s="3"/>
      <c r="BC131" s="3">
        <f t="shared" si="2"/>
        <v>14641640</v>
      </c>
      <c r="BD131" s="3"/>
      <c r="BE131" s="3">
        <f>+'St of Act-Rev'!AG131-BC131</f>
        <v>337700</v>
      </c>
      <c r="BF131" s="3"/>
      <c r="BG131" s="3">
        <v>5525837</v>
      </c>
      <c r="BH131" s="3"/>
      <c r="BI131" s="3">
        <f t="shared" si="3"/>
        <v>5863537</v>
      </c>
      <c r="BJ131" s="3"/>
      <c r="BK131" s="3">
        <f>+'St of Net Position'!AE131-BI131</f>
        <v>0</v>
      </c>
    </row>
    <row r="132" spans="1:63">
      <c r="A132" s="3"/>
      <c r="G132" s="3"/>
      <c r="M132" s="26"/>
    </row>
    <row r="133" spans="1:6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AC133" s="33"/>
    </row>
    <row r="134" spans="1:63">
      <c r="M134" s="26"/>
    </row>
    <row r="135" spans="1:63">
      <c r="M135" s="26"/>
    </row>
    <row r="136" spans="1:63">
      <c r="M136" s="26"/>
    </row>
    <row r="137" spans="1:63">
      <c r="M137" s="26"/>
    </row>
    <row r="138" spans="1:63">
      <c r="M138" s="26"/>
    </row>
    <row r="139" spans="1:63">
      <c r="G139" s="3"/>
      <c r="H139" s="3"/>
      <c r="I139" s="3"/>
      <c r="J139" s="3"/>
      <c r="K139" s="3"/>
      <c r="L139" s="3"/>
      <c r="M139" s="26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15"/>
      <c r="AF139" s="15"/>
      <c r="AG139" s="15"/>
      <c r="AH139" s="15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</row>
    <row r="140" spans="1:63">
      <c r="M140" s="26"/>
    </row>
    <row r="141" spans="1:63">
      <c r="M141" s="26"/>
    </row>
    <row r="142" spans="1:63">
      <c r="M142" s="26"/>
    </row>
    <row r="143" spans="1:63">
      <c r="M143" s="26"/>
    </row>
    <row r="144" spans="1:63">
      <c r="M144" s="26"/>
    </row>
    <row r="145" spans="13:13">
      <c r="M145" s="26"/>
    </row>
    <row r="146" spans="13:13">
      <c r="M146" s="26"/>
    </row>
    <row r="147" spans="13:13">
      <c r="M147" s="26"/>
    </row>
    <row r="148" spans="13:13">
      <c r="M148" s="26"/>
    </row>
    <row r="149" spans="13:13">
      <c r="M149" s="26"/>
    </row>
    <row r="150" spans="13:13">
      <c r="M150" s="26"/>
    </row>
    <row r="151" spans="13:13">
      <c r="M151" s="26"/>
    </row>
    <row r="152" spans="13:13">
      <c r="M152" s="26"/>
    </row>
    <row r="153" spans="13:13">
      <c r="M153" s="26"/>
    </row>
    <row r="154" spans="13:13">
      <c r="M154" s="26"/>
    </row>
    <row r="155" spans="13:13">
      <c r="M155" s="26"/>
    </row>
    <row r="156" spans="13:13">
      <c r="M156" s="71"/>
    </row>
    <row r="157" spans="13:13">
      <c r="M157" s="26"/>
    </row>
    <row r="158" spans="13:13">
      <c r="M158" s="26"/>
    </row>
    <row r="159" spans="13:13">
      <c r="M159" s="26"/>
    </row>
    <row r="160" spans="13:13">
      <c r="M160" s="26"/>
    </row>
    <row r="161" spans="13:13">
      <c r="M161" s="26"/>
    </row>
    <row r="162" spans="13:13">
      <c r="M162" s="26"/>
    </row>
    <row r="163" spans="13:13">
      <c r="M163" s="26"/>
    </row>
    <row r="164" spans="13:13">
      <c r="M164" s="26"/>
    </row>
    <row r="165" spans="13:13">
      <c r="M165" s="26"/>
    </row>
    <row r="166" spans="13:13">
      <c r="M166" s="26"/>
    </row>
    <row r="167" spans="13:13">
      <c r="M167" s="26"/>
    </row>
    <row r="168" spans="13:13">
      <c r="M168" s="26"/>
    </row>
    <row r="169" spans="13:13">
      <c r="M169" s="26"/>
    </row>
    <row r="170" spans="13:13">
      <c r="M170" s="26"/>
    </row>
    <row r="171" spans="13:13">
      <c r="M171" s="26"/>
    </row>
    <row r="172" spans="13:13">
      <c r="M172" s="26"/>
    </row>
    <row r="173" spans="13:13">
      <c r="M173" s="26"/>
    </row>
    <row r="174" spans="13:13">
      <c r="M174" s="26"/>
    </row>
    <row r="175" spans="13:13">
      <c r="M175" s="26"/>
    </row>
    <row r="176" spans="13:13">
      <c r="M176" s="26"/>
    </row>
    <row r="177" spans="13:13">
      <c r="M177" s="26"/>
    </row>
    <row r="178" spans="13:13">
      <c r="M178" s="26"/>
    </row>
    <row r="179" spans="13:13">
      <c r="M179" s="26"/>
    </row>
    <row r="180" spans="13:13">
      <c r="M180" s="26"/>
    </row>
    <row r="181" spans="13:13">
      <c r="M181" s="26"/>
    </row>
    <row r="182" spans="13:13">
      <c r="M182" s="26"/>
    </row>
    <row r="183" spans="13:13">
      <c r="M183" s="26"/>
    </row>
    <row r="184" spans="13:13">
      <c r="M184" s="26"/>
    </row>
    <row r="185" spans="13:13">
      <c r="M185" s="26"/>
    </row>
    <row r="186" spans="13:13">
      <c r="M186" s="26"/>
    </row>
    <row r="187" spans="13:13">
      <c r="M187" s="26"/>
    </row>
    <row r="188" spans="13:13">
      <c r="M188" s="26"/>
    </row>
    <row r="189" spans="13:13">
      <c r="M189" s="26"/>
    </row>
    <row r="190" spans="13:13">
      <c r="M190" s="26"/>
    </row>
    <row r="191" spans="13:13">
      <c r="M191" s="26"/>
    </row>
    <row r="192" spans="13:13">
      <c r="M192" s="26"/>
    </row>
    <row r="193" spans="13:13">
      <c r="M193" s="26"/>
    </row>
    <row r="194" spans="13:13">
      <c r="M194" s="26"/>
    </row>
    <row r="195" spans="13:13">
      <c r="M195" s="26"/>
    </row>
    <row r="196" spans="13:13">
      <c r="M196" s="26"/>
    </row>
    <row r="197" spans="13:13">
      <c r="M197" s="26"/>
    </row>
    <row r="198" spans="13:13">
      <c r="M198" s="26"/>
    </row>
    <row r="199" spans="13:13">
      <c r="M199" s="26"/>
    </row>
    <row r="200" spans="13:13">
      <c r="M200" s="26"/>
    </row>
    <row r="201" spans="13:13">
      <c r="M201" s="26"/>
    </row>
    <row r="202" spans="13:13">
      <c r="M202" s="26"/>
    </row>
    <row r="203" spans="13:13">
      <c r="M203" s="71"/>
    </row>
    <row r="204" spans="13:13">
      <c r="M204" s="26"/>
    </row>
    <row r="205" spans="13:13">
      <c r="M205" s="26"/>
    </row>
    <row r="206" spans="13:13">
      <c r="M206" s="26"/>
    </row>
    <row r="207" spans="13:13">
      <c r="M207" s="26"/>
    </row>
    <row r="208" spans="13:13">
      <c r="M208" s="26"/>
    </row>
    <row r="209" spans="13:13">
      <c r="M209" s="26"/>
    </row>
    <row r="210" spans="13:13">
      <c r="M210" s="26"/>
    </row>
    <row r="211" spans="13:13">
      <c r="M211" s="26"/>
    </row>
    <row r="212" spans="13:13">
      <c r="M212" s="26"/>
    </row>
    <row r="213" spans="13:13">
      <c r="M213" s="26"/>
    </row>
    <row r="214" spans="13:13">
      <c r="M214" s="26"/>
    </row>
    <row r="215" spans="13:13">
      <c r="M215" s="26"/>
    </row>
    <row r="216" spans="13:13">
      <c r="M216" s="26"/>
    </row>
    <row r="217" spans="13:13">
      <c r="M217" s="26"/>
    </row>
    <row r="218" spans="13:13">
      <c r="M218" s="26"/>
    </row>
    <row r="219" spans="13:13">
      <c r="M219" s="26"/>
    </row>
    <row r="220" spans="13:13">
      <c r="M220" s="26"/>
    </row>
    <row r="221" spans="13:13">
      <c r="M221" s="26"/>
    </row>
    <row r="222" spans="13:13">
      <c r="M222" s="26"/>
    </row>
    <row r="223" spans="13:13">
      <c r="M223" s="26"/>
    </row>
    <row r="224" spans="13:13">
      <c r="M224" s="26"/>
    </row>
    <row r="225" spans="13:13">
      <c r="M225" s="26"/>
    </row>
    <row r="226" spans="13:13">
      <c r="M226" s="26"/>
    </row>
    <row r="227" spans="13:13">
      <c r="M227" s="26"/>
    </row>
    <row r="228" spans="13:13">
      <c r="M228" s="26"/>
    </row>
    <row r="229" spans="13:13">
      <c r="M229" s="26"/>
    </row>
    <row r="230" spans="13:13">
      <c r="M230" s="26"/>
    </row>
    <row r="231" spans="13:13">
      <c r="M231" s="26"/>
    </row>
    <row r="232" spans="13:13">
      <c r="M232" s="71"/>
    </row>
    <row r="233" spans="13:13">
      <c r="M233" s="26"/>
    </row>
    <row r="234" spans="13:13">
      <c r="M234" s="26"/>
    </row>
    <row r="235" spans="13:13">
      <c r="M235" s="26"/>
    </row>
    <row r="236" spans="13:13">
      <c r="M236" s="26"/>
    </row>
    <row r="237" spans="13:13">
      <c r="M237" s="26"/>
    </row>
    <row r="238" spans="13:13">
      <c r="M238" s="26"/>
    </row>
    <row r="239" spans="13:13">
      <c r="M239" s="26"/>
    </row>
    <row r="240" spans="13:13">
      <c r="M240" s="26"/>
    </row>
    <row r="241" spans="13:13">
      <c r="M241" s="26"/>
    </row>
    <row r="242" spans="13:13">
      <c r="M242" s="26"/>
    </row>
    <row r="243" spans="13:13">
      <c r="M243" s="26"/>
    </row>
    <row r="244" spans="13:13">
      <c r="M244" s="26"/>
    </row>
    <row r="245" spans="13:13">
      <c r="M245" s="26"/>
    </row>
    <row r="246" spans="13:13">
      <c r="M246" s="26"/>
    </row>
    <row r="247" spans="13:13">
      <c r="M247" s="26"/>
    </row>
    <row r="248" spans="13:13">
      <c r="M248" s="26"/>
    </row>
    <row r="249" spans="13:13">
      <c r="M249" s="26"/>
    </row>
    <row r="250" spans="13:13">
      <c r="M250" s="26"/>
    </row>
    <row r="251" spans="13:13">
      <c r="M251" s="26"/>
    </row>
    <row r="252" spans="13:13">
      <c r="M252" s="26"/>
    </row>
    <row r="253" spans="13:13">
      <c r="M253" s="26"/>
    </row>
    <row r="254" spans="13:13">
      <c r="M254" s="26"/>
    </row>
    <row r="255" spans="13:13">
      <c r="M255" s="26"/>
    </row>
    <row r="256" spans="13:13">
      <c r="M256" s="26"/>
    </row>
    <row r="257" spans="13:13">
      <c r="M257" s="26"/>
    </row>
    <row r="258" spans="13:13">
      <c r="M258" s="26"/>
    </row>
    <row r="259" spans="13:13">
      <c r="M259" s="26"/>
    </row>
    <row r="260" spans="13:13">
      <c r="M260" s="26"/>
    </row>
    <row r="261" spans="13:13">
      <c r="M261" s="26"/>
    </row>
    <row r="262" spans="13:13">
      <c r="M262" s="26"/>
    </row>
    <row r="263" spans="13:13">
      <c r="M263" s="26"/>
    </row>
    <row r="264" spans="13:13">
      <c r="M264" s="26"/>
    </row>
    <row r="265" spans="13:13">
      <c r="M265" s="26"/>
    </row>
    <row r="266" spans="13:13">
      <c r="M266" s="26"/>
    </row>
    <row r="267" spans="13:13">
      <c r="M267" s="26"/>
    </row>
    <row r="268" spans="13:13">
      <c r="M268" s="26"/>
    </row>
    <row r="269" spans="13:13">
      <c r="M269" s="26"/>
    </row>
    <row r="270" spans="13:13">
      <c r="M270" s="26"/>
    </row>
    <row r="271" spans="13:13">
      <c r="M271" s="26"/>
    </row>
    <row r="272" spans="13:13">
      <c r="M272" s="26"/>
    </row>
    <row r="273" spans="13:13">
      <c r="M273" s="26"/>
    </row>
    <row r="274" spans="13:13">
      <c r="M274" s="26"/>
    </row>
    <row r="275" spans="13:13">
      <c r="M275" s="26"/>
    </row>
    <row r="276" spans="13:13">
      <c r="M276" s="26"/>
    </row>
    <row r="277" spans="13:13">
      <c r="M277" s="26"/>
    </row>
    <row r="278" spans="13:13">
      <c r="M278" s="26"/>
    </row>
    <row r="279" spans="13:13">
      <c r="M279" s="26"/>
    </row>
    <row r="280" spans="13:13">
      <c r="M280" s="26"/>
    </row>
    <row r="281" spans="13:13">
      <c r="M281" s="26"/>
    </row>
    <row r="282" spans="13:13">
      <c r="M282" s="26"/>
    </row>
    <row r="283" spans="13:13">
      <c r="M283" s="26"/>
    </row>
    <row r="284" spans="13:13">
      <c r="M284" s="26"/>
    </row>
    <row r="285" spans="13:13">
      <c r="M285" s="26"/>
    </row>
    <row r="286" spans="13:13">
      <c r="M286" s="26"/>
    </row>
    <row r="287" spans="13:13">
      <c r="M287" s="26"/>
    </row>
    <row r="288" spans="13:13">
      <c r="M288" s="26"/>
    </row>
    <row r="289" spans="13:13">
      <c r="M289" s="26"/>
    </row>
    <row r="290" spans="13:13">
      <c r="M290" s="26"/>
    </row>
    <row r="291" spans="13:13">
      <c r="M291" s="26"/>
    </row>
    <row r="292" spans="13:13">
      <c r="M292" s="26"/>
    </row>
    <row r="293" spans="13:13">
      <c r="M293" s="26"/>
    </row>
    <row r="294" spans="13:13">
      <c r="M294" s="26"/>
    </row>
    <row r="295" spans="13:13">
      <c r="M295" s="26"/>
    </row>
    <row r="296" spans="13:13">
      <c r="M296" s="26"/>
    </row>
    <row r="297" spans="13:13">
      <c r="M297" s="26"/>
    </row>
    <row r="298" spans="13:13">
      <c r="M298" s="26"/>
    </row>
    <row r="299" spans="13:13">
      <c r="M299" s="26"/>
    </row>
    <row r="300" spans="13:13">
      <c r="M300" s="26"/>
    </row>
    <row r="301" spans="13:13">
      <c r="M301" s="26"/>
    </row>
    <row r="302" spans="13:13">
      <c r="M302" s="26"/>
    </row>
    <row r="303" spans="13:13">
      <c r="M303" s="26"/>
    </row>
    <row r="304" spans="13:13">
      <c r="M304" s="26"/>
    </row>
    <row r="305" spans="13:13">
      <c r="M305" s="71"/>
    </row>
    <row r="306" spans="13:13">
      <c r="M306" s="26"/>
    </row>
    <row r="307" spans="13:13">
      <c r="M307" s="26"/>
    </row>
    <row r="308" spans="13:13">
      <c r="M308" s="26"/>
    </row>
    <row r="309" spans="13:13">
      <c r="M309" s="26"/>
    </row>
    <row r="310" spans="13:13">
      <c r="M310" s="26"/>
    </row>
    <row r="311" spans="13:13">
      <c r="M311" s="26"/>
    </row>
    <row r="312" spans="13:13">
      <c r="M312" s="26"/>
    </row>
    <row r="313" spans="13:13">
      <c r="M313" s="26"/>
    </row>
    <row r="314" spans="13:13">
      <c r="M314" s="26"/>
    </row>
    <row r="315" spans="13:13">
      <c r="M315" s="26"/>
    </row>
    <row r="316" spans="13:13">
      <c r="M316" s="26"/>
    </row>
    <row r="317" spans="13:13">
      <c r="M317" s="26"/>
    </row>
    <row r="318" spans="13:13">
      <c r="M318" s="26"/>
    </row>
    <row r="319" spans="13:13">
      <c r="M319" s="26"/>
    </row>
    <row r="320" spans="13:13">
      <c r="M320" s="26"/>
    </row>
    <row r="321" spans="13:13">
      <c r="M321" s="26"/>
    </row>
    <row r="322" spans="13:13">
      <c r="M322" s="26"/>
    </row>
    <row r="323" spans="13:13">
      <c r="M323" s="26"/>
    </row>
    <row r="324" spans="13:13">
      <c r="M324" s="26"/>
    </row>
    <row r="325" spans="13:13">
      <c r="M325" s="26"/>
    </row>
    <row r="326" spans="13:13">
      <c r="M326" s="26"/>
    </row>
    <row r="327" spans="13:13">
      <c r="M327" s="26"/>
    </row>
    <row r="328" spans="13:13">
      <c r="M328" s="26"/>
    </row>
    <row r="329" spans="13:13">
      <c r="M329" s="26"/>
    </row>
    <row r="330" spans="13:13">
      <c r="M330" s="26"/>
    </row>
    <row r="331" spans="13:13">
      <c r="M331" s="26"/>
    </row>
    <row r="332" spans="13:13">
      <c r="M332" s="26"/>
    </row>
    <row r="333" spans="13:13">
      <c r="M333" s="26"/>
    </row>
    <row r="334" spans="13:13">
      <c r="M334" s="26"/>
    </row>
    <row r="335" spans="13:13">
      <c r="M335" s="26"/>
    </row>
    <row r="336" spans="13:13">
      <c r="M336" s="26"/>
    </row>
    <row r="337" spans="13:13">
      <c r="M337" s="71"/>
    </row>
    <row r="338" spans="13:13">
      <c r="M338" s="26"/>
    </row>
    <row r="339" spans="13:13">
      <c r="M339" s="26"/>
    </row>
    <row r="340" spans="13:13">
      <c r="M340" s="26"/>
    </row>
    <row r="341" spans="13:13">
      <c r="M341" s="26"/>
    </row>
    <row r="342" spans="13:13">
      <c r="M342" s="26"/>
    </row>
    <row r="343" spans="13:13">
      <c r="M343" s="26"/>
    </row>
    <row r="344" spans="13:13">
      <c r="M344" s="26"/>
    </row>
    <row r="345" spans="13:13">
      <c r="M345" s="26"/>
    </row>
    <row r="346" spans="13:13">
      <c r="M346" s="26"/>
    </row>
    <row r="347" spans="13:13">
      <c r="M347" s="26"/>
    </row>
    <row r="348" spans="13:13">
      <c r="M348" s="26"/>
    </row>
    <row r="349" spans="13:13">
      <c r="M349" s="26"/>
    </row>
    <row r="350" spans="13:13">
      <c r="M350" s="26"/>
    </row>
    <row r="351" spans="13:13">
      <c r="M351" s="26"/>
    </row>
    <row r="352" spans="13:13">
      <c r="M352" s="26"/>
    </row>
    <row r="353" spans="13:13">
      <c r="M353" s="26"/>
    </row>
    <row r="354" spans="13:13">
      <c r="M354" s="26"/>
    </row>
    <row r="355" spans="13:13">
      <c r="M355" s="26"/>
    </row>
    <row r="356" spans="13:13">
      <c r="M356" s="26"/>
    </row>
    <row r="357" spans="13:13">
      <c r="M357" s="26"/>
    </row>
    <row r="358" spans="13:13">
      <c r="M358" s="26"/>
    </row>
    <row r="359" spans="13:13">
      <c r="M359" s="26"/>
    </row>
    <row r="360" spans="13:13">
      <c r="M360" s="26"/>
    </row>
    <row r="361" spans="13:13">
      <c r="M361" s="26"/>
    </row>
    <row r="362" spans="13:13">
      <c r="M362" s="26"/>
    </row>
    <row r="363" spans="13:13">
      <c r="M363" s="26"/>
    </row>
    <row r="364" spans="13:13">
      <c r="M364" s="26"/>
    </row>
    <row r="365" spans="13:13">
      <c r="M365" s="26"/>
    </row>
    <row r="366" spans="13:13">
      <c r="M366" s="26"/>
    </row>
    <row r="367" spans="13:13">
      <c r="M367" s="26"/>
    </row>
    <row r="368" spans="13:13">
      <c r="M368" s="26"/>
    </row>
    <row r="369" spans="13:13">
      <c r="M369" s="26"/>
    </row>
    <row r="370" spans="13:13">
      <c r="M370" s="26"/>
    </row>
    <row r="371" spans="13:13">
      <c r="M371" s="26"/>
    </row>
    <row r="372" spans="13:13">
      <c r="M372" s="26"/>
    </row>
    <row r="373" spans="13:13">
      <c r="M373" s="26"/>
    </row>
    <row r="374" spans="13:13">
      <c r="M374" s="26"/>
    </row>
    <row r="375" spans="13:13">
      <c r="M375" s="26"/>
    </row>
    <row r="376" spans="13:13">
      <c r="M376" s="26"/>
    </row>
    <row r="377" spans="13:13">
      <c r="M377" s="26"/>
    </row>
    <row r="378" spans="13:13">
      <c r="M378" s="26"/>
    </row>
    <row r="379" spans="13:13">
      <c r="M379" s="71"/>
    </row>
    <row r="380" spans="13:13">
      <c r="M380" s="26"/>
    </row>
    <row r="381" spans="13:13">
      <c r="M381" s="26"/>
    </row>
    <row r="382" spans="13:13">
      <c r="M382" s="26"/>
    </row>
    <row r="383" spans="13:13">
      <c r="M383" s="26"/>
    </row>
    <row r="384" spans="13:13">
      <c r="M384" s="26"/>
    </row>
    <row r="385" spans="13:13">
      <c r="M385" s="26"/>
    </row>
    <row r="386" spans="13:13">
      <c r="M386" s="26"/>
    </row>
    <row r="387" spans="13:13">
      <c r="M387" s="26"/>
    </row>
    <row r="388" spans="13:13">
      <c r="M388" s="26"/>
    </row>
    <row r="389" spans="13:13">
      <c r="M389" s="26"/>
    </row>
    <row r="390" spans="13:13">
      <c r="M390" s="26"/>
    </row>
    <row r="391" spans="13:13">
      <c r="M391" s="26"/>
    </row>
    <row r="392" spans="13:13">
      <c r="M392" s="26"/>
    </row>
    <row r="393" spans="13:13">
      <c r="M393" s="26"/>
    </row>
    <row r="394" spans="13:13">
      <c r="M394" s="26"/>
    </row>
    <row r="395" spans="13:13">
      <c r="M395" s="26"/>
    </row>
    <row r="396" spans="13:13">
      <c r="M396" s="26"/>
    </row>
    <row r="397" spans="13:13">
      <c r="M397" s="26"/>
    </row>
    <row r="398" spans="13:13">
      <c r="M398" s="26"/>
    </row>
    <row r="399" spans="13:13">
      <c r="M399" s="26"/>
    </row>
    <row r="400" spans="13:13">
      <c r="M400" s="26"/>
    </row>
    <row r="401" spans="13:13">
      <c r="M401" s="26"/>
    </row>
    <row r="402" spans="13:13">
      <c r="M402" s="26"/>
    </row>
    <row r="403" spans="13:13">
      <c r="M403" s="26"/>
    </row>
    <row r="404" spans="13:13">
      <c r="M404" s="26"/>
    </row>
    <row r="405" spans="13:13">
      <c r="M405" s="26"/>
    </row>
    <row r="406" spans="13:13">
      <c r="M406" s="26"/>
    </row>
    <row r="407" spans="13:13">
      <c r="M407" s="26"/>
    </row>
    <row r="408" spans="13:13">
      <c r="M408" s="26"/>
    </row>
    <row r="409" spans="13:13">
      <c r="M409" s="26"/>
    </row>
    <row r="410" spans="13:13">
      <c r="M410" s="26"/>
    </row>
    <row r="411" spans="13:13">
      <c r="M411" s="26"/>
    </row>
    <row r="412" spans="13:13">
      <c r="M412" s="26"/>
    </row>
    <row r="413" spans="13:13">
      <c r="M413" s="26"/>
    </row>
    <row r="414" spans="13:13">
      <c r="M414" s="26"/>
    </row>
    <row r="415" spans="13:13">
      <c r="M415" s="26"/>
    </row>
    <row r="416" spans="13:13">
      <c r="M416" s="26"/>
    </row>
    <row r="417" spans="13:13">
      <c r="M417" s="26"/>
    </row>
    <row r="418" spans="13:13">
      <c r="M418" s="26"/>
    </row>
    <row r="419" spans="13:13">
      <c r="M419" s="26"/>
    </row>
    <row r="420" spans="13:13">
      <c r="M420" s="26"/>
    </row>
    <row r="421" spans="13:13">
      <c r="M421" s="26"/>
    </row>
    <row r="422" spans="13:13">
      <c r="M422" s="26"/>
    </row>
    <row r="423" spans="13:13">
      <c r="M423" s="26"/>
    </row>
    <row r="424" spans="13:13">
      <c r="M424" s="26"/>
    </row>
    <row r="425" spans="13:13">
      <c r="M425" s="26"/>
    </row>
    <row r="426" spans="13:13">
      <c r="M426" s="26"/>
    </row>
    <row r="427" spans="13:13">
      <c r="M427" s="26"/>
    </row>
    <row r="428" spans="13:13">
      <c r="M428" s="26"/>
    </row>
    <row r="429" spans="13:13">
      <c r="M429" s="26"/>
    </row>
    <row r="430" spans="13:13">
      <c r="M430" s="26"/>
    </row>
    <row r="431" spans="13:13">
      <c r="M431" s="26"/>
    </row>
    <row r="432" spans="13:13">
      <c r="M432" s="26"/>
    </row>
    <row r="433" spans="13:13">
      <c r="M433" s="26"/>
    </row>
    <row r="434" spans="13:13">
      <c r="M434" s="26"/>
    </row>
    <row r="435" spans="13:13">
      <c r="M435" s="26"/>
    </row>
    <row r="436" spans="13:13">
      <c r="M436" s="26"/>
    </row>
    <row r="437" spans="13:13">
      <c r="M437" s="26"/>
    </row>
    <row r="438" spans="13:13">
      <c r="M438" s="26"/>
    </row>
    <row r="439" spans="13:13">
      <c r="M439" s="26"/>
    </row>
    <row r="440" spans="13:13">
      <c r="M440" s="26"/>
    </row>
    <row r="441" spans="13:13">
      <c r="M441" s="26"/>
    </row>
    <row r="442" spans="13:13">
      <c r="M442" s="26"/>
    </row>
    <row r="443" spans="13:13">
      <c r="M443" s="26"/>
    </row>
    <row r="444" spans="13:13">
      <c r="M444" s="26"/>
    </row>
    <row r="445" spans="13:13">
      <c r="M445" s="26"/>
    </row>
    <row r="446" spans="13:13">
      <c r="M446" s="26"/>
    </row>
    <row r="447" spans="13:13">
      <c r="M447" s="26"/>
    </row>
    <row r="448" spans="13:13">
      <c r="M448" s="26"/>
    </row>
    <row r="449" spans="13:13">
      <c r="M449" s="26"/>
    </row>
    <row r="450" spans="13:13">
      <c r="M450" s="26"/>
    </row>
    <row r="451" spans="13:13">
      <c r="M451" s="26"/>
    </row>
    <row r="452" spans="13:13">
      <c r="M452" s="26"/>
    </row>
    <row r="453" spans="13:13">
      <c r="M453" s="26"/>
    </row>
    <row r="454" spans="13:13">
      <c r="M454" s="26"/>
    </row>
    <row r="455" spans="13:13">
      <c r="M455" s="26"/>
    </row>
    <row r="456" spans="13:13">
      <c r="M456" s="71"/>
    </row>
    <row r="457" spans="13:13">
      <c r="M457" s="26"/>
    </row>
    <row r="458" spans="13:13">
      <c r="M458" s="26"/>
    </row>
    <row r="459" spans="13:13">
      <c r="M459" s="26"/>
    </row>
    <row r="460" spans="13:13">
      <c r="M460" s="26"/>
    </row>
    <row r="461" spans="13:13">
      <c r="M461" s="26"/>
    </row>
    <row r="462" spans="13:13">
      <c r="M462" s="26"/>
    </row>
    <row r="463" spans="13:13">
      <c r="M463" s="26"/>
    </row>
    <row r="464" spans="13:13">
      <c r="M464" s="26"/>
    </row>
    <row r="465" spans="13:13">
      <c r="M465" s="26"/>
    </row>
    <row r="466" spans="13:13">
      <c r="M466" s="26"/>
    </row>
    <row r="467" spans="13:13">
      <c r="M467" s="26"/>
    </row>
    <row r="468" spans="13:13">
      <c r="M468" s="26"/>
    </row>
    <row r="469" spans="13:13">
      <c r="M469" s="26"/>
    </row>
    <row r="470" spans="13:13">
      <c r="M470" s="26"/>
    </row>
    <row r="471" spans="13:13">
      <c r="M471" s="26"/>
    </row>
    <row r="472" spans="13:13">
      <c r="M472" s="26"/>
    </row>
    <row r="473" spans="13:13">
      <c r="M473" s="26"/>
    </row>
    <row r="474" spans="13:13">
      <c r="M474" s="26"/>
    </row>
    <row r="475" spans="13:13">
      <c r="M475" s="26"/>
    </row>
    <row r="476" spans="13:13">
      <c r="M476" s="26"/>
    </row>
    <row r="477" spans="13:13">
      <c r="M477" s="26"/>
    </row>
    <row r="478" spans="13:13">
      <c r="M478" s="26"/>
    </row>
    <row r="479" spans="13:13">
      <c r="M479" s="26"/>
    </row>
    <row r="480" spans="13:13">
      <c r="M480" s="26"/>
    </row>
    <row r="481" spans="13:13">
      <c r="M481" s="26"/>
    </row>
    <row r="482" spans="13:13">
      <c r="M482" s="26"/>
    </row>
    <row r="483" spans="13:13">
      <c r="M483" s="26"/>
    </row>
    <row r="484" spans="13:13">
      <c r="M484" s="26"/>
    </row>
    <row r="485" spans="13:13">
      <c r="M485" s="26"/>
    </row>
    <row r="486" spans="13:13">
      <c r="M486" s="26"/>
    </row>
    <row r="487" spans="13:13">
      <c r="M487" s="26"/>
    </row>
    <row r="488" spans="13:13">
      <c r="M488" s="26"/>
    </row>
    <row r="489" spans="13:13">
      <c r="M489" s="26"/>
    </row>
    <row r="490" spans="13:13">
      <c r="M490" s="26"/>
    </row>
    <row r="491" spans="13:13">
      <c r="M491" s="26"/>
    </row>
    <row r="492" spans="13:13">
      <c r="M492" s="26"/>
    </row>
    <row r="493" spans="13:13">
      <c r="M493" s="26"/>
    </row>
    <row r="494" spans="13:13">
      <c r="M494" s="26"/>
    </row>
    <row r="495" spans="13:13">
      <c r="M495" s="26"/>
    </row>
    <row r="496" spans="13:13">
      <c r="M496" s="26"/>
    </row>
    <row r="497" spans="13:13">
      <c r="M497" s="26"/>
    </row>
    <row r="498" spans="13:13">
      <c r="M498" s="26"/>
    </row>
    <row r="499" spans="13:13">
      <c r="M499" s="26"/>
    </row>
    <row r="500" spans="13:13">
      <c r="M500" s="26"/>
    </row>
    <row r="501" spans="13:13">
      <c r="M501" s="26"/>
    </row>
    <row r="502" spans="13:13">
      <c r="M502" s="26"/>
    </row>
    <row r="503" spans="13:13">
      <c r="M503" s="26"/>
    </row>
    <row r="504" spans="13:13">
      <c r="M504" s="26"/>
    </row>
    <row r="505" spans="13:13">
      <c r="M505" s="26"/>
    </row>
    <row r="506" spans="13:13">
      <c r="M506" s="26"/>
    </row>
    <row r="507" spans="13:13">
      <c r="M507" s="26"/>
    </row>
    <row r="508" spans="13:13">
      <c r="M508" s="26"/>
    </row>
    <row r="509" spans="13:13">
      <c r="M509" s="26"/>
    </row>
    <row r="510" spans="13:13">
      <c r="M510" s="26"/>
    </row>
    <row r="511" spans="13:13">
      <c r="M511" s="26"/>
    </row>
    <row r="512" spans="13:13">
      <c r="M512" s="26"/>
    </row>
    <row r="513" spans="13:13">
      <c r="M513" s="26"/>
    </row>
    <row r="514" spans="13:13">
      <c r="M514" s="26"/>
    </row>
    <row r="515" spans="13:13">
      <c r="M515" s="26"/>
    </row>
    <row r="516" spans="13:13">
      <c r="M516" s="26"/>
    </row>
    <row r="517" spans="13:13">
      <c r="M517" s="26"/>
    </row>
    <row r="518" spans="13:13">
      <c r="M518" s="26"/>
    </row>
    <row r="519" spans="13:13">
      <c r="M519" s="26"/>
    </row>
    <row r="520" spans="13:13">
      <c r="M520" s="26"/>
    </row>
    <row r="521" spans="13:13">
      <c r="M521" s="26"/>
    </row>
    <row r="522" spans="13:13">
      <c r="M522" s="26"/>
    </row>
    <row r="523" spans="13:13">
      <c r="M523" s="26"/>
    </row>
    <row r="524" spans="13:13">
      <c r="M524" s="71"/>
    </row>
    <row r="525" spans="13:13">
      <c r="M525" s="26"/>
    </row>
    <row r="526" spans="13:13">
      <c r="M526" s="26"/>
    </row>
    <row r="527" spans="13:13">
      <c r="M527" s="26"/>
    </row>
    <row r="528" spans="13:13">
      <c r="M528" s="26"/>
    </row>
    <row r="529" spans="13:13">
      <c r="M529" s="26"/>
    </row>
    <row r="530" spans="13:13">
      <c r="M530" s="26"/>
    </row>
    <row r="531" spans="13:13">
      <c r="M531" s="26"/>
    </row>
    <row r="532" spans="13:13">
      <c r="M532" s="26"/>
    </row>
    <row r="533" spans="13:13">
      <c r="M533" s="26"/>
    </row>
    <row r="534" spans="13:13">
      <c r="M534" s="26"/>
    </row>
    <row r="535" spans="13:13">
      <c r="M535" s="26"/>
    </row>
    <row r="536" spans="13:13">
      <c r="M536" s="26"/>
    </row>
    <row r="537" spans="13:13">
      <c r="M537" s="26"/>
    </row>
    <row r="538" spans="13:13">
      <c r="M538" s="26"/>
    </row>
    <row r="539" spans="13:13">
      <c r="M539" s="26"/>
    </row>
    <row r="540" spans="13:13">
      <c r="M540" s="26"/>
    </row>
    <row r="541" spans="13:13">
      <c r="M541" s="26"/>
    </row>
    <row r="542" spans="13:13">
      <c r="M542" s="26"/>
    </row>
    <row r="543" spans="13:13">
      <c r="M543" s="26"/>
    </row>
    <row r="544" spans="13:13">
      <c r="M544" s="26"/>
    </row>
    <row r="545" spans="13:13">
      <c r="M545" s="26"/>
    </row>
    <row r="546" spans="13:13">
      <c r="M546" s="26"/>
    </row>
    <row r="547" spans="13:13">
      <c r="M547" s="26"/>
    </row>
    <row r="548" spans="13:13">
      <c r="M548" s="26"/>
    </row>
    <row r="549" spans="13:13">
      <c r="M549" s="26"/>
    </row>
    <row r="550" spans="13:13">
      <c r="M550" s="26"/>
    </row>
    <row r="551" spans="13:13">
      <c r="M551" s="26"/>
    </row>
    <row r="552" spans="13:13">
      <c r="M552" s="26"/>
    </row>
    <row r="553" spans="13:13">
      <c r="M553" s="26"/>
    </row>
    <row r="554" spans="13:13">
      <c r="M554" s="26"/>
    </row>
    <row r="555" spans="13:13">
      <c r="M555" s="26"/>
    </row>
    <row r="556" spans="13:13">
      <c r="M556" s="26"/>
    </row>
    <row r="557" spans="13:13">
      <c r="M557" s="26"/>
    </row>
    <row r="558" spans="13:13">
      <c r="M558" s="26"/>
    </row>
    <row r="559" spans="13:13">
      <c r="M559" s="26"/>
    </row>
    <row r="560" spans="13:13">
      <c r="M560" s="26"/>
    </row>
    <row r="561" spans="13:13">
      <c r="M561" s="26"/>
    </row>
    <row r="562" spans="13:13">
      <c r="M562" s="26"/>
    </row>
    <row r="563" spans="13:13">
      <c r="M563" s="26"/>
    </row>
    <row r="564" spans="13:13">
      <c r="M564" s="26"/>
    </row>
    <row r="565" spans="13:13">
      <c r="M565" s="26"/>
    </row>
    <row r="566" spans="13:13">
      <c r="M566" s="26"/>
    </row>
    <row r="567" spans="13:13">
      <c r="M567" s="26"/>
    </row>
    <row r="568" spans="13:13">
      <c r="M568" s="26"/>
    </row>
    <row r="569" spans="13:13">
      <c r="M569" s="26"/>
    </row>
    <row r="570" spans="13:13">
      <c r="M570" s="26"/>
    </row>
    <row r="571" spans="13:13">
      <c r="M571" s="26"/>
    </row>
    <row r="572" spans="13:13">
      <c r="M572" s="26"/>
    </row>
    <row r="573" spans="13:13">
      <c r="M573" s="26"/>
    </row>
    <row r="574" spans="13:13">
      <c r="M574" s="26"/>
    </row>
    <row r="575" spans="13:13">
      <c r="M575" s="26"/>
    </row>
    <row r="576" spans="13:13">
      <c r="M576" s="26"/>
    </row>
    <row r="577" spans="13:13">
      <c r="M577" s="26"/>
    </row>
    <row r="578" spans="13:13">
      <c r="M578" s="26"/>
    </row>
    <row r="579" spans="13:13">
      <c r="M579" s="26"/>
    </row>
    <row r="580" spans="13:13">
      <c r="M580" s="26"/>
    </row>
    <row r="581" spans="13:13">
      <c r="M581" s="26"/>
    </row>
    <row r="582" spans="13:13">
      <c r="M582" s="26"/>
    </row>
    <row r="583" spans="13:13">
      <c r="M583" s="26"/>
    </row>
    <row r="584" spans="13:13">
      <c r="M584" s="26"/>
    </row>
    <row r="585" spans="13:13">
      <c r="M585" s="26"/>
    </row>
    <row r="586" spans="13:13">
      <c r="M586" s="26"/>
    </row>
    <row r="587" spans="13:13">
      <c r="M587" s="26"/>
    </row>
    <row r="588" spans="13:13">
      <c r="M588" s="26"/>
    </row>
    <row r="589" spans="13:13">
      <c r="M589" s="26"/>
    </row>
    <row r="590" spans="13:13">
      <c r="M590" s="26"/>
    </row>
    <row r="591" spans="13:13">
      <c r="M591" s="26"/>
    </row>
    <row r="592" spans="13:13">
      <c r="M592" s="26"/>
    </row>
    <row r="593" spans="13:13">
      <c r="M593" s="26"/>
    </row>
    <row r="594" spans="13:13">
      <c r="M594" s="26"/>
    </row>
    <row r="595" spans="13:13">
      <c r="M595" s="26"/>
    </row>
    <row r="596" spans="13:13">
      <c r="M596" s="71"/>
    </row>
    <row r="597" spans="13:13">
      <c r="M597" s="26"/>
    </row>
    <row r="598" spans="13:13">
      <c r="M598" s="26"/>
    </row>
    <row r="599" spans="13:13">
      <c r="M599" s="26"/>
    </row>
    <row r="600" spans="13:13">
      <c r="M600" s="26"/>
    </row>
    <row r="601" spans="13:13">
      <c r="M601" s="26"/>
    </row>
    <row r="602" spans="13:13">
      <c r="M602" s="26"/>
    </row>
    <row r="603" spans="13:13">
      <c r="M603" s="26"/>
    </row>
    <row r="604" spans="13:13">
      <c r="M604" s="26"/>
    </row>
    <row r="605" spans="13:13">
      <c r="M605" s="26"/>
    </row>
    <row r="606" spans="13:13">
      <c r="M606" s="26"/>
    </row>
    <row r="607" spans="13:13">
      <c r="M607" s="26"/>
    </row>
    <row r="608" spans="13:13">
      <c r="M608" s="26"/>
    </row>
    <row r="609" spans="13:13">
      <c r="M609" s="26"/>
    </row>
    <row r="610" spans="13:13">
      <c r="M610" s="26"/>
    </row>
    <row r="611" spans="13:13">
      <c r="M611" s="26"/>
    </row>
    <row r="612" spans="13:13">
      <c r="M612" s="26"/>
    </row>
    <row r="613" spans="13:13">
      <c r="M613" s="26"/>
    </row>
    <row r="614" spans="13:13">
      <c r="M614" s="26"/>
    </row>
    <row r="615" spans="13:13">
      <c r="M615" s="26"/>
    </row>
    <row r="616" spans="13:13">
      <c r="M616" s="26"/>
    </row>
    <row r="617" spans="13:13">
      <c r="M617" s="26"/>
    </row>
    <row r="618" spans="13:13">
      <c r="M618" s="26"/>
    </row>
    <row r="619" spans="13:13">
      <c r="M619" s="26"/>
    </row>
    <row r="620" spans="13:13">
      <c r="M620" s="26"/>
    </row>
    <row r="621" spans="13:13">
      <c r="M621" s="26"/>
    </row>
    <row r="622" spans="13:13">
      <c r="M622" s="26"/>
    </row>
    <row r="623" spans="13:13">
      <c r="M623" s="27"/>
    </row>
    <row r="624" spans="13:13">
      <c r="M624" s="26"/>
    </row>
    <row r="625" spans="13:13">
      <c r="M625" s="26"/>
    </row>
    <row r="626" spans="13:13">
      <c r="M626" s="26"/>
    </row>
    <row r="627" spans="13:13">
      <c r="M627" s="26"/>
    </row>
    <row r="628" spans="13:13">
      <c r="M628" s="26"/>
    </row>
    <row r="629" spans="13:13">
      <c r="M629" s="26"/>
    </row>
    <row r="630" spans="13:13">
      <c r="M630" s="26"/>
    </row>
    <row r="631" spans="13:13">
      <c r="M631" s="26"/>
    </row>
    <row r="632" spans="13:13">
      <c r="M632" s="26"/>
    </row>
    <row r="633" spans="13:13">
      <c r="M633" s="26"/>
    </row>
    <row r="634" spans="13:13">
      <c r="M634" s="26"/>
    </row>
    <row r="635" spans="13:13">
      <c r="M635" s="26"/>
    </row>
    <row r="636" spans="13:13">
      <c r="M636" s="26"/>
    </row>
    <row r="637" spans="13:13">
      <c r="M637" s="26"/>
    </row>
    <row r="638" spans="13:13">
      <c r="M638" s="26"/>
    </row>
    <row r="639" spans="13:13">
      <c r="M639" s="26"/>
    </row>
    <row r="640" spans="13:13">
      <c r="M640" s="26"/>
    </row>
    <row r="641" spans="13:13">
      <c r="M641" s="26"/>
    </row>
    <row r="642" spans="13:13">
      <c r="M642" s="26"/>
    </row>
    <row r="643" spans="13:13">
      <c r="M643" s="26"/>
    </row>
    <row r="644" spans="13:13">
      <c r="M644" s="26"/>
    </row>
    <row r="645" spans="13:13">
      <c r="M645" s="26"/>
    </row>
    <row r="646" spans="13:13">
      <c r="M646" s="26"/>
    </row>
    <row r="647" spans="13:13">
      <c r="M647" s="26"/>
    </row>
    <row r="648" spans="13:13">
      <c r="M648" s="26"/>
    </row>
    <row r="649" spans="13:13">
      <c r="M649" s="26"/>
    </row>
    <row r="650" spans="13:13">
      <c r="M650" s="26"/>
    </row>
    <row r="651" spans="13:13">
      <c r="M651" s="26"/>
    </row>
    <row r="652" spans="13:13">
      <c r="M652" s="26"/>
    </row>
    <row r="653" spans="13:13">
      <c r="M653" s="26"/>
    </row>
    <row r="654" spans="13:13">
      <c r="M654" s="26"/>
    </row>
    <row r="655" spans="13:13">
      <c r="M655" s="26"/>
    </row>
    <row r="656" spans="13:13">
      <c r="M656" s="26"/>
    </row>
    <row r="657" spans="13:13">
      <c r="M657" s="26"/>
    </row>
    <row r="658" spans="13:13">
      <c r="M658" s="26"/>
    </row>
    <row r="659" spans="13:13">
      <c r="M659" s="26"/>
    </row>
    <row r="660" spans="13:13">
      <c r="M660" s="26"/>
    </row>
    <row r="661" spans="13:13">
      <c r="M661" s="26"/>
    </row>
    <row r="662" spans="13:13">
      <c r="M662" s="26"/>
    </row>
    <row r="663" spans="13:13">
      <c r="M663" s="26"/>
    </row>
    <row r="664" spans="13:13">
      <c r="M664" s="26"/>
    </row>
    <row r="665" spans="13:13">
      <c r="M665" s="26"/>
    </row>
    <row r="666" spans="13:13">
      <c r="M666" s="26"/>
    </row>
    <row r="667" spans="13:13">
      <c r="M667" s="26"/>
    </row>
    <row r="668" spans="13:13">
      <c r="M668" s="26"/>
    </row>
    <row r="669" spans="13:13">
      <c r="M669" s="26"/>
    </row>
    <row r="670" spans="13:13">
      <c r="M670" s="26"/>
    </row>
    <row r="671" spans="13:13">
      <c r="M671" s="26"/>
    </row>
    <row r="672" spans="13:13">
      <c r="M672" s="26"/>
    </row>
    <row r="673" spans="13:13">
      <c r="M673" s="26"/>
    </row>
    <row r="674" spans="13:13">
      <c r="M674" s="26"/>
    </row>
    <row r="675" spans="13:13">
      <c r="M675" s="26"/>
    </row>
    <row r="676" spans="13:13">
      <c r="M676" s="26"/>
    </row>
    <row r="677" spans="13:13">
      <c r="M677" s="26"/>
    </row>
    <row r="678" spans="13:13">
      <c r="M678" s="26"/>
    </row>
    <row r="679" spans="13:13">
      <c r="M679" s="26"/>
    </row>
    <row r="680" spans="13:13">
      <c r="M680" s="26"/>
    </row>
    <row r="681" spans="13:13">
      <c r="M681" s="26"/>
    </row>
    <row r="682" spans="13:13">
      <c r="M682" s="26"/>
    </row>
    <row r="683" spans="13:13">
      <c r="M683" s="26"/>
    </row>
    <row r="684" spans="13:13">
      <c r="M684" s="26"/>
    </row>
    <row r="685" spans="13:13">
      <c r="M685" s="26"/>
    </row>
    <row r="686" spans="13:13">
      <c r="M686" s="26"/>
    </row>
    <row r="687" spans="13:13">
      <c r="M687" s="26"/>
    </row>
    <row r="688" spans="13:13">
      <c r="M688" s="26"/>
    </row>
    <row r="689" spans="13:13">
      <c r="M689" s="26"/>
    </row>
    <row r="690" spans="13:13">
      <c r="M690" s="26"/>
    </row>
    <row r="691" spans="13:13">
      <c r="M691" s="26"/>
    </row>
    <row r="692" spans="13:13">
      <c r="M692" s="26"/>
    </row>
    <row r="693" spans="13:13">
      <c r="M693" s="26"/>
    </row>
    <row r="694" spans="13:13">
      <c r="M694" s="26"/>
    </row>
    <row r="695" spans="13:13">
      <c r="M695" s="26"/>
    </row>
    <row r="696" spans="13:13">
      <c r="M696" s="26"/>
    </row>
    <row r="697" spans="13:13">
      <c r="M697" s="26"/>
    </row>
    <row r="698" spans="13:13">
      <c r="M698" s="26"/>
    </row>
    <row r="699" spans="13:13">
      <c r="M699" s="26"/>
    </row>
    <row r="700" spans="13:13">
      <c r="M700" s="26"/>
    </row>
    <row r="701" spans="13:13">
      <c r="M701" s="26"/>
    </row>
    <row r="702" spans="13:13">
      <c r="M702" s="26"/>
    </row>
    <row r="703" spans="13:13">
      <c r="M703" s="26"/>
    </row>
    <row r="704" spans="13:13">
      <c r="M704" s="26"/>
    </row>
    <row r="705" spans="13:13">
      <c r="M705" s="26"/>
    </row>
    <row r="706" spans="13:13">
      <c r="M706" s="26"/>
    </row>
    <row r="707" spans="13:13">
      <c r="M707" s="26"/>
    </row>
    <row r="708" spans="13:13">
      <c r="M708" s="26"/>
    </row>
    <row r="709" spans="13:13">
      <c r="M709" s="26"/>
    </row>
    <row r="710" spans="13:13">
      <c r="M710" s="26"/>
    </row>
    <row r="711" spans="13:13">
      <c r="M711" s="26"/>
    </row>
    <row r="712" spans="13:13">
      <c r="M712" s="26"/>
    </row>
    <row r="713" spans="13:13">
      <c r="M713" s="26"/>
    </row>
    <row r="714" spans="13:13">
      <c r="M714" s="26"/>
    </row>
    <row r="715" spans="13:13">
      <c r="M715" s="26"/>
    </row>
    <row r="716" spans="13:13">
      <c r="M716" s="26"/>
    </row>
    <row r="717" spans="13:13">
      <c r="M717" s="26"/>
    </row>
    <row r="718" spans="13:13">
      <c r="M718" s="26"/>
    </row>
    <row r="719" spans="13:13">
      <c r="M719" s="26"/>
    </row>
    <row r="720" spans="13:13">
      <c r="M720" s="26"/>
    </row>
    <row r="721" spans="13:13">
      <c r="M721" s="26"/>
    </row>
    <row r="722" spans="13:13">
      <c r="M722" s="26"/>
    </row>
    <row r="723" spans="13:13">
      <c r="M723" s="26"/>
    </row>
    <row r="724" spans="13:13">
      <c r="M724" s="26"/>
    </row>
    <row r="725" spans="13:13">
      <c r="M725" s="26"/>
    </row>
    <row r="726" spans="13:13">
      <c r="M726" s="26"/>
    </row>
    <row r="727" spans="13:13">
      <c r="M727" s="26"/>
    </row>
    <row r="728" spans="13:13">
      <c r="M728" s="26"/>
    </row>
    <row r="729" spans="13:13">
      <c r="M729" s="26"/>
    </row>
    <row r="730" spans="13:13">
      <c r="M730" s="26"/>
    </row>
    <row r="731" spans="13:13">
      <c r="M731" s="26"/>
    </row>
    <row r="732" spans="13:13">
      <c r="M732" s="26"/>
    </row>
    <row r="733" spans="13:13">
      <c r="M733" s="26"/>
    </row>
    <row r="734" spans="13:13">
      <c r="M734" s="26"/>
    </row>
    <row r="735" spans="13:13">
      <c r="M735" s="26"/>
    </row>
    <row r="736" spans="13:13">
      <c r="M736" s="26"/>
    </row>
    <row r="737" spans="13:13">
      <c r="M737" s="26"/>
    </row>
    <row r="738" spans="13:13">
      <c r="M738" s="26"/>
    </row>
    <row r="739" spans="13:13">
      <c r="M739" s="26"/>
    </row>
    <row r="740" spans="13:13">
      <c r="M740" s="26"/>
    </row>
    <row r="741" spans="13:13">
      <c r="M741" s="26"/>
    </row>
    <row r="742" spans="13:13">
      <c r="M742" s="26"/>
    </row>
    <row r="743" spans="13:13">
      <c r="M743" s="26"/>
    </row>
    <row r="744" spans="13:13">
      <c r="M744" s="26"/>
    </row>
    <row r="745" spans="13:13">
      <c r="M745" s="26"/>
    </row>
    <row r="746" spans="13:13">
      <c r="M746" s="26"/>
    </row>
    <row r="747" spans="13:13">
      <c r="M747" s="26"/>
    </row>
    <row r="748" spans="13:13">
      <c r="M748" s="26"/>
    </row>
    <row r="749" spans="13:13">
      <c r="M749" s="26"/>
    </row>
    <row r="750" spans="13:13">
      <c r="M750" s="26"/>
    </row>
    <row r="751" spans="13:13">
      <c r="M751" s="26"/>
    </row>
    <row r="752" spans="13:13">
      <c r="M752" s="26"/>
    </row>
    <row r="753" spans="13:13">
      <c r="M753" s="26"/>
    </row>
    <row r="754" spans="13:13">
      <c r="M754" s="26"/>
    </row>
    <row r="755" spans="13:13">
      <c r="M755" s="26"/>
    </row>
    <row r="756" spans="13:13">
      <c r="M756" s="26"/>
    </row>
    <row r="757" spans="13:13">
      <c r="M757" s="26"/>
    </row>
    <row r="758" spans="13:13">
      <c r="M758" s="26"/>
    </row>
    <row r="759" spans="13:13">
      <c r="M759" s="26"/>
    </row>
    <row r="760" spans="13:13">
      <c r="M760" s="26"/>
    </row>
    <row r="761" spans="13:13">
      <c r="M761" s="26"/>
    </row>
    <row r="762" spans="13:13">
      <c r="M762" s="26"/>
    </row>
    <row r="763" spans="13:13">
      <c r="M763" s="26"/>
    </row>
    <row r="764" spans="13:13">
      <c r="M764" s="26"/>
    </row>
    <row r="765" spans="13:13">
      <c r="M765" s="26"/>
    </row>
    <row r="766" spans="13:13">
      <c r="M766" s="26"/>
    </row>
    <row r="767" spans="13:13">
      <c r="M767" s="26"/>
    </row>
    <row r="768" spans="13:13">
      <c r="M768" s="26"/>
    </row>
    <row r="769" spans="13:13">
      <c r="M769" s="26"/>
    </row>
    <row r="770" spans="13:13">
      <c r="M770" s="26"/>
    </row>
    <row r="771" spans="13:13">
      <c r="M771" s="26"/>
    </row>
    <row r="772" spans="13:13">
      <c r="M772" s="26"/>
    </row>
    <row r="773" spans="13:13">
      <c r="M773" s="26"/>
    </row>
    <row r="774" spans="13:13">
      <c r="M774" s="26"/>
    </row>
    <row r="775" spans="13:13">
      <c r="M775" s="26"/>
    </row>
    <row r="776" spans="13:13">
      <c r="M776" s="26"/>
    </row>
    <row r="777" spans="13:13">
      <c r="M777" s="26"/>
    </row>
    <row r="778" spans="13:13">
      <c r="M778" s="26"/>
    </row>
    <row r="779" spans="13:13">
      <c r="M779" s="26"/>
    </row>
    <row r="780" spans="13:13">
      <c r="M780" s="26"/>
    </row>
    <row r="781" spans="13:13">
      <c r="M781" s="26"/>
    </row>
    <row r="782" spans="13:13">
      <c r="M782" s="26"/>
    </row>
    <row r="783" spans="13:13">
      <c r="M783" s="26"/>
    </row>
    <row r="784" spans="13:13">
      <c r="M784" s="26"/>
    </row>
    <row r="785" spans="13:13">
      <c r="M785" s="26"/>
    </row>
    <row r="786" spans="13:13">
      <c r="M786" s="26"/>
    </row>
    <row r="787" spans="13:13">
      <c r="M787" s="26"/>
    </row>
    <row r="788" spans="13:13">
      <c r="M788" s="26"/>
    </row>
    <row r="789" spans="13:13">
      <c r="M789" s="26"/>
    </row>
    <row r="790" spans="13:13">
      <c r="M790" s="26"/>
    </row>
    <row r="791" spans="13:13">
      <c r="M791" s="26"/>
    </row>
    <row r="792" spans="13:13">
      <c r="M792" s="26"/>
    </row>
    <row r="793" spans="13:13">
      <c r="M793" s="26"/>
    </row>
    <row r="794" spans="13:13">
      <c r="M794" s="26"/>
    </row>
    <row r="795" spans="13:13">
      <c r="M795" s="26"/>
    </row>
    <row r="796" spans="13:13">
      <c r="M796" s="26"/>
    </row>
    <row r="797" spans="13:13">
      <c r="M797" s="26"/>
    </row>
    <row r="798" spans="13:13">
      <c r="M798" s="26"/>
    </row>
    <row r="799" spans="13:13">
      <c r="M799" s="26"/>
    </row>
    <row r="800" spans="13:13">
      <c r="M800" s="26"/>
    </row>
    <row r="801" spans="13:13">
      <c r="M801" s="26"/>
    </row>
    <row r="802" spans="13:13">
      <c r="M802" s="26"/>
    </row>
    <row r="803" spans="13:13">
      <c r="M803" s="26"/>
    </row>
    <row r="804" spans="13:13">
      <c r="M804" s="26"/>
    </row>
    <row r="805" spans="13:13">
      <c r="M805" s="26"/>
    </row>
    <row r="806" spans="13:13">
      <c r="M806" s="26"/>
    </row>
    <row r="807" spans="13:13">
      <c r="M807" s="26"/>
    </row>
    <row r="808" spans="13:13">
      <c r="M808" s="26"/>
    </row>
    <row r="809" spans="13:13">
      <c r="M809" s="26"/>
    </row>
    <row r="810" spans="13:13">
      <c r="M810" s="26"/>
    </row>
    <row r="811" spans="13:13">
      <c r="M811" s="26"/>
    </row>
    <row r="812" spans="13:13">
      <c r="M812" s="26"/>
    </row>
    <row r="813" spans="13:13">
      <c r="M813" s="26"/>
    </row>
    <row r="814" spans="13:13">
      <c r="M814" s="26"/>
    </row>
    <row r="815" spans="13:13">
      <c r="M815" s="26"/>
    </row>
    <row r="816" spans="13:13">
      <c r="M816" s="26"/>
    </row>
    <row r="817" spans="13:13">
      <c r="M817" s="26"/>
    </row>
    <row r="818" spans="13:13">
      <c r="M818" s="26"/>
    </row>
    <row r="819" spans="13:13">
      <c r="M819" s="26"/>
    </row>
    <row r="820" spans="13:13">
      <c r="M820" s="26"/>
    </row>
    <row r="821" spans="13:13">
      <c r="M821" s="26"/>
    </row>
    <row r="822" spans="13:13">
      <c r="M822" s="26"/>
    </row>
    <row r="823" spans="13:13">
      <c r="M823" s="26"/>
    </row>
    <row r="824" spans="13:13">
      <c r="M824" s="26"/>
    </row>
    <row r="825" spans="13:13">
      <c r="M825" s="26"/>
    </row>
    <row r="826" spans="13:13">
      <c r="M826" s="26"/>
    </row>
    <row r="827" spans="13:13">
      <c r="M827" s="26"/>
    </row>
    <row r="828" spans="13:13">
      <c r="M828" s="26"/>
    </row>
    <row r="829" spans="13:13">
      <c r="M829" s="26"/>
    </row>
    <row r="830" spans="13:13">
      <c r="M830" s="26"/>
    </row>
    <row r="831" spans="13:13">
      <c r="M831" s="26"/>
    </row>
    <row r="832" spans="13:13">
      <c r="M832" s="26"/>
    </row>
    <row r="833" spans="13:13">
      <c r="M833" s="26"/>
    </row>
    <row r="834" spans="13:13">
      <c r="M834" s="26"/>
    </row>
    <row r="835" spans="13:13">
      <c r="M835" s="26"/>
    </row>
    <row r="836" spans="13:13">
      <c r="M836" s="26"/>
    </row>
    <row r="837" spans="13:13">
      <c r="M837" s="26"/>
    </row>
    <row r="838" spans="13:13">
      <c r="M838" s="26"/>
    </row>
    <row r="839" spans="13:13">
      <c r="M839" s="26"/>
    </row>
    <row r="840" spans="13:13">
      <c r="M840" s="26"/>
    </row>
    <row r="841" spans="13:13">
      <c r="M841" s="26"/>
    </row>
    <row r="842" spans="13:13">
      <c r="M842" s="26"/>
    </row>
    <row r="843" spans="13:13">
      <c r="M843" s="26"/>
    </row>
    <row r="844" spans="13:13">
      <c r="M844" s="26"/>
    </row>
    <row r="845" spans="13:13">
      <c r="M845" s="26"/>
    </row>
    <row r="846" spans="13:13">
      <c r="M846" s="26"/>
    </row>
    <row r="847" spans="13:13">
      <c r="M847" s="26"/>
    </row>
    <row r="848" spans="13:13">
      <c r="M848" s="26"/>
    </row>
    <row r="849" spans="13:13">
      <c r="M849" s="26"/>
    </row>
    <row r="850" spans="13:13">
      <c r="M850" s="26"/>
    </row>
    <row r="851" spans="13:13">
      <c r="M851" s="26"/>
    </row>
    <row r="852" spans="13:13">
      <c r="M852" s="26"/>
    </row>
    <row r="853" spans="13:13">
      <c r="M853" s="26"/>
    </row>
    <row r="854" spans="13:13">
      <c r="M854" s="26"/>
    </row>
    <row r="855" spans="13:13">
      <c r="M855" s="26"/>
    </row>
    <row r="856" spans="13:13">
      <c r="M856" s="26"/>
    </row>
    <row r="857" spans="13:13">
      <c r="M857" s="26"/>
    </row>
    <row r="858" spans="13:13">
      <c r="M858" s="26"/>
    </row>
    <row r="859" spans="13:13">
      <c r="M859" s="26"/>
    </row>
    <row r="860" spans="13:13">
      <c r="M860" s="26"/>
    </row>
    <row r="861" spans="13:13">
      <c r="M861" s="26"/>
    </row>
    <row r="862" spans="13:13">
      <c r="M862" s="26"/>
    </row>
    <row r="863" spans="13:13">
      <c r="M863" s="26"/>
    </row>
    <row r="864" spans="13:13">
      <c r="M864" s="26"/>
    </row>
    <row r="865" spans="13:13">
      <c r="M865" s="26"/>
    </row>
    <row r="866" spans="13:13">
      <c r="M866" s="26"/>
    </row>
    <row r="867" spans="13:13">
      <c r="M867" s="26"/>
    </row>
    <row r="868" spans="13:13">
      <c r="M868" s="26"/>
    </row>
    <row r="869" spans="13:13">
      <c r="M869" s="26"/>
    </row>
    <row r="870" spans="13:13">
      <c r="M870" s="26"/>
    </row>
    <row r="871" spans="13:13">
      <c r="M871" s="26"/>
    </row>
    <row r="872" spans="13:13">
      <c r="M872" s="26"/>
    </row>
    <row r="873" spans="13:13">
      <c r="M873" s="26"/>
    </row>
    <row r="874" spans="13:13">
      <c r="M874" s="26"/>
    </row>
    <row r="875" spans="13:13">
      <c r="M875" s="26"/>
    </row>
    <row r="876" spans="13:13">
      <c r="M876" s="26"/>
    </row>
    <row r="877" spans="13:13">
      <c r="M877" s="26"/>
    </row>
    <row r="878" spans="13:13">
      <c r="M878" s="26"/>
    </row>
    <row r="879" spans="13:13">
      <c r="M879" s="26"/>
    </row>
    <row r="880" spans="13:13">
      <c r="M880" s="26"/>
    </row>
    <row r="881" spans="13:13">
      <c r="M881" s="26"/>
    </row>
    <row r="882" spans="13:13">
      <c r="M882" s="26"/>
    </row>
    <row r="883" spans="13:13">
      <c r="M883" s="26"/>
    </row>
    <row r="884" spans="13:13">
      <c r="M884" s="26"/>
    </row>
    <row r="885" spans="13:13">
      <c r="M885" s="26"/>
    </row>
    <row r="886" spans="13:13">
      <c r="M886" s="26"/>
    </row>
    <row r="887" spans="13:13">
      <c r="M887" s="26"/>
    </row>
    <row r="888" spans="13:13">
      <c r="M888" s="26"/>
    </row>
    <row r="889" spans="13:13">
      <c r="M889" s="26"/>
    </row>
    <row r="890" spans="13:13">
      <c r="M890" s="26"/>
    </row>
    <row r="891" spans="13:13">
      <c r="M891" s="26"/>
    </row>
    <row r="892" spans="13:13">
      <c r="M892" s="26"/>
    </row>
    <row r="893" spans="13:13">
      <c r="M893" s="26"/>
    </row>
    <row r="894" spans="13:13">
      <c r="M894" s="26"/>
    </row>
    <row r="895" spans="13:13">
      <c r="M895" s="26"/>
    </row>
    <row r="896" spans="13:13">
      <c r="M896" s="26"/>
    </row>
    <row r="897" spans="13:13">
      <c r="M897" s="26"/>
    </row>
    <row r="898" spans="13:13">
      <c r="M898" s="26"/>
    </row>
    <row r="899" spans="13:13">
      <c r="M899" s="26"/>
    </row>
    <row r="900" spans="13:13">
      <c r="M900" s="26"/>
    </row>
    <row r="901" spans="13:13">
      <c r="M901" s="26"/>
    </row>
    <row r="902" spans="13:13">
      <c r="M902" s="26"/>
    </row>
    <row r="903" spans="13:13">
      <c r="M903" s="26"/>
    </row>
    <row r="904" spans="13:13">
      <c r="M904" s="26"/>
    </row>
    <row r="905" spans="13:13">
      <c r="M905" s="26"/>
    </row>
    <row r="906" spans="13:13">
      <c r="M906" s="26"/>
    </row>
    <row r="907" spans="13:13">
      <c r="M907" s="26"/>
    </row>
    <row r="908" spans="13:13">
      <c r="M908" s="26"/>
    </row>
    <row r="909" spans="13:13">
      <c r="M909" s="26"/>
    </row>
    <row r="910" spans="13:13">
      <c r="M910" s="26"/>
    </row>
    <row r="911" spans="13:13">
      <c r="M911" s="26"/>
    </row>
    <row r="912" spans="13:13">
      <c r="M912" s="26"/>
    </row>
    <row r="913" spans="13:13">
      <c r="M913" s="26"/>
    </row>
    <row r="914" spans="13:13">
      <c r="M914" s="26"/>
    </row>
    <row r="915" spans="13:13">
      <c r="M915" s="26"/>
    </row>
    <row r="916" spans="13:13">
      <c r="M916" s="26"/>
    </row>
    <row r="917" spans="13:13">
      <c r="M917" s="26"/>
    </row>
    <row r="918" spans="13:13">
      <c r="M918" s="26"/>
    </row>
    <row r="919" spans="13:13">
      <c r="M919" s="26"/>
    </row>
    <row r="920" spans="13:13">
      <c r="M920" s="26"/>
    </row>
    <row r="921" spans="13:13">
      <c r="M921" s="26"/>
    </row>
    <row r="922" spans="13:13">
      <c r="M922" s="26"/>
    </row>
    <row r="923" spans="13:13">
      <c r="M923" s="26"/>
    </row>
    <row r="924" spans="13:13">
      <c r="M924" s="26"/>
    </row>
    <row r="925" spans="13:13">
      <c r="M925" s="26"/>
    </row>
    <row r="926" spans="13:13">
      <c r="M926" s="26"/>
    </row>
    <row r="927" spans="13:13">
      <c r="M927" s="26"/>
    </row>
    <row r="928" spans="13:13">
      <c r="M928" s="26"/>
    </row>
    <row r="929" spans="13:13">
      <c r="M929" s="26"/>
    </row>
    <row r="930" spans="13:13">
      <c r="M930" s="26"/>
    </row>
    <row r="931" spans="13:13">
      <c r="M931" s="26"/>
    </row>
    <row r="932" spans="13:13">
      <c r="M932" s="26"/>
    </row>
    <row r="933" spans="13:13">
      <c r="M933" s="26"/>
    </row>
    <row r="934" spans="13:13">
      <c r="M934" s="26"/>
    </row>
    <row r="935" spans="13:13">
      <c r="M935" s="26"/>
    </row>
    <row r="936" spans="13:13">
      <c r="M936" s="26"/>
    </row>
    <row r="937" spans="13:13">
      <c r="M937" s="26"/>
    </row>
    <row r="938" spans="13:13">
      <c r="M938" s="26"/>
    </row>
    <row r="939" spans="13:13">
      <c r="M939" s="26"/>
    </row>
    <row r="940" spans="13:13">
      <c r="M940" s="26"/>
    </row>
    <row r="941" spans="13:13">
      <c r="M941" s="26"/>
    </row>
    <row r="942" spans="13:13">
      <c r="M942" s="26"/>
    </row>
    <row r="943" spans="13:13">
      <c r="M943" s="26"/>
    </row>
    <row r="944" spans="13:13">
      <c r="M944" s="26"/>
    </row>
    <row r="945" spans="13:13">
      <c r="M945" s="26"/>
    </row>
    <row r="946" spans="13:13">
      <c r="M946" s="26"/>
    </row>
    <row r="947" spans="13:13">
      <c r="M947" s="26"/>
    </row>
    <row r="948" spans="13:13">
      <c r="M948" s="26"/>
    </row>
    <row r="949" spans="13:13">
      <c r="M949" s="26"/>
    </row>
    <row r="950" spans="13:13">
      <c r="M950" s="26"/>
    </row>
    <row r="951" spans="13:13">
      <c r="M951" s="26"/>
    </row>
    <row r="952" spans="13:13">
      <c r="M952" s="26"/>
    </row>
    <row r="953" spans="13:13">
      <c r="M953" s="26"/>
    </row>
    <row r="954" spans="13:13">
      <c r="M954" s="26"/>
    </row>
    <row r="955" spans="13:13">
      <c r="M955" s="26"/>
    </row>
    <row r="956" spans="13:13">
      <c r="M956" s="26"/>
    </row>
    <row r="957" spans="13:13">
      <c r="M957" s="26"/>
    </row>
    <row r="958" spans="13:13">
      <c r="M958" s="26"/>
    </row>
    <row r="959" spans="13:13">
      <c r="M959" s="26"/>
    </row>
    <row r="960" spans="13:13">
      <c r="M960" s="26"/>
    </row>
    <row r="961" spans="13:13">
      <c r="M961" s="26"/>
    </row>
    <row r="962" spans="13:13">
      <c r="M962" s="26"/>
    </row>
    <row r="963" spans="13:13">
      <c r="M963" s="26"/>
    </row>
    <row r="964" spans="13:13">
      <c r="M964" s="26"/>
    </row>
    <row r="965" spans="13:13">
      <c r="M965" s="26"/>
    </row>
    <row r="966" spans="13:13">
      <c r="M966" s="26"/>
    </row>
    <row r="967" spans="13:13">
      <c r="M967" s="26"/>
    </row>
    <row r="968" spans="13:13">
      <c r="M968" s="26"/>
    </row>
    <row r="969" spans="13:13">
      <c r="M969" s="26"/>
    </row>
    <row r="970" spans="13:13">
      <c r="M970" s="26"/>
    </row>
    <row r="971" spans="13:13">
      <c r="M971" s="26"/>
    </row>
    <row r="972" spans="13:13">
      <c r="M972" s="26"/>
    </row>
    <row r="973" spans="13:13">
      <c r="M973" s="26"/>
    </row>
    <row r="974" spans="13:13">
      <c r="M974" s="26"/>
    </row>
    <row r="975" spans="13:13">
      <c r="M975" s="26"/>
    </row>
    <row r="976" spans="13:13">
      <c r="M976" s="26"/>
    </row>
    <row r="977" spans="13:13">
      <c r="M977" s="26"/>
    </row>
    <row r="978" spans="13:13">
      <c r="M978" s="26"/>
    </row>
    <row r="979" spans="13:13">
      <c r="M979" s="26"/>
    </row>
    <row r="980" spans="13:13">
      <c r="M980" s="26"/>
    </row>
    <row r="981" spans="13:13">
      <c r="M981" s="26"/>
    </row>
    <row r="982" spans="13:13">
      <c r="M982" s="26"/>
    </row>
    <row r="983" spans="13:13">
      <c r="M983" s="26"/>
    </row>
    <row r="984" spans="13:13">
      <c r="M984" s="26"/>
    </row>
    <row r="985" spans="13:13">
      <c r="M985" s="26"/>
    </row>
    <row r="986" spans="13:13">
      <c r="M986" s="26"/>
    </row>
    <row r="987" spans="13:13">
      <c r="M987" s="26"/>
    </row>
    <row r="988" spans="13:13">
      <c r="M988" s="26"/>
    </row>
    <row r="989" spans="13:13">
      <c r="M989" s="26"/>
    </row>
    <row r="990" spans="13:13">
      <c r="M990" s="26"/>
    </row>
    <row r="991" spans="13:13">
      <c r="M991" s="26"/>
    </row>
    <row r="992" spans="13:13">
      <c r="M992" s="26"/>
    </row>
    <row r="993" spans="13:13">
      <c r="M993" s="26"/>
    </row>
    <row r="994" spans="13:13">
      <c r="M994" s="26"/>
    </row>
    <row r="995" spans="13:13">
      <c r="M995" s="26"/>
    </row>
    <row r="996" spans="13:13">
      <c r="M996" s="26"/>
    </row>
    <row r="997" spans="13:13">
      <c r="M997" s="26"/>
    </row>
    <row r="998" spans="13:13">
      <c r="M998" s="26"/>
    </row>
    <row r="999" spans="13:13">
      <c r="M999" s="26"/>
    </row>
    <row r="1000" spans="13:13">
      <c r="M1000" s="26"/>
    </row>
    <row r="1001" spans="13:13">
      <c r="M1001" s="26"/>
    </row>
    <row r="1002" spans="13:13">
      <c r="M1002" s="26"/>
    </row>
    <row r="1003" spans="13:13">
      <c r="M1003" s="26"/>
    </row>
    <row r="1004" spans="13:13">
      <c r="M1004" s="26"/>
    </row>
    <row r="1005" spans="13:13">
      <c r="M1005" s="26"/>
    </row>
    <row r="1006" spans="13:13">
      <c r="M1006" s="26"/>
    </row>
    <row r="1007" spans="13:13">
      <c r="M1007" s="26"/>
    </row>
  </sheetData>
  <mergeCells count="3">
    <mergeCell ref="AO8:AQ8"/>
    <mergeCell ref="G8:M8"/>
    <mergeCell ref="Q8:AC8"/>
  </mergeCells>
  <phoneticPr fontId="3" type="noConversion"/>
  <pageMargins left="0.75" right="0.5" top="0.5" bottom="0.5" header="0.25" footer="0.25"/>
  <pageSetup scale="76" firstPageNumber="16" pageOrder="overThenDown" orientation="portrait" useFirstPageNumber="1" r:id="rId1"/>
  <headerFooter scaleWithDoc="0" alignWithMargins="0"/>
  <rowBreaks count="1" manualBreakCount="1">
    <brk id="67" max="16383" man="1"/>
  </rowBreaks>
  <colBreaks count="4" manualBreakCount="4">
    <brk id="14" max="1048575" man="1"/>
    <brk id="30" max="1048575" man="1"/>
    <brk id="43" max="1048575" man="1"/>
    <brk id="6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4"/>
  <sheetViews>
    <sheetView zoomScaleNormal="100" zoomScaleSheetLayoutView="100" workbookViewId="0">
      <pane xSplit="6" ySplit="11" topLeftCell="G12" activePane="bottomRight" state="frozen"/>
      <selection activeCell="I141" sqref="I141"/>
      <selection pane="topRight" activeCell="I141" sqref="I141"/>
      <selection pane="bottomLeft" activeCell="I141" sqref="I141"/>
      <selection pane="bottomRight" activeCell="G12" sqref="G12"/>
    </sheetView>
  </sheetViews>
  <sheetFormatPr defaultRowHeight="12"/>
  <cols>
    <col min="1" max="1" width="45.7109375" style="27" customWidth="1"/>
    <col min="2" max="2" width="1.7109375" style="27" customWidth="1"/>
    <col min="3" max="3" width="11.7109375" style="27" customWidth="1"/>
    <col min="4" max="4" width="1.7109375" style="27" hidden="1" customWidth="1"/>
    <col min="5" max="5" width="6.7109375" style="27" hidden="1" customWidth="1"/>
    <col min="6" max="6" width="1.7109375" style="27" customWidth="1"/>
    <col min="7" max="7" width="11.7109375" style="27" customWidth="1"/>
    <col min="8" max="8" width="1.7109375" style="27" customWidth="1"/>
    <col min="9" max="9" width="11.7109375" style="27" customWidth="1"/>
    <col min="10" max="10" width="1.7109375" style="27" customWidth="1"/>
    <col min="11" max="11" width="11.7109375" style="27" customWidth="1"/>
    <col min="12" max="12" width="1.7109375" style="27" customWidth="1"/>
    <col min="13" max="13" width="11.7109375" style="27" customWidth="1"/>
    <col min="14" max="14" width="1.28515625" style="27" customWidth="1"/>
    <col min="15" max="15" width="11.7109375" style="27" customWidth="1"/>
    <col min="16" max="16" width="1.28515625" style="27" customWidth="1"/>
    <col min="17" max="17" width="11.7109375" style="27" customWidth="1"/>
    <col min="18" max="18" width="1.7109375" style="27" customWidth="1"/>
    <col min="19" max="19" width="11.7109375" style="27" customWidth="1"/>
    <col min="20" max="20" width="1.28515625" style="27" customWidth="1"/>
    <col min="21" max="21" width="11.7109375" style="27" customWidth="1"/>
    <col min="22" max="22" width="1.28515625" style="27" customWidth="1"/>
    <col min="23" max="23" width="11.7109375" style="27" customWidth="1"/>
    <col min="24" max="24" width="1.28515625" style="27" customWidth="1"/>
    <col min="25" max="25" width="11.7109375" style="27" customWidth="1"/>
    <col min="26" max="26" width="1.28515625" style="27" customWidth="1"/>
    <col min="27" max="27" width="11.7109375" style="27" customWidth="1"/>
    <col min="28" max="28" width="1.28515625" style="27" customWidth="1"/>
    <col min="29" max="29" width="11.7109375" style="27" customWidth="1"/>
    <col min="30" max="30" width="1.28515625" style="27" customWidth="1"/>
    <col min="31" max="31" width="9.28515625" style="27" bestFit="1" customWidth="1"/>
    <col min="32" max="32" width="1.7109375" style="27" customWidth="1"/>
    <col min="33" max="33" width="11.7109375" style="30" customWidth="1"/>
    <col min="34" max="34" width="1.7109375" style="27" customWidth="1"/>
    <col min="35" max="35" width="10.7109375" style="27" customWidth="1"/>
    <col min="36" max="36" width="1.7109375" style="27" customWidth="1"/>
    <col min="37" max="16384" width="9.140625" style="27"/>
  </cols>
  <sheetData>
    <row r="1" spans="1:35" s="15" customFormat="1">
      <c r="A1" s="44" t="s">
        <v>89</v>
      </c>
      <c r="B1" s="44"/>
      <c r="C1" s="44"/>
      <c r="D1" s="44"/>
      <c r="E1" s="44"/>
      <c r="F1" s="4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4"/>
      <c r="AG1" s="3"/>
    </row>
    <row r="2" spans="1:35" s="15" customFormat="1">
      <c r="A2" s="44" t="s">
        <v>367</v>
      </c>
      <c r="B2" s="44"/>
      <c r="C2" s="44"/>
      <c r="D2" s="44"/>
      <c r="E2" s="44"/>
      <c r="F2" s="4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4"/>
      <c r="AG2" s="3"/>
    </row>
    <row r="3" spans="1:35" s="15" customFormat="1">
      <c r="A3" s="84"/>
      <c r="B3" s="44"/>
      <c r="C3" s="44"/>
      <c r="D3" s="44"/>
      <c r="E3" s="44"/>
      <c r="F3" s="4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4"/>
      <c r="AG3" s="3"/>
    </row>
    <row r="4" spans="1:35" s="15" customFormat="1">
      <c r="A4" s="7" t="s">
        <v>257</v>
      </c>
      <c r="B4" s="18"/>
      <c r="C4" s="18"/>
      <c r="D4" s="18"/>
      <c r="E4" s="18"/>
      <c r="F4" s="4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3"/>
      <c r="AA4" s="3"/>
      <c r="AB4" s="3"/>
      <c r="AC4" s="3"/>
      <c r="AD4" s="3"/>
      <c r="AE4" s="3"/>
      <c r="AF4" s="24"/>
      <c r="AG4" s="3"/>
    </row>
    <row r="5" spans="1:35" s="15" customFormat="1">
      <c r="A5" s="7"/>
      <c r="B5" s="18"/>
      <c r="C5" s="18"/>
      <c r="D5" s="18"/>
      <c r="E5" s="18"/>
      <c r="F5" s="4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3"/>
      <c r="AA5" s="3"/>
      <c r="AB5" s="3"/>
      <c r="AC5" s="3"/>
      <c r="AD5" s="3"/>
      <c r="AE5" s="3"/>
      <c r="AF5" s="24"/>
      <c r="AG5" s="3"/>
    </row>
    <row r="6" spans="1:35" s="15" customFormat="1">
      <c r="A6" s="18"/>
      <c r="B6" s="18"/>
      <c r="C6" s="18"/>
      <c r="D6" s="18"/>
      <c r="E6" s="18"/>
      <c r="F6" s="4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3"/>
      <c r="AA6" s="3"/>
      <c r="AB6" s="3"/>
      <c r="AC6" s="3"/>
      <c r="AD6" s="3"/>
      <c r="AE6" s="3"/>
      <c r="AF6" s="24"/>
      <c r="AG6" s="3"/>
    </row>
    <row r="7" spans="1:35" s="15" customFormat="1">
      <c r="A7" s="29" t="s">
        <v>311</v>
      </c>
      <c r="B7" s="18"/>
      <c r="C7" s="18"/>
      <c r="D7" s="18"/>
      <c r="E7" s="18"/>
      <c r="F7" s="4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3"/>
      <c r="AA7" s="3"/>
      <c r="AB7" s="3"/>
      <c r="AC7" s="3"/>
      <c r="AD7" s="3"/>
      <c r="AE7" s="3"/>
      <c r="AF7" s="24"/>
      <c r="AG7" s="3"/>
    </row>
    <row r="8" spans="1:35" s="3" customFormat="1">
      <c r="A8" s="46"/>
      <c r="G8" s="119" t="s">
        <v>1</v>
      </c>
      <c r="H8" s="119"/>
      <c r="I8" s="119"/>
      <c r="J8" s="119"/>
      <c r="K8" s="119"/>
      <c r="Q8" s="98" t="s">
        <v>13</v>
      </c>
      <c r="U8" s="119" t="s">
        <v>336</v>
      </c>
      <c r="V8" s="119"/>
      <c r="W8" s="119"/>
      <c r="X8" s="119"/>
      <c r="Y8" s="119"/>
      <c r="Z8" s="119"/>
      <c r="AA8" s="119"/>
      <c r="AB8" s="119"/>
      <c r="AC8" s="119"/>
    </row>
    <row r="9" spans="1:35" s="20" customFormat="1">
      <c r="B9" s="47"/>
      <c r="C9" s="47"/>
      <c r="D9" s="47"/>
      <c r="E9" s="47"/>
      <c r="F9" s="9"/>
      <c r="G9" s="2"/>
      <c r="H9" s="2"/>
      <c r="I9" s="2"/>
      <c r="J9" s="2"/>
      <c r="K9" s="2"/>
      <c r="L9" s="2"/>
      <c r="M9" s="2"/>
      <c r="N9" s="2"/>
      <c r="O9" s="2" t="s">
        <v>5</v>
      </c>
      <c r="P9" s="2"/>
      <c r="Q9" s="2"/>
      <c r="R9" s="2"/>
      <c r="S9" s="2" t="s">
        <v>5</v>
      </c>
      <c r="T9" s="2"/>
      <c r="U9" s="2"/>
      <c r="V9" s="2"/>
      <c r="X9" s="2"/>
      <c r="Y9" s="2"/>
      <c r="Z9" s="2"/>
      <c r="AA9" s="2"/>
      <c r="AB9" s="2"/>
      <c r="AC9" s="2"/>
      <c r="AD9" s="2"/>
      <c r="AE9" s="2" t="s">
        <v>6</v>
      </c>
      <c r="AF9" s="21"/>
      <c r="AG9" s="11" t="s">
        <v>2</v>
      </c>
      <c r="AI9" s="101" t="s">
        <v>2</v>
      </c>
    </row>
    <row r="10" spans="1:35" s="20" customFormat="1">
      <c r="B10" s="9"/>
      <c r="C10" s="9"/>
      <c r="D10" s="9"/>
      <c r="E10" s="9"/>
      <c r="F10" s="9"/>
      <c r="G10" s="2" t="s">
        <v>90</v>
      </c>
      <c r="H10" s="2"/>
      <c r="I10" s="2" t="s">
        <v>16</v>
      </c>
      <c r="J10" s="2"/>
      <c r="K10" s="2" t="s">
        <v>82</v>
      </c>
      <c r="L10" s="2"/>
      <c r="M10" s="2" t="s">
        <v>6</v>
      </c>
      <c r="N10" s="2"/>
      <c r="O10" s="2" t="s">
        <v>381</v>
      </c>
      <c r="P10" s="2"/>
      <c r="Q10" s="2" t="s">
        <v>6</v>
      </c>
      <c r="R10" s="2"/>
      <c r="S10" s="2" t="s">
        <v>382</v>
      </c>
      <c r="T10" s="2"/>
      <c r="U10" s="2" t="s">
        <v>279</v>
      </c>
      <c r="V10" s="2"/>
      <c r="W10" s="2" t="s">
        <v>16</v>
      </c>
      <c r="X10" s="2"/>
      <c r="Y10" s="2" t="s">
        <v>280</v>
      </c>
      <c r="Z10" s="2"/>
      <c r="AA10" s="2" t="s">
        <v>281</v>
      </c>
      <c r="AB10" s="2"/>
      <c r="AC10" s="2" t="s">
        <v>282</v>
      </c>
      <c r="AD10" s="2"/>
      <c r="AE10" s="2" t="s">
        <v>91</v>
      </c>
      <c r="AF10" s="21"/>
      <c r="AG10" s="11" t="s">
        <v>92</v>
      </c>
      <c r="AI10" s="101" t="s">
        <v>92</v>
      </c>
    </row>
    <row r="11" spans="1:35" s="21" customFormat="1">
      <c r="A11" s="48" t="s">
        <v>277</v>
      </c>
      <c r="B11" s="20"/>
      <c r="C11" s="48" t="s">
        <v>10</v>
      </c>
      <c r="D11" s="20"/>
      <c r="E11" s="48" t="s">
        <v>11</v>
      </c>
      <c r="F11" s="9"/>
      <c r="G11" s="77" t="s">
        <v>12</v>
      </c>
      <c r="H11" s="2"/>
      <c r="I11" s="77" t="s">
        <v>1</v>
      </c>
      <c r="J11" s="2"/>
      <c r="K11" s="77" t="s">
        <v>1</v>
      </c>
      <c r="L11" s="2"/>
      <c r="M11" s="77" t="s">
        <v>1</v>
      </c>
      <c r="N11" s="2"/>
      <c r="O11" s="100" t="s">
        <v>370</v>
      </c>
      <c r="P11" s="2"/>
      <c r="Q11" s="77" t="s">
        <v>13</v>
      </c>
      <c r="R11" s="2"/>
      <c r="S11" s="100" t="s">
        <v>370</v>
      </c>
      <c r="T11" s="2"/>
      <c r="U11" s="77" t="s">
        <v>94</v>
      </c>
      <c r="V11" s="2"/>
      <c r="W11" s="77" t="s">
        <v>94</v>
      </c>
      <c r="X11" s="2"/>
      <c r="Y11" s="77" t="s">
        <v>94</v>
      </c>
      <c r="Z11" s="2"/>
      <c r="AA11" s="77" t="s">
        <v>94</v>
      </c>
      <c r="AB11" s="2"/>
      <c r="AC11" s="77" t="s">
        <v>94</v>
      </c>
      <c r="AD11" s="2"/>
      <c r="AE11" s="77" t="s">
        <v>116</v>
      </c>
      <c r="AG11" s="77" t="s">
        <v>18</v>
      </c>
      <c r="AI11" s="100" t="s">
        <v>18</v>
      </c>
    </row>
    <row r="12" spans="1:35" s="21" customFormat="1">
      <c r="B12" s="20"/>
      <c r="D12" s="20"/>
      <c r="F12" s="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G12" s="2"/>
    </row>
    <row r="13" spans="1:35">
      <c r="A13" s="32" t="s">
        <v>252</v>
      </c>
    </row>
    <row r="14" spans="1:35">
      <c r="A14" s="32"/>
    </row>
    <row r="15" spans="1:35" s="102" customFormat="1">
      <c r="A15" s="3" t="s">
        <v>283</v>
      </c>
      <c r="B15" s="3"/>
      <c r="C15" s="3" t="s">
        <v>260</v>
      </c>
      <c r="E15" s="103">
        <v>50773</v>
      </c>
      <c r="G15" s="19">
        <v>6134240</v>
      </c>
      <c r="H15" s="19"/>
      <c r="I15" s="19">
        <v>0</v>
      </c>
      <c r="J15" s="19"/>
      <c r="K15" s="112">
        <f>+M15-I15-G15</f>
        <v>3286424</v>
      </c>
      <c r="L15" s="19"/>
      <c r="M15" s="19">
        <v>9420664</v>
      </c>
      <c r="N15" s="19"/>
      <c r="O15" s="19">
        <v>0</v>
      </c>
      <c r="P15" s="19"/>
      <c r="Q15" s="19">
        <v>946002</v>
      </c>
      <c r="R15" s="19"/>
      <c r="S15" s="19">
        <v>2894447</v>
      </c>
      <c r="T15" s="19"/>
      <c r="U15" s="19">
        <v>98509</v>
      </c>
      <c r="V15" s="19"/>
      <c r="W15" s="19">
        <v>0</v>
      </c>
      <c r="X15" s="19"/>
      <c r="Y15" s="19">
        <v>0</v>
      </c>
      <c r="Z15" s="19"/>
      <c r="AA15" s="19">
        <v>146500</v>
      </c>
      <c r="AB15" s="19"/>
      <c r="AC15" s="19">
        <v>5335206</v>
      </c>
      <c r="AD15" s="19"/>
      <c r="AE15" s="113">
        <f>SUM(U15:AC15)</f>
        <v>5580215</v>
      </c>
      <c r="AF15" s="103"/>
      <c r="AG15" s="3">
        <f>+G15+I15+K15+O15-Q15-S15-AA15-Y15-U15-W15-AC15</f>
        <v>0</v>
      </c>
      <c r="AI15" s="30">
        <f>M15+O15-Q15-S15-AE15</f>
        <v>0</v>
      </c>
    </row>
    <row r="16" spans="1:35" s="30" customFormat="1">
      <c r="A16" s="3" t="s">
        <v>239</v>
      </c>
      <c r="B16" s="3"/>
      <c r="C16" s="3" t="s">
        <v>143</v>
      </c>
      <c r="E16" s="114">
        <v>62042</v>
      </c>
      <c r="G16" s="3">
        <v>4361745</v>
      </c>
      <c r="H16" s="3"/>
      <c r="I16" s="3">
        <v>0</v>
      </c>
      <c r="J16" s="3"/>
      <c r="K16" s="8">
        <f>+M16-I16-G16</f>
        <v>2493899</v>
      </c>
      <c r="L16" s="3"/>
      <c r="M16" s="3">
        <v>6855644</v>
      </c>
      <c r="N16" s="3"/>
      <c r="O16" s="3">
        <v>0</v>
      </c>
      <c r="P16" s="3"/>
      <c r="Q16" s="3">
        <v>497228</v>
      </c>
      <c r="R16" s="3"/>
      <c r="S16" s="3">
        <v>2032324</v>
      </c>
      <c r="T16" s="3"/>
      <c r="U16" s="3">
        <f>4314+16867</f>
        <v>21181</v>
      </c>
      <c r="V16" s="3"/>
      <c r="W16" s="3">
        <v>0</v>
      </c>
      <c r="X16" s="3"/>
      <c r="Y16" s="3">
        <f>69559+23713+129801</f>
        <v>223073</v>
      </c>
      <c r="Z16" s="3"/>
      <c r="AA16" s="3">
        <f>53219+23901+694584+20144+6592+58304</f>
        <v>856744</v>
      </c>
      <c r="AB16" s="3"/>
      <c r="AC16" s="3">
        <v>3225094</v>
      </c>
      <c r="AD16" s="3"/>
      <c r="AE16" s="22">
        <f>SUM(U16:AC16)</f>
        <v>4326092</v>
      </c>
      <c r="AF16" s="3"/>
      <c r="AG16" s="3">
        <f t="shared" ref="AG16:AG65" si="0">+G16+I16+K16+O16-Q16-S16-AA16-Y16-U16-W16-AC16</f>
        <v>0</v>
      </c>
      <c r="AI16" s="30">
        <f t="shared" ref="AI16:AI65" si="1">M16+O16-Q16-S16-AE16</f>
        <v>0</v>
      </c>
    </row>
    <row r="17" spans="1:35" s="102" customFormat="1">
      <c r="A17" s="3" t="s">
        <v>348</v>
      </c>
      <c r="B17" s="103"/>
      <c r="C17" s="103" t="s">
        <v>144</v>
      </c>
      <c r="E17" s="103">
        <v>50815</v>
      </c>
      <c r="G17" s="3">
        <v>5025957</v>
      </c>
      <c r="H17" s="3"/>
      <c r="I17" s="3">
        <v>6559</v>
      </c>
      <c r="J17" s="3"/>
      <c r="K17" s="8">
        <f>+M17-I17-G17</f>
        <v>4941047</v>
      </c>
      <c r="L17" s="3"/>
      <c r="M17" s="3">
        <v>9973563</v>
      </c>
      <c r="N17" s="3"/>
      <c r="O17" s="3">
        <v>0</v>
      </c>
      <c r="P17" s="3"/>
      <c r="Q17" s="3">
        <v>1152610</v>
      </c>
      <c r="R17" s="3"/>
      <c r="S17" s="3">
        <v>3037927</v>
      </c>
      <c r="T17" s="3"/>
      <c r="U17" s="3">
        <v>42759</v>
      </c>
      <c r="V17" s="3"/>
      <c r="W17" s="3">
        <v>0</v>
      </c>
      <c r="X17" s="3"/>
      <c r="Y17" s="3">
        <v>0</v>
      </c>
      <c r="Z17" s="3"/>
      <c r="AA17" s="3">
        <v>791886</v>
      </c>
      <c r="AB17" s="3"/>
      <c r="AC17" s="3">
        <v>4948381</v>
      </c>
      <c r="AD17" s="3"/>
      <c r="AE17" s="22">
        <f t="shared" ref="AE17:AE65" si="2">SUM(U17:AC17)</f>
        <v>5783026</v>
      </c>
      <c r="AF17" s="103"/>
      <c r="AG17" s="3">
        <f t="shared" si="0"/>
        <v>0</v>
      </c>
      <c r="AI17" s="30">
        <f t="shared" si="1"/>
        <v>0</v>
      </c>
    </row>
    <row r="18" spans="1:35" s="102" customFormat="1">
      <c r="A18" s="3" t="s">
        <v>289</v>
      </c>
      <c r="B18" s="103"/>
      <c r="C18" s="103" t="s">
        <v>146</v>
      </c>
      <c r="E18" s="103">
        <v>51169</v>
      </c>
      <c r="G18" s="3">
        <v>6005508</v>
      </c>
      <c r="H18" s="3"/>
      <c r="I18" s="3">
        <v>0</v>
      </c>
      <c r="J18" s="3"/>
      <c r="K18" s="8">
        <f t="shared" ref="K18:K65" si="3">+M18-I18-G18</f>
        <v>7340200</v>
      </c>
      <c r="L18" s="3"/>
      <c r="M18" s="3">
        <v>13345708</v>
      </c>
      <c r="N18" s="3"/>
      <c r="O18" s="3">
        <v>0</v>
      </c>
      <c r="P18" s="3"/>
      <c r="Q18" s="3">
        <v>821627</v>
      </c>
      <c r="R18" s="3"/>
      <c r="S18" s="3">
        <v>5320686</v>
      </c>
      <c r="T18" s="3"/>
      <c r="U18" s="3">
        <v>1435654</v>
      </c>
      <c r="V18" s="3"/>
      <c r="W18" s="3">
        <v>0</v>
      </c>
      <c r="X18" s="3"/>
      <c r="Y18" s="3">
        <v>0</v>
      </c>
      <c r="Z18" s="3"/>
      <c r="AA18" s="3">
        <v>2279539</v>
      </c>
      <c r="AB18" s="3"/>
      <c r="AC18" s="3">
        <v>3488202</v>
      </c>
      <c r="AD18" s="3"/>
      <c r="AE18" s="22">
        <f t="shared" si="2"/>
        <v>7203395</v>
      </c>
      <c r="AF18" s="103"/>
      <c r="AG18" s="3">
        <f t="shared" si="0"/>
        <v>0</v>
      </c>
      <c r="AI18" s="30">
        <f t="shared" si="1"/>
        <v>0</v>
      </c>
    </row>
    <row r="19" spans="1:35" s="102" customFormat="1">
      <c r="A19" s="3" t="s">
        <v>290</v>
      </c>
      <c r="B19" s="103"/>
      <c r="C19" s="103" t="s">
        <v>149</v>
      </c>
      <c r="E19" s="103">
        <v>50856</v>
      </c>
      <c r="G19" s="3">
        <v>1644972</v>
      </c>
      <c r="H19" s="3"/>
      <c r="I19" s="3">
        <v>11000</v>
      </c>
      <c r="J19" s="3"/>
      <c r="K19" s="8">
        <f t="shared" si="3"/>
        <v>2205833</v>
      </c>
      <c r="L19" s="3"/>
      <c r="M19" s="3">
        <v>3861805</v>
      </c>
      <c r="N19" s="3"/>
      <c r="O19" s="3">
        <v>0</v>
      </c>
      <c r="P19" s="3"/>
      <c r="Q19" s="3">
        <v>744368</v>
      </c>
      <c r="R19" s="3"/>
      <c r="S19" s="3">
        <v>1887278</v>
      </c>
      <c r="T19" s="3"/>
      <c r="U19" s="3">
        <f>37196+38179</f>
        <v>75375</v>
      </c>
      <c r="V19" s="3"/>
      <c r="W19" s="3">
        <v>11000</v>
      </c>
      <c r="X19" s="3"/>
      <c r="Y19" s="3">
        <v>0</v>
      </c>
      <c r="Z19" s="3"/>
      <c r="AA19" s="3">
        <v>97988</v>
      </c>
      <c r="AB19" s="3"/>
      <c r="AC19" s="3">
        <v>1045796</v>
      </c>
      <c r="AD19" s="3"/>
      <c r="AE19" s="22">
        <f t="shared" si="2"/>
        <v>1230159</v>
      </c>
      <c r="AF19" s="103"/>
      <c r="AG19" s="3">
        <f t="shared" si="0"/>
        <v>0</v>
      </c>
      <c r="AI19" s="30">
        <f t="shared" si="1"/>
        <v>0</v>
      </c>
    </row>
    <row r="20" spans="1:35" s="102" customFormat="1">
      <c r="A20" s="3" t="s">
        <v>220</v>
      </c>
      <c r="B20" s="103"/>
      <c r="C20" s="103" t="s">
        <v>198</v>
      </c>
      <c r="E20" s="103">
        <v>51656</v>
      </c>
      <c r="G20" s="3">
        <v>13350408</v>
      </c>
      <c r="H20" s="3"/>
      <c r="I20" s="3">
        <v>0</v>
      </c>
      <c r="J20" s="3"/>
      <c r="K20" s="8">
        <f t="shared" si="3"/>
        <v>4884701</v>
      </c>
      <c r="L20" s="3"/>
      <c r="M20" s="3">
        <v>18235109</v>
      </c>
      <c r="N20" s="3"/>
      <c r="O20" s="3">
        <v>0</v>
      </c>
      <c r="P20" s="3"/>
      <c r="Q20" s="3">
        <v>1158455</v>
      </c>
      <c r="R20" s="3"/>
      <c r="S20" s="3">
        <v>3982292</v>
      </c>
      <c r="T20" s="3"/>
      <c r="U20" s="3">
        <f>109344+9186+2043</f>
        <v>120573</v>
      </c>
      <c r="V20" s="3"/>
      <c r="W20" s="3">
        <v>0</v>
      </c>
      <c r="X20" s="3"/>
      <c r="Y20" s="3">
        <f>53125+3314</f>
        <v>56439</v>
      </c>
      <c r="Z20" s="3"/>
      <c r="AA20" s="3">
        <f>46460+99150+1283943+89591+196388+113577+16881</f>
        <v>1845990</v>
      </c>
      <c r="AB20" s="3"/>
      <c r="AC20" s="3">
        <v>11071360</v>
      </c>
      <c r="AD20" s="3"/>
      <c r="AE20" s="22">
        <f t="shared" si="2"/>
        <v>13094362</v>
      </c>
      <c r="AF20" s="103"/>
      <c r="AG20" s="3">
        <f t="shared" si="0"/>
        <v>0</v>
      </c>
      <c r="AI20" s="30">
        <f t="shared" si="1"/>
        <v>0</v>
      </c>
    </row>
    <row r="21" spans="1:35" s="102" customFormat="1">
      <c r="A21" s="3" t="s">
        <v>357</v>
      </c>
      <c r="B21" s="103"/>
      <c r="C21" s="103" t="s">
        <v>147</v>
      </c>
      <c r="E21" s="103">
        <v>50880</v>
      </c>
      <c r="G21" s="3">
        <v>17229165</v>
      </c>
      <c r="H21" s="3"/>
      <c r="I21" s="3">
        <v>864849</v>
      </c>
      <c r="J21" s="3"/>
      <c r="K21" s="8">
        <f t="shared" si="3"/>
        <v>18061480</v>
      </c>
      <c r="L21" s="3"/>
      <c r="M21" s="3">
        <v>36155494</v>
      </c>
      <c r="N21" s="3"/>
      <c r="O21" s="3">
        <v>0</v>
      </c>
      <c r="P21" s="3"/>
      <c r="Q21" s="3">
        <v>21360780</v>
      </c>
      <c r="R21" s="3"/>
      <c r="S21" s="3">
        <v>0</v>
      </c>
      <c r="T21" s="3"/>
      <c r="U21" s="3">
        <v>0</v>
      </c>
      <c r="V21" s="3"/>
      <c r="W21" s="3">
        <v>1079232</v>
      </c>
      <c r="X21" s="3"/>
      <c r="Y21" s="3">
        <v>0</v>
      </c>
      <c r="Z21" s="3"/>
      <c r="AA21" s="3">
        <v>4419119</v>
      </c>
      <c r="AB21" s="3"/>
      <c r="AC21" s="3">
        <v>9296363</v>
      </c>
      <c r="AD21" s="3"/>
      <c r="AE21" s="22">
        <f t="shared" si="2"/>
        <v>14794714</v>
      </c>
      <c r="AF21" s="103"/>
      <c r="AG21" s="3">
        <f t="shared" si="0"/>
        <v>0</v>
      </c>
      <c r="AI21" s="30">
        <f t="shared" si="1"/>
        <v>0</v>
      </c>
    </row>
    <row r="22" spans="1:35" s="102" customFormat="1">
      <c r="A22" s="3" t="s">
        <v>273</v>
      </c>
      <c r="B22" s="103"/>
      <c r="C22" s="103" t="s">
        <v>173</v>
      </c>
      <c r="E22" s="103">
        <v>51201</v>
      </c>
      <c r="G22" s="3">
        <v>7222098</v>
      </c>
      <c r="H22" s="3"/>
      <c r="I22" s="3">
        <v>0</v>
      </c>
      <c r="J22" s="3"/>
      <c r="K22" s="8">
        <f>+M22-I22-G22</f>
        <v>7645432</v>
      </c>
      <c r="L22" s="3"/>
      <c r="M22" s="3">
        <v>14867530</v>
      </c>
      <c r="N22" s="3"/>
      <c r="O22" s="3">
        <v>0</v>
      </c>
      <c r="P22" s="3"/>
      <c r="Q22" s="3">
        <v>912201</v>
      </c>
      <c r="R22" s="3"/>
      <c r="S22" s="3">
        <v>6748656</v>
      </c>
      <c r="T22" s="3"/>
      <c r="U22" s="3">
        <v>56180</v>
      </c>
      <c r="V22" s="3"/>
      <c r="W22" s="3">
        <v>0</v>
      </c>
      <c r="X22" s="3"/>
      <c r="Y22" s="3">
        <v>10000</v>
      </c>
      <c r="Z22" s="3"/>
      <c r="AA22" s="3">
        <v>236992</v>
      </c>
      <c r="AB22" s="3"/>
      <c r="AC22" s="3">
        <v>6903501</v>
      </c>
      <c r="AD22" s="3"/>
      <c r="AE22" s="22">
        <f>SUM(U22:AC22)</f>
        <v>7206673</v>
      </c>
      <c r="AF22" s="103"/>
      <c r="AG22" s="3">
        <f t="shared" si="0"/>
        <v>0</v>
      </c>
      <c r="AI22" s="30">
        <f t="shared" si="1"/>
        <v>0</v>
      </c>
    </row>
    <row r="23" spans="1:35" s="92" customFormat="1" hidden="1">
      <c r="A23" s="88" t="s">
        <v>271</v>
      </c>
      <c r="B23" s="89"/>
      <c r="C23" s="89" t="s">
        <v>214</v>
      </c>
      <c r="E23" s="89">
        <v>63511</v>
      </c>
      <c r="G23" s="88">
        <v>0</v>
      </c>
      <c r="H23" s="88"/>
      <c r="I23" s="88">
        <v>0</v>
      </c>
      <c r="J23" s="88"/>
      <c r="K23" s="95">
        <f t="shared" si="3"/>
        <v>0</v>
      </c>
      <c r="L23" s="88"/>
      <c r="M23" s="88">
        <v>0</v>
      </c>
      <c r="N23" s="88"/>
      <c r="O23" s="88">
        <v>0</v>
      </c>
      <c r="P23" s="88"/>
      <c r="Q23" s="88">
        <v>0</v>
      </c>
      <c r="R23" s="88"/>
      <c r="S23" s="88">
        <v>0</v>
      </c>
      <c r="T23" s="88"/>
      <c r="U23" s="88">
        <v>0</v>
      </c>
      <c r="V23" s="88"/>
      <c r="W23" s="88">
        <v>0</v>
      </c>
      <c r="X23" s="88"/>
      <c r="Y23" s="88">
        <v>0</v>
      </c>
      <c r="Z23" s="88"/>
      <c r="AA23" s="88">
        <v>0</v>
      </c>
      <c r="AB23" s="88"/>
      <c r="AC23" s="88">
        <v>0</v>
      </c>
      <c r="AD23" s="88"/>
      <c r="AE23" s="96">
        <f t="shared" si="2"/>
        <v>0</v>
      </c>
      <c r="AF23" s="89"/>
      <c r="AG23" s="87">
        <f t="shared" si="0"/>
        <v>0</v>
      </c>
      <c r="AI23" s="30">
        <f t="shared" si="1"/>
        <v>0</v>
      </c>
    </row>
    <row r="24" spans="1:35" s="102" customFormat="1">
      <c r="A24" s="3" t="s">
        <v>356</v>
      </c>
      <c r="B24" s="103"/>
      <c r="C24" s="103" t="s">
        <v>156</v>
      </c>
      <c r="E24" s="103">
        <v>50906</v>
      </c>
      <c r="G24" s="3">
        <v>3594400</v>
      </c>
      <c r="H24" s="3"/>
      <c r="I24" s="3">
        <v>0</v>
      </c>
      <c r="J24" s="3"/>
      <c r="K24" s="8">
        <f t="shared" si="3"/>
        <v>1969633</v>
      </c>
      <c r="L24" s="3"/>
      <c r="M24" s="3">
        <v>5564033</v>
      </c>
      <c r="N24" s="3"/>
      <c r="O24" s="3">
        <v>0</v>
      </c>
      <c r="P24" s="3"/>
      <c r="Q24" s="3">
        <v>372991</v>
      </c>
      <c r="R24" s="3"/>
      <c r="S24" s="3">
        <v>1893867</v>
      </c>
      <c r="T24" s="3"/>
      <c r="U24" s="3">
        <v>0</v>
      </c>
      <c r="V24" s="3"/>
      <c r="W24" s="3">
        <v>0</v>
      </c>
      <c r="X24" s="3"/>
      <c r="Y24" s="3">
        <v>0</v>
      </c>
      <c r="Z24" s="3"/>
      <c r="AA24" s="3">
        <f>16318+32406+1230+24267+471072+40561</f>
        <v>585854</v>
      </c>
      <c r="AB24" s="3"/>
      <c r="AC24" s="3">
        <v>2711321</v>
      </c>
      <c r="AD24" s="3"/>
      <c r="AE24" s="22">
        <f t="shared" si="2"/>
        <v>3297175</v>
      </c>
      <c r="AF24" s="103"/>
      <c r="AG24" s="3">
        <f t="shared" si="0"/>
        <v>0</v>
      </c>
      <c r="AI24" s="30">
        <f t="shared" si="1"/>
        <v>0</v>
      </c>
    </row>
    <row r="25" spans="1:35" s="102" customFormat="1">
      <c r="A25" s="3" t="s">
        <v>243</v>
      </c>
      <c r="B25" s="103"/>
      <c r="C25" s="103" t="s">
        <v>207</v>
      </c>
      <c r="E25" s="103">
        <v>65227</v>
      </c>
      <c r="G25" s="3">
        <v>881585</v>
      </c>
      <c r="H25" s="3"/>
      <c r="I25" s="3">
        <v>0</v>
      </c>
      <c r="J25" s="3"/>
      <c r="K25" s="8">
        <f t="shared" si="3"/>
        <v>1357099</v>
      </c>
      <c r="L25" s="3"/>
      <c r="M25" s="3">
        <v>2238684</v>
      </c>
      <c r="N25" s="3"/>
      <c r="O25" s="3">
        <v>0</v>
      </c>
      <c r="P25" s="3"/>
      <c r="Q25" s="3">
        <v>1612114</v>
      </c>
      <c r="R25" s="3"/>
      <c r="S25" s="3">
        <v>0</v>
      </c>
      <c r="T25" s="3"/>
      <c r="U25" s="3">
        <v>10978</v>
      </c>
      <c r="V25" s="3"/>
      <c r="W25" s="3">
        <v>0</v>
      </c>
      <c r="X25" s="3"/>
      <c r="Y25" s="3">
        <v>0</v>
      </c>
      <c r="Z25" s="3"/>
      <c r="AA25" s="3">
        <v>476454</v>
      </c>
      <c r="AB25" s="3"/>
      <c r="AC25" s="3">
        <v>139138</v>
      </c>
      <c r="AD25" s="3"/>
      <c r="AE25" s="22">
        <f t="shared" si="2"/>
        <v>626570</v>
      </c>
      <c r="AF25" s="103"/>
      <c r="AG25" s="3">
        <f t="shared" si="0"/>
        <v>0</v>
      </c>
      <c r="AI25" s="30">
        <f t="shared" si="1"/>
        <v>0</v>
      </c>
    </row>
    <row r="26" spans="1:35" s="102" customFormat="1">
      <c r="A26" s="3" t="s">
        <v>241</v>
      </c>
      <c r="B26" s="103"/>
      <c r="C26" s="103" t="s">
        <v>157</v>
      </c>
      <c r="E26" s="103">
        <v>50922</v>
      </c>
      <c r="G26" s="3">
        <f>6282918+6426478</f>
        <v>12709396</v>
      </c>
      <c r="H26" s="3"/>
      <c r="I26" s="3">
        <v>0</v>
      </c>
      <c r="J26" s="3"/>
      <c r="K26" s="8">
        <f t="shared" si="3"/>
        <v>10974315</v>
      </c>
      <c r="L26" s="3"/>
      <c r="M26" s="3">
        <v>23683711</v>
      </c>
      <c r="N26" s="3"/>
      <c r="O26" s="3">
        <v>0</v>
      </c>
      <c r="P26" s="3"/>
      <c r="Q26" s="3">
        <v>1535100</v>
      </c>
      <c r="R26" s="3"/>
      <c r="S26" s="3">
        <v>9752687</v>
      </c>
      <c r="T26" s="3"/>
      <c r="U26" s="3">
        <f>7902+14379</f>
        <v>22281</v>
      </c>
      <c r="V26" s="3"/>
      <c r="W26" s="3">
        <v>4259</v>
      </c>
      <c r="X26" s="3"/>
      <c r="Y26" s="3">
        <v>33000</v>
      </c>
      <c r="Z26" s="3"/>
      <c r="AA26" s="3">
        <f>84249+871809+99001+27205+91281+77119</f>
        <v>1250664</v>
      </c>
      <c r="AB26" s="3"/>
      <c r="AC26" s="3">
        <v>11085720</v>
      </c>
      <c r="AD26" s="3"/>
      <c r="AE26" s="22">
        <f t="shared" si="2"/>
        <v>12395924</v>
      </c>
      <c r="AF26" s="103"/>
      <c r="AG26" s="3">
        <f t="shared" si="0"/>
        <v>0</v>
      </c>
      <c r="AI26" s="30">
        <f t="shared" si="1"/>
        <v>0</v>
      </c>
    </row>
    <row r="27" spans="1:35" s="102" customFormat="1">
      <c r="A27" s="3" t="s">
        <v>240</v>
      </c>
      <c r="B27" s="103"/>
      <c r="C27" s="103" t="s">
        <v>159</v>
      </c>
      <c r="E27" s="103">
        <v>50989</v>
      </c>
      <c r="G27" s="3">
        <v>21580260</v>
      </c>
      <c r="H27" s="3"/>
      <c r="I27" s="3">
        <v>0</v>
      </c>
      <c r="J27" s="3"/>
      <c r="K27" s="8">
        <f t="shared" si="3"/>
        <v>10036499</v>
      </c>
      <c r="L27" s="3"/>
      <c r="M27" s="3">
        <v>31616759</v>
      </c>
      <c r="N27" s="3"/>
      <c r="O27" s="3">
        <v>0</v>
      </c>
      <c r="P27" s="3"/>
      <c r="Q27" s="3">
        <v>934114</v>
      </c>
      <c r="R27" s="3"/>
      <c r="S27" s="3">
        <v>7685629</v>
      </c>
      <c r="T27" s="3"/>
      <c r="U27" s="3">
        <f>19548+56904</f>
        <v>76452</v>
      </c>
      <c r="V27" s="3"/>
      <c r="W27" s="3">
        <v>0</v>
      </c>
      <c r="X27" s="3"/>
      <c r="Y27" s="3">
        <f>1302+17052</f>
        <v>18354</v>
      </c>
      <c r="Z27" s="3"/>
      <c r="AA27" s="3">
        <f>85151+187757+47595+18773+110836</f>
        <v>450112</v>
      </c>
      <c r="AB27" s="3"/>
      <c r="AC27" s="3">
        <v>22452098</v>
      </c>
      <c r="AD27" s="3"/>
      <c r="AE27" s="22">
        <f t="shared" si="2"/>
        <v>22997016</v>
      </c>
      <c r="AF27" s="103"/>
      <c r="AG27" s="3">
        <f t="shared" si="0"/>
        <v>0</v>
      </c>
      <c r="AI27" s="30">
        <f t="shared" si="1"/>
        <v>0</v>
      </c>
    </row>
    <row r="28" spans="1:35" s="102" customFormat="1">
      <c r="A28" s="3" t="s">
        <v>358</v>
      </c>
      <c r="B28" s="103"/>
      <c r="C28" s="103" t="s">
        <v>162</v>
      </c>
      <c r="E28" s="103">
        <v>51003</v>
      </c>
      <c r="G28" s="3">
        <v>15597947</v>
      </c>
      <c r="H28" s="3"/>
      <c r="I28" s="3">
        <v>18348</v>
      </c>
      <c r="J28" s="3"/>
      <c r="K28" s="8">
        <f t="shared" si="3"/>
        <v>13832215</v>
      </c>
      <c r="L28" s="3"/>
      <c r="M28" s="3">
        <v>29448510</v>
      </c>
      <c r="N28" s="3"/>
      <c r="O28" s="3">
        <v>0</v>
      </c>
      <c r="P28" s="3"/>
      <c r="Q28" s="3">
        <v>1896959</v>
      </c>
      <c r="R28" s="3"/>
      <c r="S28" s="3">
        <v>10515287</v>
      </c>
      <c r="T28" s="3"/>
      <c r="U28" s="3">
        <v>130070</v>
      </c>
      <c r="V28" s="3"/>
      <c r="W28" s="3">
        <v>0</v>
      </c>
      <c r="X28" s="3"/>
      <c r="Y28" s="3">
        <v>26124</v>
      </c>
      <c r="Z28" s="3"/>
      <c r="AA28" s="3">
        <v>440897</v>
      </c>
      <c r="AB28" s="3"/>
      <c r="AC28" s="3">
        <v>16439173</v>
      </c>
      <c r="AD28" s="3"/>
      <c r="AE28" s="22">
        <f t="shared" si="2"/>
        <v>17036264</v>
      </c>
      <c r="AF28" s="103"/>
      <c r="AG28" s="3">
        <f t="shared" si="0"/>
        <v>0</v>
      </c>
      <c r="AI28" s="30">
        <f t="shared" si="1"/>
        <v>0</v>
      </c>
    </row>
    <row r="29" spans="1:35" s="102" customFormat="1">
      <c r="A29" s="3" t="s">
        <v>242</v>
      </c>
      <c r="B29" s="103"/>
      <c r="C29" s="103" t="s">
        <v>160</v>
      </c>
      <c r="E29" s="103">
        <v>51029</v>
      </c>
      <c r="G29" s="3">
        <v>4835304</v>
      </c>
      <c r="H29" s="3"/>
      <c r="I29" s="3">
        <v>0</v>
      </c>
      <c r="J29" s="3"/>
      <c r="K29" s="8">
        <f t="shared" si="3"/>
        <v>8387264</v>
      </c>
      <c r="L29" s="3"/>
      <c r="M29" s="3">
        <v>13222568</v>
      </c>
      <c r="N29" s="3"/>
      <c r="O29" s="3">
        <v>0</v>
      </c>
      <c r="P29" s="3"/>
      <c r="Q29" s="3">
        <v>1106806</v>
      </c>
      <c r="R29" s="3"/>
      <c r="S29" s="3">
        <v>7044009</v>
      </c>
      <c r="T29" s="3"/>
      <c r="U29" s="3">
        <f>32491+9721+4352</f>
        <v>46564</v>
      </c>
      <c r="V29" s="3"/>
      <c r="W29" s="3">
        <v>0</v>
      </c>
      <c r="X29" s="3"/>
      <c r="Y29" s="3">
        <v>0</v>
      </c>
      <c r="Z29" s="3"/>
      <c r="AA29" s="3">
        <f>7678+63256+3904+39222+4372+84643</f>
        <v>203075</v>
      </c>
      <c r="AB29" s="3"/>
      <c r="AC29" s="3">
        <v>4822114</v>
      </c>
      <c r="AD29" s="3"/>
      <c r="AE29" s="22">
        <f t="shared" si="2"/>
        <v>5071753</v>
      </c>
      <c r="AF29" s="103"/>
      <c r="AG29" s="3">
        <f t="shared" si="0"/>
        <v>0</v>
      </c>
      <c r="AI29" s="30">
        <f t="shared" si="1"/>
        <v>0</v>
      </c>
    </row>
    <row r="30" spans="1:35" s="102" customFormat="1">
      <c r="A30" s="3" t="s">
        <v>244</v>
      </c>
      <c r="B30" s="103"/>
      <c r="C30" s="103" t="s">
        <v>209</v>
      </c>
      <c r="E30" s="103">
        <v>50963</v>
      </c>
      <c r="G30" s="3">
        <f>2626020+2807497</f>
        <v>5433517</v>
      </c>
      <c r="H30" s="3"/>
      <c r="I30" s="3">
        <v>725000</v>
      </c>
      <c r="J30" s="3"/>
      <c r="K30" s="8">
        <f t="shared" si="3"/>
        <v>5799168</v>
      </c>
      <c r="L30" s="3"/>
      <c r="M30" s="3">
        <v>11957685</v>
      </c>
      <c r="N30" s="3"/>
      <c r="O30" s="3">
        <v>0</v>
      </c>
      <c r="P30" s="3"/>
      <c r="Q30" s="3">
        <v>6993594</v>
      </c>
      <c r="R30" s="3"/>
      <c r="S30" s="3">
        <v>0</v>
      </c>
      <c r="T30" s="3"/>
      <c r="U30" s="3">
        <v>176602</v>
      </c>
      <c r="V30" s="3"/>
      <c r="W30" s="3">
        <v>0</v>
      </c>
      <c r="X30" s="3"/>
      <c r="Y30" s="3">
        <v>0</v>
      </c>
      <c r="Z30" s="3"/>
      <c r="AA30" s="3">
        <v>1734594</v>
      </c>
      <c r="AB30" s="3"/>
      <c r="AC30" s="3">
        <v>3052895</v>
      </c>
      <c r="AD30" s="3"/>
      <c r="AE30" s="22">
        <f t="shared" si="2"/>
        <v>4964091</v>
      </c>
      <c r="AF30" s="103"/>
      <c r="AG30" s="3">
        <f t="shared" si="0"/>
        <v>0</v>
      </c>
      <c r="AI30" s="30">
        <f t="shared" si="1"/>
        <v>0</v>
      </c>
    </row>
    <row r="31" spans="1:35" s="102" customFormat="1">
      <c r="A31" s="3" t="s">
        <v>208</v>
      </c>
      <c r="B31" s="103"/>
      <c r="C31" s="103" t="s">
        <v>165</v>
      </c>
      <c r="E31" s="103">
        <v>62067</v>
      </c>
      <c r="G31" s="3">
        <v>2083056</v>
      </c>
      <c r="H31" s="3"/>
      <c r="I31" s="3">
        <v>32757</v>
      </c>
      <c r="J31" s="3"/>
      <c r="K31" s="8">
        <f t="shared" si="3"/>
        <v>2983685</v>
      </c>
      <c r="L31" s="3"/>
      <c r="M31" s="3">
        <v>5099498</v>
      </c>
      <c r="N31" s="3"/>
      <c r="O31" s="3">
        <v>0</v>
      </c>
      <c r="P31" s="3"/>
      <c r="Q31" s="3">
        <v>599846</v>
      </c>
      <c r="R31" s="3"/>
      <c r="S31" s="3">
        <v>2701511</v>
      </c>
      <c r="T31" s="3"/>
      <c r="U31" s="3">
        <v>25582</v>
      </c>
      <c r="V31" s="3"/>
      <c r="W31" s="3">
        <v>32757</v>
      </c>
      <c r="X31" s="3"/>
      <c r="Y31" s="3">
        <v>439</v>
      </c>
      <c r="Z31" s="3"/>
      <c r="AA31" s="3">
        <v>390992</v>
      </c>
      <c r="AB31" s="3"/>
      <c r="AC31" s="3">
        <v>1348371</v>
      </c>
      <c r="AD31" s="3"/>
      <c r="AE31" s="22">
        <f t="shared" si="2"/>
        <v>1798141</v>
      </c>
      <c r="AF31" s="103"/>
      <c r="AG31" s="3">
        <f t="shared" si="0"/>
        <v>0</v>
      </c>
      <c r="AI31" s="30">
        <f t="shared" si="1"/>
        <v>0</v>
      </c>
    </row>
    <row r="32" spans="1:35" s="102" customFormat="1">
      <c r="A32" s="3" t="s">
        <v>359</v>
      </c>
      <c r="B32" s="103"/>
      <c r="C32" s="103" t="s">
        <v>168</v>
      </c>
      <c r="E32" s="103">
        <v>51060</v>
      </c>
      <c r="G32" s="3">
        <v>28475300</v>
      </c>
      <c r="H32" s="3"/>
      <c r="I32" s="3">
        <v>0</v>
      </c>
      <c r="J32" s="3"/>
      <c r="K32" s="8">
        <f>+M32-I32-G32</f>
        <v>42101958</v>
      </c>
      <c r="L32" s="3"/>
      <c r="M32" s="3">
        <v>70577258</v>
      </c>
      <c r="N32" s="3"/>
      <c r="O32" s="3">
        <v>0</v>
      </c>
      <c r="P32" s="3"/>
      <c r="Q32" s="3">
        <f>34526754-30790352</f>
        <v>3736402</v>
      </c>
      <c r="R32" s="3"/>
      <c r="S32" s="3">
        <v>30790352</v>
      </c>
      <c r="T32" s="3"/>
      <c r="U32" s="3">
        <v>0</v>
      </c>
      <c r="V32" s="3"/>
      <c r="W32" s="3">
        <v>0</v>
      </c>
      <c r="X32" s="3"/>
      <c r="Y32" s="3">
        <v>0</v>
      </c>
      <c r="Z32" s="3"/>
      <c r="AA32" s="3">
        <v>134800</v>
      </c>
      <c r="AB32" s="3"/>
      <c r="AC32" s="3">
        <v>35915704</v>
      </c>
      <c r="AD32" s="3"/>
      <c r="AE32" s="22">
        <f t="shared" si="2"/>
        <v>36050504</v>
      </c>
      <c r="AF32" s="103"/>
      <c r="AG32" s="3">
        <f t="shared" si="0"/>
        <v>0</v>
      </c>
      <c r="AI32" s="30">
        <f t="shared" si="1"/>
        <v>0</v>
      </c>
    </row>
    <row r="33" spans="1:35" s="102" customFormat="1">
      <c r="A33" s="3" t="s">
        <v>315</v>
      </c>
      <c r="B33" s="103"/>
      <c r="C33" s="103" t="s">
        <v>167</v>
      </c>
      <c r="E33" s="103">
        <v>51045</v>
      </c>
      <c r="G33" s="3">
        <v>4555482</v>
      </c>
      <c r="H33" s="3"/>
      <c r="I33" s="3">
        <v>0</v>
      </c>
      <c r="J33" s="3"/>
      <c r="K33" s="8">
        <f t="shared" si="3"/>
        <v>7325906</v>
      </c>
      <c r="L33" s="3"/>
      <c r="M33" s="3">
        <v>11881388</v>
      </c>
      <c r="N33" s="3"/>
      <c r="O33" s="3">
        <v>0</v>
      </c>
      <c r="P33" s="3"/>
      <c r="Q33" s="3">
        <v>1520571</v>
      </c>
      <c r="R33" s="3"/>
      <c r="S33" s="3">
        <v>6563925</v>
      </c>
      <c r="T33" s="3"/>
      <c r="U33" s="3">
        <v>77383</v>
      </c>
      <c r="V33" s="3"/>
      <c r="W33" s="3">
        <v>0</v>
      </c>
      <c r="X33" s="3"/>
      <c r="Y33" s="3">
        <v>0</v>
      </c>
      <c r="Z33" s="3"/>
      <c r="AA33" s="3">
        <v>9068</v>
      </c>
      <c r="AB33" s="3"/>
      <c r="AC33" s="3">
        <v>3710441</v>
      </c>
      <c r="AD33" s="3"/>
      <c r="AE33" s="22">
        <f t="shared" si="2"/>
        <v>3796892</v>
      </c>
      <c r="AF33" s="103"/>
      <c r="AG33" s="3">
        <f t="shared" si="0"/>
        <v>0</v>
      </c>
      <c r="AI33" s="30">
        <f t="shared" si="1"/>
        <v>0</v>
      </c>
    </row>
    <row r="34" spans="1:35" s="102" customFormat="1">
      <c r="A34" s="3" t="s">
        <v>210</v>
      </c>
      <c r="B34" s="103"/>
      <c r="C34" s="103" t="s">
        <v>170</v>
      </c>
      <c r="E34" s="103">
        <v>51128</v>
      </c>
      <c r="G34" s="3">
        <v>626894</v>
      </c>
      <c r="H34" s="3"/>
      <c r="I34" s="3">
        <v>17604</v>
      </c>
      <c r="J34" s="3"/>
      <c r="K34" s="8">
        <f t="shared" si="3"/>
        <v>2152342</v>
      </c>
      <c r="L34" s="3"/>
      <c r="M34" s="3">
        <v>2796840</v>
      </c>
      <c r="N34" s="3"/>
      <c r="O34" s="3">
        <v>0</v>
      </c>
      <c r="P34" s="3"/>
      <c r="Q34" s="3">
        <v>420845</v>
      </c>
      <c r="R34" s="3"/>
      <c r="S34" s="3">
        <v>1900105</v>
      </c>
      <c r="T34" s="3"/>
      <c r="U34" s="3">
        <v>53195</v>
      </c>
      <c r="V34" s="3"/>
      <c r="W34" s="3">
        <v>17604</v>
      </c>
      <c r="X34" s="3"/>
      <c r="Y34" s="3">
        <v>405091</v>
      </c>
      <c r="Z34" s="3"/>
      <c r="AA34" s="3">
        <v>0</v>
      </c>
      <c r="AB34" s="3"/>
      <c r="AC34" s="3">
        <v>0</v>
      </c>
      <c r="AD34" s="3"/>
      <c r="AE34" s="22">
        <f t="shared" si="2"/>
        <v>475890</v>
      </c>
      <c r="AF34" s="103"/>
      <c r="AG34" s="3">
        <f t="shared" si="0"/>
        <v>0</v>
      </c>
      <c r="AI34" s="30">
        <f t="shared" si="1"/>
        <v>0</v>
      </c>
    </row>
    <row r="35" spans="1:35" s="102" customFormat="1">
      <c r="A35" s="3" t="s">
        <v>245</v>
      </c>
      <c r="B35" s="103"/>
      <c r="C35" s="103" t="s">
        <v>171</v>
      </c>
      <c r="E35" s="103">
        <v>51144</v>
      </c>
      <c r="G35" s="3">
        <v>9951371</v>
      </c>
      <c r="H35" s="3"/>
      <c r="I35" s="3">
        <v>0</v>
      </c>
      <c r="J35" s="3"/>
      <c r="K35" s="8">
        <v>3545848</v>
      </c>
      <c r="L35" s="3"/>
      <c r="M35" s="3">
        <v>13497219</v>
      </c>
      <c r="N35" s="3"/>
      <c r="O35" s="3">
        <v>0</v>
      </c>
      <c r="P35" s="3"/>
      <c r="Q35" s="3">
        <v>739952</v>
      </c>
      <c r="R35" s="3"/>
      <c r="S35" s="3">
        <v>2009843</v>
      </c>
      <c r="T35" s="3"/>
      <c r="U35" s="3">
        <v>28699</v>
      </c>
      <c r="V35" s="3"/>
      <c r="W35" s="3">
        <v>0</v>
      </c>
      <c r="X35" s="3"/>
      <c r="Y35" s="3">
        <v>0</v>
      </c>
      <c r="Z35" s="3"/>
      <c r="AA35" s="3">
        <v>349364</v>
      </c>
      <c r="AB35" s="3"/>
      <c r="AC35" s="3">
        <v>10369361</v>
      </c>
      <c r="AD35" s="3"/>
      <c r="AE35" s="22">
        <v>10747424</v>
      </c>
      <c r="AF35" s="103"/>
      <c r="AG35" s="3">
        <v>0</v>
      </c>
      <c r="AI35" s="30">
        <v>0</v>
      </c>
    </row>
    <row r="36" spans="1:35" s="102" customFormat="1">
      <c r="A36" s="3" t="s">
        <v>211</v>
      </c>
      <c r="B36" s="103"/>
      <c r="C36" s="103" t="s">
        <v>172</v>
      </c>
      <c r="E36" s="103">
        <v>51185</v>
      </c>
      <c r="G36" s="3">
        <v>2348512</v>
      </c>
      <c r="H36" s="3"/>
      <c r="I36" s="3">
        <v>136876</v>
      </c>
      <c r="J36" s="3"/>
      <c r="K36" s="8">
        <f t="shared" si="3"/>
        <v>2154495</v>
      </c>
      <c r="L36" s="3"/>
      <c r="M36" s="3">
        <v>4639883</v>
      </c>
      <c r="N36" s="3"/>
      <c r="O36" s="3">
        <v>0</v>
      </c>
      <c r="P36" s="3"/>
      <c r="Q36" s="3">
        <v>672260</v>
      </c>
      <c r="R36" s="3"/>
      <c r="S36" s="3">
        <v>1873299</v>
      </c>
      <c r="T36" s="3"/>
      <c r="U36" s="3">
        <v>0</v>
      </c>
      <c r="V36" s="3"/>
      <c r="W36" s="3">
        <v>136876</v>
      </c>
      <c r="X36" s="3"/>
      <c r="Y36" s="3">
        <v>81637</v>
      </c>
      <c r="Z36" s="3"/>
      <c r="AA36" s="3">
        <v>7965</v>
      </c>
      <c r="AB36" s="3"/>
      <c r="AC36" s="3">
        <v>1867846</v>
      </c>
      <c r="AD36" s="3"/>
      <c r="AE36" s="22">
        <f t="shared" si="2"/>
        <v>2094324</v>
      </c>
      <c r="AF36" s="103"/>
      <c r="AG36" s="3">
        <f t="shared" si="0"/>
        <v>0</v>
      </c>
      <c r="AI36" s="30">
        <f t="shared" si="1"/>
        <v>0</v>
      </c>
    </row>
    <row r="37" spans="1:35" s="92" customFormat="1" hidden="1">
      <c r="A37" s="88" t="s">
        <v>284</v>
      </c>
      <c r="B37" s="89"/>
      <c r="C37" s="89" t="s">
        <v>173</v>
      </c>
      <c r="E37" s="89">
        <v>47977</v>
      </c>
      <c r="G37" s="88">
        <v>0</v>
      </c>
      <c r="H37" s="88"/>
      <c r="I37" s="88">
        <v>0</v>
      </c>
      <c r="J37" s="88"/>
      <c r="K37" s="95">
        <f t="shared" si="3"/>
        <v>0</v>
      </c>
      <c r="L37" s="88"/>
      <c r="M37" s="88">
        <v>0</v>
      </c>
      <c r="N37" s="88"/>
      <c r="O37" s="88">
        <v>0</v>
      </c>
      <c r="P37" s="88"/>
      <c r="Q37" s="88">
        <v>0</v>
      </c>
      <c r="R37" s="88"/>
      <c r="S37" s="88">
        <v>0</v>
      </c>
      <c r="T37" s="88"/>
      <c r="U37" s="88">
        <v>0</v>
      </c>
      <c r="V37" s="88"/>
      <c r="W37" s="88">
        <v>0</v>
      </c>
      <c r="X37" s="88"/>
      <c r="Y37" s="88">
        <v>0</v>
      </c>
      <c r="Z37" s="88"/>
      <c r="AA37" s="88">
        <v>0</v>
      </c>
      <c r="AB37" s="88"/>
      <c r="AC37" s="88">
        <v>0</v>
      </c>
      <c r="AD37" s="88"/>
      <c r="AE37" s="96">
        <f t="shared" si="2"/>
        <v>0</v>
      </c>
      <c r="AF37" s="89"/>
      <c r="AG37" s="87">
        <f t="shared" si="0"/>
        <v>0</v>
      </c>
      <c r="AI37" s="30">
        <f t="shared" si="1"/>
        <v>0</v>
      </c>
    </row>
    <row r="38" spans="1:35" s="102" customFormat="1">
      <c r="A38" s="3" t="s">
        <v>213</v>
      </c>
      <c r="B38" s="103"/>
      <c r="C38" s="103" t="s">
        <v>142</v>
      </c>
      <c r="E38" s="103">
        <v>51227</v>
      </c>
      <c r="G38" s="3">
        <v>5699958</v>
      </c>
      <c r="H38" s="3"/>
      <c r="I38" s="3">
        <v>0</v>
      </c>
      <c r="J38" s="3"/>
      <c r="K38" s="8">
        <f t="shared" si="3"/>
        <v>12111598</v>
      </c>
      <c r="L38" s="3"/>
      <c r="M38" s="3">
        <v>17811556</v>
      </c>
      <c r="N38" s="3"/>
      <c r="O38" s="3">
        <v>0</v>
      </c>
      <c r="P38" s="3"/>
      <c r="Q38" s="3">
        <v>2770688</v>
      </c>
      <c r="R38" s="3"/>
      <c r="S38" s="3">
        <v>10585071</v>
      </c>
      <c r="T38" s="3"/>
      <c r="U38" s="3">
        <v>24730</v>
      </c>
      <c r="V38" s="3"/>
      <c r="W38" s="3">
        <v>80773</v>
      </c>
      <c r="X38" s="3"/>
      <c r="Y38" s="3">
        <v>0</v>
      </c>
      <c r="Z38" s="3"/>
      <c r="AA38" s="3">
        <v>1119356</v>
      </c>
      <c r="AB38" s="3"/>
      <c r="AC38" s="3">
        <v>3230938</v>
      </c>
      <c r="AD38" s="3"/>
      <c r="AE38" s="22">
        <f t="shared" si="2"/>
        <v>4455797</v>
      </c>
      <c r="AF38" s="103"/>
      <c r="AG38" s="3">
        <f t="shared" si="0"/>
        <v>0</v>
      </c>
      <c r="AI38" s="30">
        <f t="shared" si="1"/>
        <v>0</v>
      </c>
    </row>
    <row r="39" spans="1:35" s="102" customFormat="1">
      <c r="A39" s="3" t="s">
        <v>360</v>
      </c>
      <c r="B39" s="103"/>
      <c r="C39" s="103" t="s">
        <v>176</v>
      </c>
      <c r="E39" s="103">
        <v>51243</v>
      </c>
      <c r="G39" s="3">
        <f>5652895+16416690</f>
        <v>22069585</v>
      </c>
      <c r="H39" s="3"/>
      <c r="I39" s="3">
        <v>0</v>
      </c>
      <c r="J39" s="3"/>
      <c r="K39" s="8">
        <f t="shared" si="3"/>
        <v>6927773</v>
      </c>
      <c r="L39" s="3"/>
      <c r="M39" s="3">
        <v>28997358</v>
      </c>
      <c r="N39" s="3"/>
      <c r="O39" s="3">
        <v>0</v>
      </c>
      <c r="P39" s="3"/>
      <c r="Q39" s="3">
        <v>911460</v>
      </c>
      <c r="R39" s="3"/>
      <c r="S39" s="3">
        <v>6835464</v>
      </c>
      <c r="T39" s="3"/>
      <c r="U39" s="3">
        <v>34300</v>
      </c>
      <c r="V39" s="3"/>
      <c r="W39" s="3">
        <v>0</v>
      </c>
      <c r="X39" s="3"/>
      <c r="Y39" s="3">
        <v>0</v>
      </c>
      <c r="Z39" s="3"/>
      <c r="AA39" s="3">
        <v>15847134</v>
      </c>
      <c r="AB39" s="3"/>
      <c r="AC39" s="3">
        <v>5369000</v>
      </c>
      <c r="AD39" s="3"/>
      <c r="AE39" s="22">
        <f t="shared" si="2"/>
        <v>21250434</v>
      </c>
      <c r="AF39" s="103"/>
      <c r="AG39" s="3">
        <f t="shared" si="0"/>
        <v>0</v>
      </c>
      <c r="AI39" s="30">
        <f t="shared" si="1"/>
        <v>0</v>
      </c>
    </row>
    <row r="40" spans="1:35" s="102" customFormat="1">
      <c r="A40" s="3" t="s">
        <v>246</v>
      </c>
      <c r="B40" s="103"/>
      <c r="C40" s="103" t="s">
        <v>186</v>
      </c>
      <c r="E40" s="103">
        <v>51391</v>
      </c>
      <c r="G40" s="3">
        <v>22007733</v>
      </c>
      <c r="H40" s="3"/>
      <c r="I40" s="3">
        <v>223362</v>
      </c>
      <c r="J40" s="3"/>
      <c r="K40" s="8">
        <f t="shared" si="3"/>
        <v>7402992</v>
      </c>
      <c r="L40" s="3"/>
      <c r="M40" s="3">
        <v>29634087</v>
      </c>
      <c r="N40" s="3"/>
      <c r="O40" s="3">
        <v>0</v>
      </c>
      <c r="P40" s="3"/>
      <c r="Q40" s="3">
        <v>785780</v>
      </c>
      <c r="R40" s="3"/>
      <c r="S40" s="3">
        <v>6226593</v>
      </c>
      <c r="T40" s="3"/>
      <c r="U40" s="3">
        <v>56495</v>
      </c>
      <c r="V40" s="3"/>
      <c r="W40" s="3">
        <v>12206</v>
      </c>
      <c r="X40" s="3"/>
      <c r="Y40" s="3">
        <v>255901</v>
      </c>
      <c r="Z40" s="3"/>
      <c r="AA40" s="3">
        <v>710070</v>
      </c>
      <c r="AB40" s="3"/>
      <c r="AC40" s="3">
        <v>21587042</v>
      </c>
      <c r="AD40" s="3"/>
      <c r="AE40" s="22">
        <f t="shared" si="2"/>
        <v>22621714</v>
      </c>
      <c r="AF40" s="103"/>
      <c r="AG40" s="3">
        <f t="shared" si="0"/>
        <v>0</v>
      </c>
      <c r="AI40" s="30">
        <f t="shared" si="1"/>
        <v>0</v>
      </c>
    </row>
    <row r="41" spans="1:35" s="102" customFormat="1">
      <c r="A41" s="3" t="s">
        <v>217</v>
      </c>
      <c r="B41" s="103"/>
      <c r="C41" s="103" t="s">
        <v>178</v>
      </c>
      <c r="E41" s="103">
        <v>62109</v>
      </c>
      <c r="G41" s="3">
        <v>10097292</v>
      </c>
      <c r="H41" s="3"/>
      <c r="I41" s="3">
        <v>0</v>
      </c>
      <c r="J41" s="3"/>
      <c r="K41" s="8">
        <f t="shared" si="3"/>
        <v>8074094</v>
      </c>
      <c r="L41" s="3"/>
      <c r="M41" s="3">
        <v>18171386</v>
      </c>
      <c r="N41" s="3"/>
      <c r="O41" s="3">
        <v>0</v>
      </c>
      <c r="P41" s="3"/>
      <c r="Q41" s="3">
        <v>8450129</v>
      </c>
      <c r="R41" s="3"/>
      <c r="S41" s="3">
        <v>0</v>
      </c>
      <c r="T41" s="3"/>
      <c r="U41" s="3">
        <v>140341</v>
      </c>
      <c r="V41" s="3"/>
      <c r="W41" s="3">
        <v>0</v>
      </c>
      <c r="X41" s="3"/>
      <c r="Y41" s="3">
        <v>0</v>
      </c>
      <c r="Z41" s="3"/>
      <c r="AA41" s="3">
        <v>516014</v>
      </c>
      <c r="AB41" s="3"/>
      <c r="AC41" s="3">
        <v>9064902</v>
      </c>
      <c r="AD41" s="3"/>
      <c r="AE41" s="22">
        <f t="shared" si="2"/>
        <v>9721257</v>
      </c>
      <c r="AF41" s="103"/>
      <c r="AG41" s="3">
        <f t="shared" si="0"/>
        <v>0</v>
      </c>
      <c r="AI41" s="30">
        <f t="shared" si="1"/>
        <v>0</v>
      </c>
    </row>
    <row r="42" spans="1:35" s="102" customFormat="1">
      <c r="A42" s="3" t="s">
        <v>361</v>
      </c>
      <c r="B42" s="103"/>
      <c r="C42" s="103" t="s">
        <v>181</v>
      </c>
      <c r="E42" s="103">
        <v>51284</v>
      </c>
      <c r="G42" s="3">
        <v>5422655</v>
      </c>
      <c r="H42" s="3"/>
      <c r="I42" s="3">
        <v>0</v>
      </c>
      <c r="J42" s="3"/>
      <c r="K42" s="8">
        <f t="shared" si="3"/>
        <v>13307755</v>
      </c>
      <c r="L42" s="3"/>
      <c r="M42" s="3">
        <v>18730410</v>
      </c>
      <c r="N42" s="3"/>
      <c r="O42" s="3">
        <v>0</v>
      </c>
      <c r="P42" s="3"/>
      <c r="Q42" s="3">
        <v>14771672</v>
      </c>
      <c r="R42" s="3"/>
      <c r="S42" s="3">
        <v>0</v>
      </c>
      <c r="T42" s="3"/>
      <c r="U42" s="3">
        <v>0</v>
      </c>
      <c r="V42" s="3"/>
      <c r="W42" s="3">
        <v>0</v>
      </c>
      <c r="X42" s="3"/>
      <c r="Y42" s="3">
        <v>0</v>
      </c>
      <c r="Z42" s="3"/>
      <c r="AA42" s="3">
        <v>1100410</v>
      </c>
      <c r="AB42" s="3"/>
      <c r="AC42" s="3">
        <v>2858328</v>
      </c>
      <c r="AD42" s="3"/>
      <c r="AE42" s="22">
        <f t="shared" si="2"/>
        <v>3958738</v>
      </c>
      <c r="AF42" s="103"/>
      <c r="AG42" s="3">
        <f t="shared" si="0"/>
        <v>0</v>
      </c>
      <c r="AI42" s="30">
        <f t="shared" si="1"/>
        <v>0</v>
      </c>
    </row>
    <row r="43" spans="1:35" s="102" customFormat="1">
      <c r="A43" s="3" t="s">
        <v>362</v>
      </c>
      <c r="B43" s="103"/>
      <c r="C43" s="103" t="s">
        <v>183</v>
      </c>
      <c r="E43" s="103">
        <v>51300</v>
      </c>
      <c r="G43" s="3">
        <v>13749248</v>
      </c>
      <c r="H43" s="3"/>
      <c r="I43" s="3">
        <v>50258</v>
      </c>
      <c r="J43" s="3"/>
      <c r="K43" s="8">
        <f t="shared" si="3"/>
        <v>7610295</v>
      </c>
      <c r="L43" s="3"/>
      <c r="M43" s="3">
        <v>21409801</v>
      </c>
      <c r="N43" s="3"/>
      <c r="O43" s="3">
        <v>0</v>
      </c>
      <c r="P43" s="3"/>
      <c r="Q43" s="3">
        <v>1361554</v>
      </c>
      <c r="R43" s="3"/>
      <c r="S43" s="3">
        <v>5441798</v>
      </c>
      <c r="T43" s="3"/>
      <c r="U43" s="3">
        <f>55916+51885+4692</f>
        <v>112493</v>
      </c>
      <c r="V43" s="3"/>
      <c r="W43" s="3">
        <v>45566</v>
      </c>
      <c r="X43" s="3"/>
      <c r="Y43" s="3">
        <f>128102+440667</f>
        <v>568769</v>
      </c>
      <c r="Z43" s="3"/>
      <c r="AA43" s="3">
        <f>374673+419599+16510</f>
        <v>810782</v>
      </c>
      <c r="AB43" s="3"/>
      <c r="AC43" s="3">
        <v>13068839</v>
      </c>
      <c r="AD43" s="3"/>
      <c r="AE43" s="22">
        <f t="shared" si="2"/>
        <v>14606449</v>
      </c>
      <c r="AF43" s="103"/>
      <c r="AG43" s="3">
        <f t="shared" si="0"/>
        <v>0</v>
      </c>
      <c r="AI43" s="30">
        <f t="shared" si="1"/>
        <v>0</v>
      </c>
    </row>
    <row r="44" spans="1:35" s="102" customFormat="1">
      <c r="A44" s="3" t="s">
        <v>212</v>
      </c>
      <c r="B44" s="103"/>
      <c r="C44" s="103" t="s">
        <v>174</v>
      </c>
      <c r="E44" s="103">
        <v>51334</v>
      </c>
      <c r="G44" s="3">
        <v>8804874</v>
      </c>
      <c r="H44" s="3"/>
      <c r="I44" s="3">
        <v>0</v>
      </c>
      <c r="J44" s="3"/>
      <c r="K44" s="8">
        <f t="shared" si="3"/>
        <v>6471170</v>
      </c>
      <c r="L44" s="3"/>
      <c r="M44" s="3">
        <v>15276044</v>
      </c>
      <c r="N44" s="3"/>
      <c r="O44" s="3">
        <v>0</v>
      </c>
      <c r="P44" s="3"/>
      <c r="Q44" s="3">
        <v>6142793</v>
      </c>
      <c r="R44" s="3"/>
      <c r="S44" s="3">
        <v>0</v>
      </c>
      <c r="T44" s="3"/>
      <c r="U44" s="3">
        <v>0</v>
      </c>
      <c r="V44" s="3"/>
      <c r="W44" s="3">
        <v>0</v>
      </c>
      <c r="X44" s="3"/>
      <c r="Y44" s="3">
        <v>112705</v>
      </c>
      <c r="Z44" s="3"/>
      <c r="AA44" s="3">
        <v>186148</v>
      </c>
      <c r="AB44" s="3"/>
      <c r="AC44" s="3">
        <v>8834398</v>
      </c>
      <c r="AD44" s="3"/>
      <c r="AE44" s="22">
        <f t="shared" si="2"/>
        <v>9133251</v>
      </c>
      <c r="AF44" s="103"/>
      <c r="AG44" s="3">
        <f t="shared" si="0"/>
        <v>0</v>
      </c>
      <c r="AI44" s="30">
        <f t="shared" si="1"/>
        <v>0</v>
      </c>
    </row>
    <row r="45" spans="1:35" s="102" customFormat="1">
      <c r="A45" s="3" t="s">
        <v>322</v>
      </c>
      <c r="B45" s="103"/>
      <c r="C45" s="103" t="s">
        <v>204</v>
      </c>
      <c r="E45" s="103">
        <v>51359</v>
      </c>
      <c r="G45" s="3">
        <v>9553322</v>
      </c>
      <c r="H45" s="3"/>
      <c r="I45" s="3">
        <v>0</v>
      </c>
      <c r="J45" s="3"/>
      <c r="K45" s="8">
        <f t="shared" si="3"/>
        <v>11414519</v>
      </c>
      <c r="L45" s="3"/>
      <c r="M45" s="3">
        <v>20967841</v>
      </c>
      <c r="N45" s="3"/>
      <c r="O45" s="3">
        <v>0</v>
      </c>
      <c r="P45" s="3"/>
      <c r="Q45" s="3">
        <v>2630189</v>
      </c>
      <c r="R45" s="3"/>
      <c r="S45" s="3">
        <v>9687111</v>
      </c>
      <c r="T45" s="3"/>
      <c r="U45" s="3">
        <v>92061</v>
      </c>
      <c r="V45" s="3"/>
      <c r="W45" s="3">
        <v>0</v>
      </c>
      <c r="X45" s="3"/>
      <c r="Y45" s="3">
        <v>3014398</v>
      </c>
      <c r="Z45" s="3"/>
      <c r="AA45" s="3">
        <f>144092+255197+12274+808360+124492</f>
        <v>1344415</v>
      </c>
      <c r="AB45" s="3"/>
      <c r="AC45" s="3">
        <v>4199667</v>
      </c>
      <c r="AD45" s="3"/>
      <c r="AE45" s="22">
        <f t="shared" si="2"/>
        <v>8650541</v>
      </c>
      <c r="AF45" s="103"/>
      <c r="AG45" s="3">
        <f t="shared" si="0"/>
        <v>0</v>
      </c>
      <c r="AI45" s="30">
        <f t="shared" si="1"/>
        <v>0</v>
      </c>
    </row>
    <row r="46" spans="1:35" s="102" customFormat="1">
      <c r="A46" s="3" t="s">
        <v>363</v>
      </c>
      <c r="B46" s="103"/>
      <c r="C46" s="103" t="s">
        <v>190</v>
      </c>
      <c r="E46" s="103">
        <v>51433</v>
      </c>
      <c r="G46" s="3">
        <v>9585588</v>
      </c>
      <c r="H46" s="3"/>
      <c r="I46" s="3">
        <v>0</v>
      </c>
      <c r="J46" s="3"/>
      <c r="K46" s="8">
        <f t="shared" si="3"/>
        <v>5143881</v>
      </c>
      <c r="L46" s="3"/>
      <c r="M46" s="3">
        <v>14729469</v>
      </c>
      <c r="N46" s="3"/>
      <c r="O46" s="3">
        <v>0</v>
      </c>
      <c r="P46" s="3"/>
      <c r="Q46" s="3">
        <v>1584330</v>
      </c>
      <c r="R46" s="3"/>
      <c r="S46" s="3">
        <v>4536480</v>
      </c>
      <c r="T46" s="3"/>
      <c r="U46" s="3">
        <v>0</v>
      </c>
      <c r="V46" s="3"/>
      <c r="W46" s="3">
        <v>0</v>
      </c>
      <c r="X46" s="3"/>
      <c r="Y46" s="3">
        <v>353481</v>
      </c>
      <c r="Z46" s="3"/>
      <c r="AA46" s="3">
        <v>295206</v>
      </c>
      <c r="AB46" s="3"/>
      <c r="AC46" s="3">
        <v>7959972</v>
      </c>
      <c r="AD46" s="3"/>
      <c r="AE46" s="22">
        <f t="shared" si="2"/>
        <v>8608659</v>
      </c>
      <c r="AF46" s="103"/>
      <c r="AG46" s="3">
        <f t="shared" si="0"/>
        <v>0</v>
      </c>
      <c r="AI46" s="30">
        <f t="shared" si="1"/>
        <v>0</v>
      </c>
    </row>
    <row r="47" spans="1:35" s="102" customFormat="1">
      <c r="A47" s="3" t="s">
        <v>247</v>
      </c>
      <c r="B47" s="103"/>
      <c r="C47" s="103" t="s">
        <v>218</v>
      </c>
      <c r="E47" s="103">
        <v>51375</v>
      </c>
      <c r="G47" s="3">
        <v>3916226</v>
      </c>
      <c r="H47" s="3"/>
      <c r="I47" s="3">
        <v>23547</v>
      </c>
      <c r="J47" s="3"/>
      <c r="K47" s="8">
        <f t="shared" si="3"/>
        <v>1306417</v>
      </c>
      <c r="L47" s="3"/>
      <c r="M47" s="3">
        <v>5246190</v>
      </c>
      <c r="N47" s="3"/>
      <c r="O47" s="3">
        <v>0</v>
      </c>
      <c r="P47" s="3"/>
      <c r="Q47" s="3">
        <v>456392</v>
      </c>
      <c r="R47" s="3"/>
      <c r="S47" s="3">
        <v>1077053</v>
      </c>
      <c r="T47" s="3"/>
      <c r="U47" s="3">
        <v>66065</v>
      </c>
      <c r="V47" s="3"/>
      <c r="W47" s="3">
        <v>0</v>
      </c>
      <c r="X47" s="3"/>
      <c r="Y47" s="3">
        <v>0</v>
      </c>
      <c r="Z47" s="3"/>
      <c r="AA47" s="3">
        <v>62838</v>
      </c>
      <c r="AB47" s="3"/>
      <c r="AC47" s="3">
        <v>3583842</v>
      </c>
      <c r="AD47" s="3"/>
      <c r="AE47" s="22">
        <f t="shared" si="2"/>
        <v>3712745</v>
      </c>
      <c r="AF47" s="103"/>
      <c r="AG47" s="3">
        <f t="shared" si="0"/>
        <v>0</v>
      </c>
      <c r="AI47" s="30">
        <f t="shared" si="1"/>
        <v>0</v>
      </c>
    </row>
    <row r="48" spans="1:35" s="102" customFormat="1">
      <c r="A48" s="3" t="s">
        <v>364</v>
      </c>
      <c r="B48" s="103"/>
      <c r="C48" s="103" t="s">
        <v>189</v>
      </c>
      <c r="E48" s="103">
        <v>51417</v>
      </c>
      <c r="G48" s="3">
        <v>8451047</v>
      </c>
      <c r="H48" s="3"/>
      <c r="I48" s="3">
        <v>0</v>
      </c>
      <c r="J48" s="3"/>
      <c r="K48" s="8">
        <f t="shared" si="3"/>
        <v>4402527</v>
      </c>
      <c r="L48" s="3"/>
      <c r="M48" s="3">
        <v>12853574</v>
      </c>
      <c r="N48" s="3"/>
      <c r="O48" s="3">
        <v>0</v>
      </c>
      <c r="P48" s="3"/>
      <c r="Q48" s="3">
        <v>1314044</v>
      </c>
      <c r="R48" s="3"/>
      <c r="S48" s="3">
        <v>3064047</v>
      </c>
      <c r="T48" s="3"/>
      <c r="U48" s="3">
        <f>83418+25548</f>
        <v>108966</v>
      </c>
      <c r="V48" s="3"/>
      <c r="W48" s="3">
        <v>0</v>
      </c>
      <c r="X48" s="3"/>
      <c r="Y48" s="3">
        <v>0</v>
      </c>
      <c r="Z48" s="3"/>
      <c r="AA48" s="3">
        <f>55916+112770+583+1739195+94095+115607</f>
        <v>2118166</v>
      </c>
      <c r="AB48" s="3"/>
      <c r="AC48" s="3">
        <v>6248351</v>
      </c>
      <c r="AD48" s="3"/>
      <c r="AE48" s="22">
        <f t="shared" si="2"/>
        <v>8475483</v>
      </c>
      <c r="AF48" s="103"/>
      <c r="AG48" s="3">
        <f t="shared" si="0"/>
        <v>0</v>
      </c>
      <c r="AI48" s="30">
        <f t="shared" si="1"/>
        <v>0</v>
      </c>
    </row>
    <row r="49" spans="1:35" s="102" customFormat="1">
      <c r="A49" s="3" t="s">
        <v>248</v>
      </c>
      <c r="B49" s="103"/>
      <c r="C49" s="103" t="s">
        <v>157</v>
      </c>
      <c r="E49" s="103">
        <v>50948</v>
      </c>
      <c r="G49" s="3">
        <v>8360201</v>
      </c>
      <c r="H49" s="3"/>
      <c r="I49" s="3">
        <v>241244</v>
      </c>
      <c r="J49" s="3"/>
      <c r="K49" s="8">
        <f t="shared" si="3"/>
        <v>9701704</v>
      </c>
      <c r="L49" s="3"/>
      <c r="M49" s="3">
        <v>18303149</v>
      </c>
      <c r="N49" s="3"/>
      <c r="O49" s="3">
        <v>0</v>
      </c>
      <c r="P49" s="3"/>
      <c r="Q49" s="3">
        <v>1331546</v>
      </c>
      <c r="R49" s="3"/>
      <c r="S49" s="3">
        <v>8194873</v>
      </c>
      <c r="T49" s="3"/>
      <c r="U49" s="3">
        <v>28683</v>
      </c>
      <c r="V49" s="3"/>
      <c r="W49" s="3">
        <v>0</v>
      </c>
      <c r="X49" s="3"/>
      <c r="Y49" s="3">
        <v>0</v>
      </c>
      <c r="Z49" s="3"/>
      <c r="AA49" s="3">
        <v>2229231</v>
      </c>
      <c r="AB49" s="3"/>
      <c r="AC49" s="3">
        <v>6518816</v>
      </c>
      <c r="AD49" s="3"/>
      <c r="AE49" s="22">
        <f t="shared" si="2"/>
        <v>8776730</v>
      </c>
      <c r="AF49" s="103"/>
      <c r="AG49" s="3">
        <f t="shared" si="0"/>
        <v>0</v>
      </c>
      <c r="AI49" s="30">
        <f t="shared" si="1"/>
        <v>0</v>
      </c>
    </row>
    <row r="50" spans="1:35" s="102" customFormat="1">
      <c r="A50" s="3" t="s">
        <v>249</v>
      </c>
      <c r="B50" s="103"/>
      <c r="C50" s="103" t="s">
        <v>196</v>
      </c>
      <c r="E50" s="103">
        <v>63495</v>
      </c>
      <c r="G50" s="3">
        <v>10833268</v>
      </c>
      <c r="H50" s="3"/>
      <c r="I50" s="3">
        <v>38707</v>
      </c>
      <c r="J50" s="3"/>
      <c r="K50" s="8">
        <f t="shared" si="3"/>
        <v>3147004</v>
      </c>
      <c r="L50" s="3"/>
      <c r="M50" s="3">
        <v>14018979</v>
      </c>
      <c r="N50" s="3"/>
      <c r="O50" s="3">
        <v>0</v>
      </c>
      <c r="P50" s="3"/>
      <c r="Q50" s="3">
        <v>4299709</v>
      </c>
      <c r="R50" s="3"/>
      <c r="S50" s="3">
        <v>0</v>
      </c>
      <c r="T50" s="3"/>
      <c r="U50" s="3">
        <v>0</v>
      </c>
      <c r="V50" s="3"/>
      <c r="W50" s="3">
        <v>38707</v>
      </c>
      <c r="X50" s="3"/>
      <c r="Y50" s="3">
        <v>2472669</v>
      </c>
      <c r="Z50" s="3"/>
      <c r="AA50" s="3">
        <v>189099</v>
      </c>
      <c r="AB50" s="3"/>
      <c r="AC50" s="3">
        <v>7018795</v>
      </c>
      <c r="AD50" s="3"/>
      <c r="AE50" s="22">
        <f t="shared" si="2"/>
        <v>9719270</v>
      </c>
      <c r="AF50" s="103"/>
      <c r="AG50" s="3">
        <f t="shared" si="0"/>
        <v>0</v>
      </c>
      <c r="AI50" s="30">
        <f t="shared" si="1"/>
        <v>0</v>
      </c>
    </row>
    <row r="51" spans="1:35" s="102" customFormat="1">
      <c r="A51" s="3" t="s">
        <v>383</v>
      </c>
      <c r="B51" s="103"/>
      <c r="C51" s="103" t="s">
        <v>192</v>
      </c>
      <c r="E51" s="103">
        <v>51490</v>
      </c>
      <c r="G51" s="3">
        <v>2737668</v>
      </c>
      <c r="H51" s="3"/>
      <c r="I51" s="3">
        <v>0</v>
      </c>
      <c r="J51" s="3"/>
      <c r="K51" s="8">
        <f t="shared" si="3"/>
        <v>2382961</v>
      </c>
      <c r="L51" s="3"/>
      <c r="M51" s="3">
        <v>5120629</v>
      </c>
      <c r="N51" s="3"/>
      <c r="O51" s="3">
        <v>0</v>
      </c>
      <c r="P51" s="3"/>
      <c r="Q51" s="3">
        <v>548878</v>
      </c>
      <c r="R51" s="3"/>
      <c r="S51" s="3">
        <v>2204630</v>
      </c>
      <c r="T51" s="3"/>
      <c r="U51" s="3">
        <v>0</v>
      </c>
      <c r="V51" s="3"/>
      <c r="W51" s="3">
        <v>0</v>
      </c>
      <c r="X51" s="3"/>
      <c r="Y51" s="3">
        <v>0</v>
      </c>
      <c r="Z51" s="3"/>
      <c r="AA51" s="3">
        <v>401175</v>
      </c>
      <c r="AB51" s="3"/>
      <c r="AC51" s="3">
        <v>1965946</v>
      </c>
      <c r="AD51" s="3"/>
      <c r="AE51" s="22">
        <f t="shared" si="2"/>
        <v>2367121</v>
      </c>
      <c r="AF51" s="103"/>
      <c r="AG51" s="3">
        <f t="shared" si="0"/>
        <v>0</v>
      </c>
      <c r="AI51" s="30">
        <f t="shared" si="1"/>
        <v>0</v>
      </c>
    </row>
    <row r="52" spans="1:35" s="102" customFormat="1">
      <c r="A52" s="3" t="s">
        <v>205</v>
      </c>
      <c r="B52" s="103"/>
      <c r="C52" s="103" t="s">
        <v>150</v>
      </c>
      <c r="E52" s="103">
        <v>50799</v>
      </c>
      <c r="G52" s="3">
        <v>4096384</v>
      </c>
      <c r="H52" s="3"/>
      <c r="I52" s="3">
        <v>20297</v>
      </c>
      <c r="J52" s="3"/>
      <c r="K52" s="8">
        <f t="shared" si="3"/>
        <v>2049950</v>
      </c>
      <c r="L52" s="3"/>
      <c r="M52" s="3">
        <v>6166631</v>
      </c>
      <c r="N52" s="3"/>
      <c r="O52" s="3">
        <v>0</v>
      </c>
      <c r="P52" s="3"/>
      <c r="Q52" s="3">
        <v>459275</v>
      </c>
      <c r="R52" s="3"/>
      <c r="S52" s="3">
        <v>1412582</v>
      </c>
      <c r="T52" s="3"/>
      <c r="U52" s="3">
        <v>207426</v>
      </c>
      <c r="V52" s="3"/>
      <c r="W52" s="3">
        <v>20297</v>
      </c>
      <c r="X52" s="3"/>
      <c r="Y52" s="3">
        <v>323401</v>
      </c>
      <c r="Z52" s="3"/>
      <c r="AA52" s="3">
        <v>116652</v>
      </c>
      <c r="AB52" s="3"/>
      <c r="AC52" s="3">
        <v>3626998</v>
      </c>
      <c r="AD52" s="3"/>
      <c r="AE52" s="22">
        <f t="shared" si="2"/>
        <v>4294774</v>
      </c>
      <c r="AF52" s="103"/>
      <c r="AG52" s="3">
        <f t="shared" si="0"/>
        <v>0</v>
      </c>
      <c r="AI52" s="30">
        <f t="shared" si="1"/>
        <v>0</v>
      </c>
    </row>
    <row r="53" spans="1:35" s="102" customFormat="1">
      <c r="A53" s="3" t="s">
        <v>365</v>
      </c>
      <c r="B53" s="103"/>
      <c r="C53" s="103" t="s">
        <v>152</v>
      </c>
      <c r="E53" s="103">
        <v>51532</v>
      </c>
      <c r="G53" s="3">
        <v>7809938</v>
      </c>
      <c r="H53" s="3"/>
      <c r="I53" s="3">
        <v>0</v>
      </c>
      <c r="J53" s="3"/>
      <c r="K53" s="8">
        <f t="shared" si="3"/>
        <v>5955216</v>
      </c>
      <c r="L53" s="3"/>
      <c r="M53" s="3">
        <v>13765154</v>
      </c>
      <c r="N53" s="3"/>
      <c r="O53" s="3">
        <v>0</v>
      </c>
      <c r="P53" s="3"/>
      <c r="Q53" s="3">
        <f>5526510-4572491</f>
        <v>954019</v>
      </c>
      <c r="R53" s="3"/>
      <c r="S53" s="3">
        <v>4572491</v>
      </c>
      <c r="T53" s="3"/>
      <c r="U53" s="3">
        <v>25154</v>
      </c>
      <c r="V53" s="3"/>
      <c r="W53" s="3">
        <v>0</v>
      </c>
      <c r="X53" s="3"/>
      <c r="Y53" s="3">
        <v>0</v>
      </c>
      <c r="Z53" s="3"/>
      <c r="AA53" s="3">
        <v>739602</v>
      </c>
      <c r="AB53" s="3"/>
      <c r="AC53" s="3">
        <v>7473888</v>
      </c>
      <c r="AD53" s="3"/>
      <c r="AE53" s="22">
        <f t="shared" si="2"/>
        <v>8238644</v>
      </c>
      <c r="AF53" s="103"/>
      <c r="AG53" s="3">
        <f t="shared" si="0"/>
        <v>0</v>
      </c>
      <c r="AI53" s="30">
        <f t="shared" si="1"/>
        <v>0</v>
      </c>
    </row>
    <row r="54" spans="1:35" s="102" customFormat="1">
      <c r="A54" s="3" t="s">
        <v>219</v>
      </c>
      <c r="B54" s="103"/>
      <c r="C54" s="103" t="s">
        <v>195</v>
      </c>
      <c r="E54" s="103">
        <v>62026</v>
      </c>
      <c r="G54" s="3">
        <v>10323989</v>
      </c>
      <c r="H54" s="3"/>
      <c r="I54" s="3">
        <v>0</v>
      </c>
      <c r="J54" s="3"/>
      <c r="K54" s="8">
        <f t="shared" si="3"/>
        <v>2220444</v>
      </c>
      <c r="L54" s="3"/>
      <c r="M54" s="3">
        <v>12544433</v>
      </c>
      <c r="N54" s="3"/>
      <c r="O54" s="3">
        <v>0</v>
      </c>
      <c r="P54" s="3"/>
      <c r="Q54" s="3">
        <v>927780</v>
      </c>
      <c r="R54" s="3"/>
      <c r="S54" s="3">
        <v>2036143</v>
      </c>
      <c r="T54" s="3"/>
      <c r="U54" s="3">
        <f>5452+30000</f>
        <v>35452</v>
      </c>
      <c r="V54" s="3"/>
      <c r="W54" s="3">
        <v>0</v>
      </c>
      <c r="X54" s="3"/>
      <c r="Y54" s="3">
        <v>0</v>
      </c>
      <c r="Z54" s="3"/>
      <c r="AA54" s="3">
        <f>61206+130856+810+794612+4194+52687</f>
        <v>1044365</v>
      </c>
      <c r="AB54" s="3"/>
      <c r="AC54" s="3">
        <v>8500693</v>
      </c>
      <c r="AD54" s="3"/>
      <c r="AE54" s="22">
        <f t="shared" si="2"/>
        <v>9580510</v>
      </c>
      <c r="AF54" s="103"/>
      <c r="AG54" s="3">
        <f t="shared" si="0"/>
        <v>0</v>
      </c>
      <c r="AI54" s="30">
        <f t="shared" si="1"/>
        <v>0</v>
      </c>
    </row>
    <row r="55" spans="1:35" s="102" customFormat="1">
      <c r="A55" s="3" t="s">
        <v>272</v>
      </c>
      <c r="B55" s="103"/>
      <c r="C55" s="103" t="s">
        <v>214</v>
      </c>
      <c r="E55" s="103">
        <v>63511</v>
      </c>
      <c r="G55" s="3">
        <v>6334458</v>
      </c>
      <c r="H55" s="3"/>
      <c r="I55" s="3">
        <v>0</v>
      </c>
      <c r="J55" s="3"/>
      <c r="K55" s="8">
        <f t="shared" si="3"/>
        <v>10406374</v>
      </c>
      <c r="L55" s="3"/>
      <c r="M55" s="3">
        <v>16740832</v>
      </c>
      <c r="N55" s="3"/>
      <c r="O55" s="3">
        <v>0</v>
      </c>
      <c r="P55" s="3"/>
      <c r="Q55" s="3">
        <v>1022669</v>
      </c>
      <c r="R55" s="3"/>
      <c r="S55" s="3">
        <v>6903153</v>
      </c>
      <c r="T55" s="3"/>
      <c r="U55" s="3">
        <f>123215+23208</f>
        <v>146423</v>
      </c>
      <c r="V55" s="3"/>
      <c r="W55" s="3">
        <v>0</v>
      </c>
      <c r="X55" s="3"/>
      <c r="Y55" s="3">
        <v>0</v>
      </c>
      <c r="Z55" s="3"/>
      <c r="AA55" s="3">
        <v>179276</v>
      </c>
      <c r="AB55" s="3"/>
      <c r="AC55" s="3">
        <v>8489311</v>
      </c>
      <c r="AD55" s="3"/>
      <c r="AE55" s="22">
        <f t="shared" si="2"/>
        <v>8815010</v>
      </c>
      <c r="AF55" s="103"/>
      <c r="AG55" s="3">
        <f t="shared" si="0"/>
        <v>0</v>
      </c>
      <c r="AI55" s="30">
        <f t="shared" si="1"/>
        <v>0</v>
      </c>
    </row>
    <row r="56" spans="1:35" s="102" customFormat="1">
      <c r="A56" s="3" t="s">
        <v>285</v>
      </c>
      <c r="B56" s="103"/>
      <c r="C56" s="103" t="s">
        <v>145</v>
      </c>
      <c r="E56" s="103">
        <v>51607</v>
      </c>
      <c r="G56" s="3">
        <v>3582082</v>
      </c>
      <c r="H56" s="3"/>
      <c r="I56" s="3">
        <v>0</v>
      </c>
      <c r="J56" s="3"/>
      <c r="K56" s="8">
        <f t="shared" si="3"/>
        <v>3389388</v>
      </c>
      <c r="L56" s="3"/>
      <c r="M56" s="3">
        <v>6971470</v>
      </c>
      <c r="N56" s="3"/>
      <c r="O56" s="3">
        <v>0</v>
      </c>
      <c r="P56" s="3"/>
      <c r="Q56" s="3">
        <v>515721</v>
      </c>
      <c r="R56" s="3"/>
      <c r="S56" s="3">
        <v>2981509</v>
      </c>
      <c r="T56" s="3"/>
      <c r="U56" s="3">
        <v>63692</v>
      </c>
      <c r="V56" s="3"/>
      <c r="W56" s="3">
        <v>0</v>
      </c>
      <c r="X56" s="3"/>
      <c r="Y56" s="3">
        <v>0</v>
      </c>
      <c r="Z56" s="3"/>
      <c r="AA56" s="3">
        <v>195217</v>
      </c>
      <c r="AB56" s="3"/>
      <c r="AC56" s="3">
        <v>3215331</v>
      </c>
      <c r="AD56" s="3"/>
      <c r="AE56" s="22">
        <f t="shared" si="2"/>
        <v>3474240</v>
      </c>
      <c r="AF56" s="103"/>
      <c r="AG56" s="3">
        <f t="shared" si="0"/>
        <v>0</v>
      </c>
      <c r="AI56" s="30">
        <f t="shared" si="1"/>
        <v>0</v>
      </c>
    </row>
    <row r="57" spans="1:35" s="102" customFormat="1">
      <c r="A57" s="3" t="s">
        <v>215</v>
      </c>
      <c r="B57" s="103"/>
      <c r="C57" s="103" t="s">
        <v>216</v>
      </c>
      <c r="E57" s="103">
        <v>65268</v>
      </c>
      <c r="G57" s="3">
        <v>2198569</v>
      </c>
      <c r="H57" s="3"/>
      <c r="I57" s="3">
        <v>0</v>
      </c>
      <c r="J57" s="3"/>
      <c r="K57" s="8">
        <f t="shared" si="3"/>
        <v>4242826</v>
      </c>
      <c r="L57" s="3"/>
      <c r="M57" s="3">
        <v>6441395</v>
      </c>
      <c r="N57" s="3"/>
      <c r="O57" s="3">
        <v>0</v>
      </c>
      <c r="P57" s="3"/>
      <c r="Q57" s="3">
        <v>933925</v>
      </c>
      <c r="R57" s="3"/>
      <c r="S57" s="3">
        <v>3004144</v>
      </c>
      <c r="T57" s="3"/>
      <c r="U57" s="3">
        <v>56393</v>
      </c>
      <c r="V57" s="3"/>
      <c r="W57" s="3">
        <v>0</v>
      </c>
      <c r="X57" s="3"/>
      <c r="Y57" s="3">
        <v>0</v>
      </c>
      <c r="Z57" s="3"/>
      <c r="AA57" s="3">
        <v>152942</v>
      </c>
      <c r="AB57" s="3"/>
      <c r="AC57" s="3">
        <v>2293991</v>
      </c>
      <c r="AD57" s="3"/>
      <c r="AE57" s="22">
        <f t="shared" si="2"/>
        <v>2503326</v>
      </c>
      <c r="AF57" s="103"/>
      <c r="AG57" s="3">
        <f t="shared" si="0"/>
        <v>0</v>
      </c>
      <c r="AI57" s="30">
        <f t="shared" si="1"/>
        <v>0</v>
      </c>
    </row>
    <row r="58" spans="1:35" s="102" customFormat="1">
      <c r="A58" s="3" t="s">
        <v>366</v>
      </c>
      <c r="B58" s="103"/>
      <c r="C58" s="103" t="s">
        <v>197</v>
      </c>
      <c r="E58" s="103">
        <v>51631</v>
      </c>
      <c r="G58" s="3">
        <v>8446446</v>
      </c>
      <c r="H58" s="3"/>
      <c r="I58" s="3">
        <v>0</v>
      </c>
      <c r="J58" s="3"/>
      <c r="K58" s="8">
        <f t="shared" si="3"/>
        <v>6677614</v>
      </c>
      <c r="L58" s="3"/>
      <c r="M58" s="3">
        <v>15124060</v>
      </c>
      <c r="N58" s="3"/>
      <c r="O58" s="3">
        <v>0</v>
      </c>
      <c r="P58" s="3"/>
      <c r="Q58" s="3">
        <v>1634626</v>
      </c>
      <c r="R58" s="3"/>
      <c r="S58" s="3">
        <v>6477376</v>
      </c>
      <c r="T58" s="3"/>
      <c r="U58" s="3">
        <f>29593+2118</f>
        <v>31711</v>
      </c>
      <c r="V58" s="3"/>
      <c r="W58" s="3">
        <v>0</v>
      </c>
      <c r="X58" s="3"/>
      <c r="Y58" s="3">
        <v>0</v>
      </c>
      <c r="Z58" s="3"/>
      <c r="AA58" s="3">
        <f>39083+55388+1247+899761+250+185103</f>
        <v>1180832</v>
      </c>
      <c r="AB58" s="3"/>
      <c r="AC58" s="3">
        <v>5799515</v>
      </c>
      <c r="AD58" s="3"/>
      <c r="AE58" s="22">
        <f t="shared" si="2"/>
        <v>7012058</v>
      </c>
      <c r="AF58" s="103"/>
      <c r="AG58" s="3">
        <f t="shared" si="0"/>
        <v>0</v>
      </c>
      <c r="AI58" s="30">
        <f t="shared" si="1"/>
        <v>0</v>
      </c>
    </row>
    <row r="59" spans="1:35" s="102" customFormat="1">
      <c r="A59" s="3" t="s">
        <v>206</v>
      </c>
      <c r="B59" s="103"/>
      <c r="C59" s="103" t="s">
        <v>154</v>
      </c>
      <c r="E59" s="103">
        <v>62802</v>
      </c>
      <c r="G59" s="3">
        <v>11069393</v>
      </c>
      <c r="H59" s="3"/>
      <c r="I59" s="3">
        <v>24056</v>
      </c>
      <c r="J59" s="3"/>
      <c r="K59" s="8">
        <f t="shared" si="3"/>
        <v>3606835</v>
      </c>
      <c r="L59" s="3"/>
      <c r="M59" s="3">
        <v>14700284</v>
      </c>
      <c r="N59" s="3"/>
      <c r="O59" s="3">
        <v>0</v>
      </c>
      <c r="P59" s="3"/>
      <c r="Q59" s="3">
        <f>3607224-2957645</f>
        <v>649579</v>
      </c>
      <c r="R59" s="3"/>
      <c r="S59" s="3">
        <v>2957645</v>
      </c>
      <c r="T59" s="3"/>
      <c r="U59" s="3">
        <v>0</v>
      </c>
      <c r="V59" s="3"/>
      <c r="W59" s="3">
        <v>0</v>
      </c>
      <c r="X59" s="3"/>
      <c r="Y59" s="3">
        <v>0</v>
      </c>
      <c r="Z59" s="3"/>
      <c r="AA59" s="3">
        <v>282860</v>
      </c>
      <c r="AB59" s="3"/>
      <c r="AC59" s="3">
        <v>10810200</v>
      </c>
      <c r="AD59" s="3"/>
      <c r="AE59" s="22">
        <f t="shared" si="2"/>
        <v>11093060</v>
      </c>
      <c r="AF59" s="103"/>
      <c r="AG59" s="3">
        <f t="shared" si="0"/>
        <v>0</v>
      </c>
      <c r="AI59" s="30">
        <f t="shared" si="1"/>
        <v>0</v>
      </c>
    </row>
    <row r="60" spans="1:35" s="102" customFormat="1">
      <c r="A60" s="3" t="s">
        <v>354</v>
      </c>
      <c r="B60" s="103"/>
      <c r="C60" s="103" t="s">
        <v>180</v>
      </c>
      <c r="E60" s="103">
        <v>62125</v>
      </c>
      <c r="G60" s="3">
        <v>4125595</v>
      </c>
      <c r="H60" s="3"/>
      <c r="I60" s="3">
        <v>790</v>
      </c>
      <c r="J60" s="3"/>
      <c r="K60" s="8">
        <f>+M60-I60-G60</f>
        <v>6340802</v>
      </c>
      <c r="L60" s="3"/>
      <c r="M60" s="3">
        <v>10467187</v>
      </c>
      <c r="N60" s="3"/>
      <c r="O60" s="3">
        <v>0</v>
      </c>
      <c r="P60" s="3"/>
      <c r="Q60" s="3">
        <v>1798579</v>
      </c>
      <c r="R60" s="3"/>
      <c r="S60" s="3">
        <v>5004887</v>
      </c>
      <c r="T60" s="3"/>
      <c r="U60" s="3">
        <v>420450</v>
      </c>
      <c r="V60" s="3"/>
      <c r="W60" s="3">
        <v>0</v>
      </c>
      <c r="X60" s="3"/>
      <c r="Y60" s="3">
        <v>352370</v>
      </c>
      <c r="Z60" s="3"/>
      <c r="AA60" s="3">
        <v>471770</v>
      </c>
      <c r="AB60" s="3"/>
      <c r="AC60" s="3">
        <v>2419131</v>
      </c>
      <c r="AD60" s="3"/>
      <c r="AE60" s="22">
        <f t="shared" si="2"/>
        <v>3663721</v>
      </c>
      <c r="AF60" s="103"/>
      <c r="AG60" s="3">
        <f t="shared" si="0"/>
        <v>0</v>
      </c>
      <c r="AI60" s="30">
        <f t="shared" si="1"/>
        <v>0</v>
      </c>
    </row>
    <row r="61" spans="1:35" s="102" customFormat="1">
      <c r="A61" s="3" t="s">
        <v>250</v>
      </c>
      <c r="B61" s="103"/>
      <c r="C61" s="103" t="s">
        <v>191</v>
      </c>
      <c r="E61" s="103">
        <v>51458</v>
      </c>
      <c r="G61" s="3">
        <f>6263886+423</f>
        <v>6264309</v>
      </c>
      <c r="H61" s="3"/>
      <c r="I61" s="3">
        <v>0</v>
      </c>
      <c r="J61" s="3"/>
      <c r="K61" s="8">
        <f t="shared" si="3"/>
        <v>4651441</v>
      </c>
      <c r="L61" s="3"/>
      <c r="M61" s="3">
        <v>10915750</v>
      </c>
      <c r="N61" s="3"/>
      <c r="O61" s="3">
        <v>0</v>
      </c>
      <c r="P61" s="3"/>
      <c r="Q61" s="3">
        <v>1162388</v>
      </c>
      <c r="R61" s="3"/>
      <c r="S61" s="3">
        <v>3876321</v>
      </c>
      <c r="T61" s="3"/>
      <c r="U61" s="3">
        <f>2124+56744</f>
        <v>58868</v>
      </c>
      <c r="V61" s="3"/>
      <c r="W61" s="3">
        <v>0</v>
      </c>
      <c r="X61" s="3"/>
      <c r="Y61" s="3">
        <f>396153+450</f>
        <v>396603</v>
      </c>
      <c r="Z61" s="3"/>
      <c r="AA61" s="3">
        <f>121524+90541+15356+22161+36324+166505</f>
        <v>452411</v>
      </c>
      <c r="AB61" s="3"/>
      <c r="AC61" s="3">
        <v>4969159</v>
      </c>
      <c r="AD61" s="3"/>
      <c r="AE61" s="22">
        <f t="shared" si="2"/>
        <v>5877041</v>
      </c>
      <c r="AF61" s="103"/>
      <c r="AG61" s="3">
        <f t="shared" si="0"/>
        <v>0</v>
      </c>
      <c r="AI61" s="30">
        <f t="shared" si="1"/>
        <v>0</v>
      </c>
    </row>
    <row r="62" spans="1:35" s="102" customFormat="1">
      <c r="A62" s="3" t="s">
        <v>251</v>
      </c>
      <c r="B62" s="103"/>
      <c r="C62" s="103" t="s">
        <v>200</v>
      </c>
      <c r="E62" s="103">
        <v>51672</v>
      </c>
      <c r="G62" s="3">
        <v>4884665</v>
      </c>
      <c r="H62" s="3"/>
      <c r="I62" s="3">
        <v>0</v>
      </c>
      <c r="J62" s="3"/>
      <c r="K62" s="8">
        <f t="shared" si="3"/>
        <v>2903310</v>
      </c>
      <c r="L62" s="3"/>
      <c r="M62" s="3">
        <v>7787975</v>
      </c>
      <c r="N62" s="3"/>
      <c r="O62" s="3">
        <v>0</v>
      </c>
      <c r="P62" s="3"/>
      <c r="Q62" s="3">
        <v>602616</v>
      </c>
      <c r="R62" s="3"/>
      <c r="S62" s="3">
        <v>2530747</v>
      </c>
      <c r="T62" s="3"/>
      <c r="U62" s="3">
        <f>76184+57499</f>
        <v>133683</v>
      </c>
      <c r="V62" s="3"/>
      <c r="W62" s="3">
        <v>0</v>
      </c>
      <c r="X62" s="3"/>
      <c r="Y62" s="3">
        <v>0</v>
      </c>
      <c r="Z62" s="3"/>
      <c r="AA62" s="3">
        <f>810+9570+338679</f>
        <v>349059</v>
      </c>
      <c r="AB62" s="3"/>
      <c r="AC62" s="3">
        <v>4171870</v>
      </c>
      <c r="AD62" s="3"/>
      <c r="AE62" s="22">
        <f t="shared" si="2"/>
        <v>4654612</v>
      </c>
      <c r="AF62" s="103"/>
      <c r="AG62" s="3">
        <f t="shared" si="0"/>
        <v>0</v>
      </c>
      <c r="AI62" s="30">
        <f t="shared" si="1"/>
        <v>0</v>
      </c>
    </row>
    <row r="63" spans="1:35" s="102" customFormat="1">
      <c r="A63" s="3" t="s">
        <v>385</v>
      </c>
      <c r="B63" s="103"/>
      <c r="C63" s="103" t="s">
        <v>201</v>
      </c>
      <c r="E63" s="103">
        <v>51474</v>
      </c>
      <c r="G63" s="3">
        <v>8745314</v>
      </c>
      <c r="H63" s="3"/>
      <c r="I63" s="3">
        <v>0</v>
      </c>
      <c r="J63" s="3"/>
      <c r="K63" s="8">
        <f t="shared" si="3"/>
        <v>9367094</v>
      </c>
      <c r="L63" s="3"/>
      <c r="M63" s="3">
        <v>18112408</v>
      </c>
      <c r="N63" s="3"/>
      <c r="O63" s="3">
        <v>0</v>
      </c>
      <c r="P63" s="3"/>
      <c r="Q63" s="3">
        <v>929926</v>
      </c>
      <c r="R63" s="3"/>
      <c r="S63" s="3">
        <v>7430898</v>
      </c>
      <c r="T63" s="3"/>
      <c r="U63" s="3">
        <v>0</v>
      </c>
      <c r="V63" s="3"/>
      <c r="W63" s="3">
        <v>0</v>
      </c>
      <c r="X63" s="3"/>
      <c r="Y63" s="3">
        <v>0</v>
      </c>
      <c r="Z63" s="3"/>
      <c r="AA63" s="3">
        <v>144007</v>
      </c>
      <c r="AB63" s="3"/>
      <c r="AC63" s="3">
        <v>9607577</v>
      </c>
      <c r="AD63" s="3"/>
      <c r="AE63" s="22">
        <f t="shared" si="2"/>
        <v>9751584</v>
      </c>
      <c r="AF63" s="103"/>
      <c r="AG63" s="3">
        <f t="shared" si="0"/>
        <v>0</v>
      </c>
      <c r="AI63" s="30">
        <f t="shared" si="1"/>
        <v>0</v>
      </c>
    </row>
    <row r="64" spans="1:35" s="102" customFormat="1">
      <c r="A64" s="3" t="s">
        <v>264</v>
      </c>
      <c r="B64" s="103"/>
      <c r="C64" s="103" t="s">
        <v>202</v>
      </c>
      <c r="E64" s="103">
        <v>51698</v>
      </c>
      <c r="G64" s="3">
        <v>3349697</v>
      </c>
      <c r="H64" s="3"/>
      <c r="I64" s="3">
        <f>29228+436089</f>
        <v>465317</v>
      </c>
      <c r="J64" s="3"/>
      <c r="K64" s="8">
        <f t="shared" si="3"/>
        <v>2291093</v>
      </c>
      <c r="L64" s="3"/>
      <c r="M64" s="3">
        <v>6106107</v>
      </c>
      <c r="N64" s="3"/>
      <c r="O64" s="3">
        <v>0</v>
      </c>
      <c r="P64" s="3"/>
      <c r="Q64" s="3">
        <v>452604</v>
      </c>
      <c r="R64" s="3"/>
      <c r="S64" s="3">
        <v>2079574</v>
      </c>
      <c r="T64" s="3"/>
      <c r="U64" s="3">
        <v>29178</v>
      </c>
      <c r="V64" s="3"/>
      <c r="W64" s="3">
        <v>28932</v>
      </c>
      <c r="X64" s="3"/>
      <c r="Y64" s="3">
        <v>5700</v>
      </c>
      <c r="Z64" s="3"/>
      <c r="AA64" s="3">
        <v>214959</v>
      </c>
      <c r="AB64" s="3"/>
      <c r="AC64" s="3">
        <v>3295160</v>
      </c>
      <c r="AD64" s="3"/>
      <c r="AE64" s="22">
        <f t="shared" si="2"/>
        <v>3573929</v>
      </c>
      <c r="AF64" s="103"/>
      <c r="AG64" s="3">
        <f t="shared" si="0"/>
        <v>0</v>
      </c>
      <c r="AI64" s="30">
        <f t="shared" si="1"/>
        <v>0</v>
      </c>
    </row>
    <row r="65" spans="1:35" s="102" customFormat="1">
      <c r="A65" s="3" t="s">
        <v>352</v>
      </c>
      <c r="B65" s="103"/>
      <c r="C65" s="103" t="s">
        <v>203</v>
      </c>
      <c r="E65" s="103">
        <v>51714</v>
      </c>
      <c r="G65" s="3">
        <v>7550198</v>
      </c>
      <c r="H65" s="3"/>
      <c r="I65" s="3">
        <v>0</v>
      </c>
      <c r="J65" s="3"/>
      <c r="K65" s="8">
        <f t="shared" si="3"/>
        <v>4345382</v>
      </c>
      <c r="L65" s="3"/>
      <c r="M65" s="3">
        <v>11895580</v>
      </c>
      <c r="N65" s="3"/>
      <c r="O65" s="3">
        <v>0</v>
      </c>
      <c r="P65" s="3"/>
      <c r="Q65" s="3">
        <f>4960545-4007736</f>
        <v>952809</v>
      </c>
      <c r="R65" s="3"/>
      <c r="S65" s="3">
        <v>4007736</v>
      </c>
      <c r="T65" s="3"/>
      <c r="U65" s="3">
        <v>0</v>
      </c>
      <c r="V65" s="3"/>
      <c r="W65" s="3">
        <v>0</v>
      </c>
      <c r="X65" s="3"/>
      <c r="Y65" s="3">
        <v>0</v>
      </c>
      <c r="Z65" s="3"/>
      <c r="AA65" s="3">
        <v>290319</v>
      </c>
      <c r="AB65" s="3"/>
      <c r="AC65" s="3">
        <v>6644716</v>
      </c>
      <c r="AD65" s="3"/>
      <c r="AE65" s="22">
        <f t="shared" si="2"/>
        <v>6935035</v>
      </c>
      <c r="AF65" s="103"/>
      <c r="AG65" s="3">
        <f t="shared" si="0"/>
        <v>0</v>
      </c>
      <c r="AI65" s="30">
        <f t="shared" si="1"/>
        <v>0</v>
      </c>
    </row>
    <row r="66" spans="1:35">
      <c r="A66" s="3"/>
      <c r="B66" s="15"/>
      <c r="C66" s="15"/>
      <c r="E66" s="15"/>
      <c r="G66" s="3"/>
      <c r="H66" s="3"/>
      <c r="I66" s="3"/>
      <c r="J66" s="3"/>
      <c r="K66" s="8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22"/>
      <c r="AF66" s="15"/>
      <c r="AG66" s="3"/>
    </row>
    <row r="67" spans="1:35">
      <c r="A67" s="3"/>
      <c r="B67" s="15"/>
      <c r="C67" s="15"/>
      <c r="E67" s="15"/>
      <c r="G67" s="3"/>
      <c r="H67" s="3"/>
      <c r="I67" s="3"/>
      <c r="J67" s="3"/>
      <c r="K67" s="8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22"/>
      <c r="AF67" s="15"/>
      <c r="AG67" s="3"/>
    </row>
    <row r="68" spans="1:35">
      <c r="A68" s="34" t="s">
        <v>253</v>
      </c>
      <c r="B68" s="15"/>
      <c r="C68" s="15"/>
      <c r="E68" s="15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22"/>
      <c r="AF68" s="15"/>
      <c r="AG68" s="3"/>
    </row>
    <row r="69" spans="1:35">
      <c r="A69" s="34"/>
      <c r="B69" s="15"/>
      <c r="C69" s="15"/>
      <c r="E69" s="15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22"/>
      <c r="AF69" s="15"/>
      <c r="AG69" s="3"/>
    </row>
    <row r="70" spans="1:35" s="65" customFormat="1" hidden="1">
      <c r="A70" s="58" t="s">
        <v>327</v>
      </c>
      <c r="B70" s="58"/>
      <c r="C70" s="58" t="s">
        <v>260</v>
      </c>
      <c r="E70" s="75">
        <v>45740</v>
      </c>
      <c r="G70" s="58">
        <v>0</v>
      </c>
      <c r="H70" s="58"/>
      <c r="I70" s="58">
        <v>0</v>
      </c>
      <c r="J70" s="58"/>
      <c r="K70" s="63">
        <f>+M70-I70-G70</f>
        <v>0</v>
      </c>
      <c r="L70" s="58"/>
      <c r="M70" s="58">
        <v>0</v>
      </c>
      <c r="N70" s="58"/>
      <c r="O70" s="58">
        <v>0</v>
      </c>
      <c r="P70" s="58"/>
      <c r="Q70" s="58">
        <v>0</v>
      </c>
      <c r="R70" s="58"/>
      <c r="S70" s="58">
        <v>0</v>
      </c>
      <c r="T70" s="58"/>
      <c r="U70" s="58">
        <v>0</v>
      </c>
      <c r="V70" s="58"/>
      <c r="W70" s="58">
        <v>0</v>
      </c>
      <c r="X70" s="58"/>
      <c r="Y70" s="58">
        <v>0</v>
      </c>
      <c r="Z70" s="58"/>
      <c r="AA70" s="58">
        <v>0</v>
      </c>
      <c r="AB70" s="58"/>
      <c r="AC70" s="58">
        <v>0</v>
      </c>
      <c r="AD70" s="58"/>
      <c r="AE70" s="66">
        <f>SUM(U70:AC70)</f>
        <v>0</v>
      </c>
      <c r="AF70" s="59"/>
      <c r="AG70" s="87">
        <f t="shared" ref="AG70:AG131" si="4">+G70+I70+K70+O70-Q70-S70-AA70-Y70-U70-W70-AC70</f>
        <v>0</v>
      </c>
      <c r="AI70" s="3">
        <f t="shared" ref="AI70:AI131" si="5">M70+O70-Q70-S70-AE70</f>
        <v>0</v>
      </c>
    </row>
    <row r="71" spans="1:35" s="65" customFormat="1" hidden="1">
      <c r="A71" s="58" t="s">
        <v>328</v>
      </c>
      <c r="B71" s="58"/>
      <c r="C71" s="58" t="s">
        <v>144</v>
      </c>
      <c r="E71" s="75">
        <v>45849</v>
      </c>
      <c r="G71" s="58">
        <v>0</v>
      </c>
      <c r="H71" s="58"/>
      <c r="I71" s="58">
        <v>0</v>
      </c>
      <c r="J71" s="58"/>
      <c r="K71" s="63">
        <f>+M71-I71-G71</f>
        <v>0</v>
      </c>
      <c r="L71" s="58"/>
      <c r="M71" s="58">
        <v>0</v>
      </c>
      <c r="N71" s="58"/>
      <c r="O71" s="58">
        <v>0</v>
      </c>
      <c r="P71" s="58"/>
      <c r="Q71" s="58">
        <v>0</v>
      </c>
      <c r="R71" s="58"/>
      <c r="S71" s="58">
        <v>0</v>
      </c>
      <c r="T71" s="58"/>
      <c r="U71" s="58">
        <v>0</v>
      </c>
      <c r="V71" s="58"/>
      <c r="W71" s="58">
        <v>0</v>
      </c>
      <c r="X71" s="58"/>
      <c r="Y71" s="58">
        <v>0</v>
      </c>
      <c r="Z71" s="58"/>
      <c r="AA71" s="58">
        <v>0</v>
      </c>
      <c r="AB71" s="58"/>
      <c r="AC71" s="58">
        <v>0</v>
      </c>
      <c r="AD71" s="58"/>
      <c r="AE71" s="66">
        <f>SUM(U71:AC71)</f>
        <v>0</v>
      </c>
      <c r="AF71" s="59"/>
      <c r="AG71" s="87">
        <f t="shared" si="4"/>
        <v>0</v>
      </c>
      <c r="AI71" s="3">
        <f t="shared" si="5"/>
        <v>0</v>
      </c>
    </row>
    <row r="72" spans="1:35" s="102" customFormat="1">
      <c r="A72" s="3" t="s">
        <v>148</v>
      </c>
      <c r="B72" s="103"/>
      <c r="C72" s="103" t="s">
        <v>145</v>
      </c>
      <c r="E72" s="103">
        <v>135145</v>
      </c>
      <c r="G72" s="19">
        <v>336308</v>
      </c>
      <c r="H72" s="19"/>
      <c r="I72" s="19">
        <v>0</v>
      </c>
      <c r="J72" s="19"/>
      <c r="K72" s="112">
        <f>+M72-I72-G72</f>
        <v>698041</v>
      </c>
      <c r="L72" s="19"/>
      <c r="M72" s="19">
        <v>1034349</v>
      </c>
      <c r="N72" s="19"/>
      <c r="O72" s="19">
        <v>0</v>
      </c>
      <c r="P72" s="19"/>
      <c r="Q72" s="19">
        <v>459364</v>
      </c>
      <c r="R72" s="19"/>
      <c r="S72" s="19">
        <v>110724</v>
      </c>
      <c r="T72" s="19"/>
      <c r="U72" s="19">
        <v>0</v>
      </c>
      <c r="V72" s="19"/>
      <c r="W72" s="19">
        <v>0</v>
      </c>
      <c r="X72" s="19"/>
      <c r="Y72" s="19">
        <v>0</v>
      </c>
      <c r="Z72" s="19"/>
      <c r="AA72" s="19">
        <v>86348</v>
      </c>
      <c r="AB72" s="19"/>
      <c r="AC72" s="19">
        <v>377913</v>
      </c>
      <c r="AD72" s="19"/>
      <c r="AE72" s="113">
        <f t="shared" ref="AE72:AE131" si="6">SUM(U72:AC72)</f>
        <v>464261</v>
      </c>
      <c r="AF72" s="103"/>
      <c r="AG72" s="3">
        <f t="shared" si="4"/>
        <v>0</v>
      </c>
      <c r="AI72" s="3">
        <f t="shared" si="5"/>
        <v>0</v>
      </c>
    </row>
    <row r="73" spans="1:35" s="65" customFormat="1" hidden="1">
      <c r="A73" s="58" t="s">
        <v>329</v>
      </c>
      <c r="B73" s="58"/>
      <c r="C73" s="58" t="s">
        <v>261</v>
      </c>
      <c r="E73" s="59">
        <v>45930</v>
      </c>
      <c r="G73" s="58">
        <v>0</v>
      </c>
      <c r="H73" s="58"/>
      <c r="I73" s="58">
        <v>0</v>
      </c>
      <c r="J73" s="58"/>
      <c r="K73" s="63">
        <f>+M73-I73-G73</f>
        <v>0</v>
      </c>
      <c r="L73" s="58"/>
      <c r="M73" s="58">
        <v>0</v>
      </c>
      <c r="N73" s="58"/>
      <c r="O73" s="58">
        <v>0</v>
      </c>
      <c r="P73" s="58"/>
      <c r="Q73" s="58">
        <v>0</v>
      </c>
      <c r="R73" s="58"/>
      <c r="S73" s="58">
        <v>0</v>
      </c>
      <c r="T73" s="58"/>
      <c r="U73" s="58">
        <v>0</v>
      </c>
      <c r="V73" s="58"/>
      <c r="W73" s="58">
        <v>0</v>
      </c>
      <c r="X73" s="58"/>
      <c r="Y73" s="58">
        <v>0</v>
      </c>
      <c r="Z73" s="58"/>
      <c r="AA73" s="58">
        <v>0</v>
      </c>
      <c r="AB73" s="58"/>
      <c r="AC73" s="58">
        <v>0</v>
      </c>
      <c r="AD73" s="58"/>
      <c r="AE73" s="66">
        <f t="shared" si="6"/>
        <v>0</v>
      </c>
      <c r="AF73" s="59"/>
      <c r="AG73" s="87">
        <f t="shared" si="4"/>
        <v>0</v>
      </c>
      <c r="AI73" s="3">
        <f t="shared" si="5"/>
        <v>0</v>
      </c>
    </row>
    <row r="74" spans="1:35" s="102" customFormat="1">
      <c r="A74" s="103" t="s">
        <v>286</v>
      </c>
      <c r="B74" s="103"/>
      <c r="C74" s="103" t="s">
        <v>150</v>
      </c>
      <c r="E74" s="103">
        <v>46029</v>
      </c>
      <c r="G74" s="3">
        <v>2032441</v>
      </c>
      <c r="H74" s="3"/>
      <c r="I74" s="3">
        <v>0</v>
      </c>
      <c r="J74" s="3"/>
      <c r="K74" s="8">
        <f>+M74-I74-G74</f>
        <v>124970</v>
      </c>
      <c r="L74" s="3"/>
      <c r="M74" s="3">
        <v>2157411</v>
      </c>
      <c r="N74" s="3"/>
      <c r="O74" s="3">
        <v>0</v>
      </c>
      <c r="P74" s="3"/>
      <c r="Q74" s="3">
        <v>520670</v>
      </c>
      <c r="R74" s="3"/>
      <c r="S74" s="3">
        <v>0</v>
      </c>
      <c r="T74" s="3"/>
      <c r="U74" s="3">
        <v>90257</v>
      </c>
      <c r="V74" s="3"/>
      <c r="W74" s="3">
        <v>0</v>
      </c>
      <c r="X74" s="3"/>
      <c r="Y74" s="3">
        <v>25000</v>
      </c>
      <c r="Z74" s="3"/>
      <c r="AA74" s="3">
        <v>12446</v>
      </c>
      <c r="AB74" s="3"/>
      <c r="AC74" s="3">
        <v>1509038</v>
      </c>
      <c r="AD74" s="3"/>
      <c r="AE74" s="22">
        <f t="shared" si="6"/>
        <v>1636741</v>
      </c>
      <c r="AF74" s="103"/>
      <c r="AG74" s="3">
        <f t="shared" si="4"/>
        <v>0</v>
      </c>
      <c r="AI74" s="3">
        <f t="shared" si="5"/>
        <v>0</v>
      </c>
    </row>
    <row r="75" spans="1:35" s="102" customFormat="1">
      <c r="A75" s="103" t="s">
        <v>287</v>
      </c>
      <c r="B75" s="103"/>
      <c r="C75" s="103" t="s">
        <v>147</v>
      </c>
      <c r="E75" s="103">
        <v>46086</v>
      </c>
      <c r="G75" s="3">
        <v>1845459</v>
      </c>
      <c r="H75" s="3"/>
      <c r="I75" s="3">
        <v>0</v>
      </c>
      <c r="J75" s="3"/>
      <c r="K75" s="8">
        <f t="shared" ref="K75:K131" si="7">+M75-I75-G75</f>
        <v>828768</v>
      </c>
      <c r="L75" s="3"/>
      <c r="M75" s="3">
        <v>2674227</v>
      </c>
      <c r="N75" s="3"/>
      <c r="O75" s="3">
        <v>0</v>
      </c>
      <c r="P75" s="3"/>
      <c r="Q75" s="3">
        <v>1076168</v>
      </c>
      <c r="R75" s="3"/>
      <c r="S75" s="3">
        <v>0</v>
      </c>
      <c r="T75" s="3"/>
      <c r="U75" s="3">
        <v>0</v>
      </c>
      <c r="V75" s="3"/>
      <c r="W75" s="3">
        <v>0</v>
      </c>
      <c r="X75" s="3"/>
      <c r="Y75" s="3">
        <v>0</v>
      </c>
      <c r="Z75" s="3"/>
      <c r="AA75" s="3">
        <v>280722</v>
      </c>
      <c r="AB75" s="3"/>
      <c r="AC75" s="3">
        <v>1317337</v>
      </c>
      <c r="AD75" s="3"/>
      <c r="AE75" s="22">
        <f t="shared" si="6"/>
        <v>1598059</v>
      </c>
      <c r="AF75" s="103"/>
      <c r="AG75" s="3">
        <f t="shared" si="4"/>
        <v>0</v>
      </c>
      <c r="AI75" s="3">
        <f t="shared" si="5"/>
        <v>0</v>
      </c>
    </row>
    <row r="76" spans="1:35" s="102" customFormat="1">
      <c r="A76" s="103" t="s">
        <v>288</v>
      </c>
      <c r="B76" s="103"/>
      <c r="C76" s="103" t="s">
        <v>152</v>
      </c>
      <c r="E76" s="103">
        <v>46227</v>
      </c>
      <c r="G76" s="3">
        <v>1330897</v>
      </c>
      <c r="H76" s="3"/>
      <c r="I76" s="3">
        <v>453216</v>
      </c>
      <c r="J76" s="3"/>
      <c r="K76" s="8">
        <f t="shared" si="7"/>
        <v>273624</v>
      </c>
      <c r="L76" s="3"/>
      <c r="M76" s="3">
        <v>2057737</v>
      </c>
      <c r="N76" s="3"/>
      <c r="O76" s="3">
        <v>0</v>
      </c>
      <c r="P76" s="3"/>
      <c r="Q76" s="3">
        <v>844744</v>
      </c>
      <c r="R76" s="3"/>
      <c r="S76" s="3">
        <v>0</v>
      </c>
      <c r="T76" s="3"/>
      <c r="U76" s="3">
        <v>0</v>
      </c>
      <c r="V76" s="3"/>
      <c r="W76" s="3">
        <f>48917+453216</f>
        <v>502133</v>
      </c>
      <c r="X76" s="3"/>
      <c r="Y76" s="3">
        <v>0</v>
      </c>
      <c r="Z76" s="3"/>
      <c r="AA76" s="3">
        <f>109154+203667+44016</f>
        <v>356837</v>
      </c>
      <c r="AB76" s="3"/>
      <c r="AC76" s="3">
        <v>354023</v>
      </c>
      <c r="AD76" s="3"/>
      <c r="AE76" s="22">
        <f t="shared" si="6"/>
        <v>1212993</v>
      </c>
      <c r="AF76" s="103"/>
      <c r="AG76" s="3">
        <f t="shared" si="4"/>
        <v>0</v>
      </c>
      <c r="AI76" s="3">
        <f t="shared" si="5"/>
        <v>0</v>
      </c>
    </row>
    <row r="77" spans="1:35" s="102" customFormat="1">
      <c r="A77" s="3" t="s">
        <v>153</v>
      </c>
      <c r="B77" s="103"/>
      <c r="C77" s="103" t="s">
        <v>154</v>
      </c>
      <c r="E77" s="103">
        <v>46292</v>
      </c>
      <c r="G77" s="3">
        <v>5998824</v>
      </c>
      <c r="H77" s="3"/>
      <c r="I77" s="3">
        <v>0</v>
      </c>
      <c r="J77" s="3"/>
      <c r="K77" s="8">
        <f t="shared" si="7"/>
        <v>1089432</v>
      </c>
      <c r="L77" s="3"/>
      <c r="M77" s="3">
        <v>7088256</v>
      </c>
      <c r="N77" s="3"/>
      <c r="O77" s="3">
        <v>0</v>
      </c>
      <c r="P77" s="3"/>
      <c r="Q77" s="3">
        <v>1601157</v>
      </c>
      <c r="R77" s="3"/>
      <c r="S77" s="3">
        <v>124715</v>
      </c>
      <c r="T77" s="3"/>
      <c r="U77" s="3">
        <v>0</v>
      </c>
      <c r="V77" s="3"/>
      <c r="W77" s="3">
        <v>0</v>
      </c>
      <c r="X77" s="3"/>
      <c r="Y77" s="3">
        <v>0</v>
      </c>
      <c r="Z77" s="3"/>
      <c r="AA77" s="3">
        <v>27734</v>
      </c>
      <c r="AB77" s="3"/>
      <c r="AC77" s="3">
        <v>5334650</v>
      </c>
      <c r="AD77" s="3"/>
      <c r="AE77" s="22">
        <f t="shared" si="6"/>
        <v>5362384</v>
      </c>
      <c r="AF77" s="103"/>
      <c r="AG77" s="3">
        <f t="shared" si="4"/>
        <v>0</v>
      </c>
      <c r="AI77" s="3">
        <f t="shared" si="5"/>
        <v>0</v>
      </c>
    </row>
    <row r="78" spans="1:35" s="92" customFormat="1" hidden="1">
      <c r="A78" s="89" t="s">
        <v>276</v>
      </c>
      <c r="B78" s="89"/>
      <c r="C78" s="89" t="s">
        <v>155</v>
      </c>
      <c r="E78" s="89">
        <v>46375</v>
      </c>
      <c r="G78" s="88">
        <v>0</v>
      </c>
      <c r="H78" s="88"/>
      <c r="I78" s="88">
        <v>0</v>
      </c>
      <c r="J78" s="88"/>
      <c r="K78" s="95">
        <f t="shared" si="7"/>
        <v>0</v>
      </c>
      <c r="L78" s="88"/>
      <c r="M78" s="88">
        <v>0</v>
      </c>
      <c r="N78" s="88"/>
      <c r="O78" s="88">
        <v>0</v>
      </c>
      <c r="P78" s="88"/>
      <c r="Q78" s="88">
        <v>0</v>
      </c>
      <c r="R78" s="88"/>
      <c r="S78" s="88">
        <v>0</v>
      </c>
      <c r="T78" s="88"/>
      <c r="U78" s="88">
        <v>0</v>
      </c>
      <c r="V78" s="88"/>
      <c r="W78" s="88">
        <v>0</v>
      </c>
      <c r="X78" s="88"/>
      <c r="Y78" s="88">
        <v>0</v>
      </c>
      <c r="Z78" s="88"/>
      <c r="AA78" s="88">
        <v>0</v>
      </c>
      <c r="AB78" s="88"/>
      <c r="AC78" s="88">
        <v>0</v>
      </c>
      <c r="AD78" s="88"/>
      <c r="AE78" s="96">
        <f t="shared" si="6"/>
        <v>0</v>
      </c>
      <c r="AF78" s="89"/>
      <c r="AG78" s="87">
        <f t="shared" si="4"/>
        <v>0</v>
      </c>
      <c r="AI78" s="3">
        <f t="shared" si="5"/>
        <v>0</v>
      </c>
    </row>
    <row r="79" spans="1:35" s="102" customFormat="1">
      <c r="A79" s="103" t="s">
        <v>304</v>
      </c>
      <c r="B79" s="103"/>
      <c r="C79" s="103" t="s">
        <v>156</v>
      </c>
      <c r="E79" s="103">
        <v>46417</v>
      </c>
      <c r="G79" s="3">
        <v>458005</v>
      </c>
      <c r="H79" s="3"/>
      <c r="I79" s="3">
        <v>0</v>
      </c>
      <c r="J79" s="3"/>
      <c r="K79" s="8">
        <f t="shared" si="7"/>
        <v>717245</v>
      </c>
      <c r="L79" s="3"/>
      <c r="M79" s="3">
        <v>1175250</v>
      </c>
      <c r="N79" s="3"/>
      <c r="O79" s="3">
        <v>0</v>
      </c>
      <c r="P79" s="3"/>
      <c r="Q79" s="3">
        <v>906931</v>
      </c>
      <c r="R79" s="3"/>
      <c r="S79" s="3">
        <v>319037</v>
      </c>
      <c r="T79" s="3"/>
      <c r="U79" s="3">
        <v>9491</v>
      </c>
      <c r="V79" s="3"/>
      <c r="W79" s="3">
        <v>0</v>
      </c>
      <c r="X79" s="3"/>
      <c r="Y79" s="3">
        <v>0</v>
      </c>
      <c r="Z79" s="3"/>
      <c r="AA79" s="3">
        <v>0</v>
      </c>
      <c r="AB79" s="3"/>
      <c r="AC79" s="3">
        <v>-60209</v>
      </c>
      <c r="AD79" s="3"/>
      <c r="AE79" s="22">
        <f t="shared" si="6"/>
        <v>-50718</v>
      </c>
      <c r="AF79" s="103"/>
      <c r="AG79" s="3">
        <f t="shared" si="4"/>
        <v>0</v>
      </c>
      <c r="AI79" s="3">
        <f t="shared" si="5"/>
        <v>0</v>
      </c>
    </row>
    <row r="80" spans="1:35" s="102" customFormat="1">
      <c r="A80" s="3" t="s">
        <v>306</v>
      </c>
      <c r="B80" s="103"/>
      <c r="C80" s="103" t="s">
        <v>157</v>
      </c>
      <c r="E80" s="103">
        <v>46532</v>
      </c>
      <c r="G80" s="3">
        <v>12325271</v>
      </c>
      <c r="H80" s="3"/>
      <c r="I80" s="3">
        <v>125548</v>
      </c>
      <c r="J80" s="3"/>
      <c r="K80" s="8">
        <f t="shared" si="7"/>
        <v>6134809</v>
      </c>
      <c r="L80" s="3"/>
      <c r="M80" s="3">
        <v>18585628</v>
      </c>
      <c r="N80" s="3"/>
      <c r="O80" s="3">
        <v>0</v>
      </c>
      <c r="P80" s="3"/>
      <c r="Q80" s="3">
        <v>4497909</v>
      </c>
      <c r="R80" s="3"/>
      <c r="S80" s="3">
        <v>79616</v>
      </c>
      <c r="T80" s="3"/>
      <c r="U80" s="3">
        <v>125548</v>
      </c>
      <c r="V80" s="3"/>
      <c r="W80" s="3">
        <v>0</v>
      </c>
      <c r="X80" s="3"/>
      <c r="Y80" s="3">
        <v>100000</v>
      </c>
      <c r="Z80" s="3"/>
      <c r="AA80" s="3">
        <v>5258711</v>
      </c>
      <c r="AB80" s="3"/>
      <c r="AC80" s="3">
        <v>8523844</v>
      </c>
      <c r="AD80" s="3"/>
      <c r="AE80" s="22">
        <f t="shared" si="6"/>
        <v>14008103</v>
      </c>
      <c r="AF80" s="103"/>
      <c r="AG80" s="3">
        <f t="shared" si="4"/>
        <v>0</v>
      </c>
      <c r="AI80" s="3">
        <f t="shared" si="5"/>
        <v>0</v>
      </c>
    </row>
    <row r="81" spans="1:35" s="65" customFormat="1" hidden="1">
      <c r="A81" s="58" t="s">
        <v>309</v>
      </c>
      <c r="B81" s="59"/>
      <c r="C81" s="59" t="s">
        <v>158</v>
      </c>
      <c r="E81" s="59">
        <v>46615</v>
      </c>
      <c r="G81" s="58">
        <v>0</v>
      </c>
      <c r="H81" s="58"/>
      <c r="I81" s="58">
        <v>0</v>
      </c>
      <c r="J81" s="58"/>
      <c r="K81" s="63">
        <f>+M81-I81-G81</f>
        <v>0</v>
      </c>
      <c r="L81" s="58"/>
      <c r="M81" s="58">
        <v>0</v>
      </c>
      <c r="N81" s="58"/>
      <c r="O81" s="58">
        <v>0</v>
      </c>
      <c r="P81" s="58"/>
      <c r="Q81" s="58">
        <v>0</v>
      </c>
      <c r="R81" s="58"/>
      <c r="S81" s="58">
        <v>0</v>
      </c>
      <c r="T81" s="58"/>
      <c r="U81" s="58">
        <v>0</v>
      </c>
      <c r="V81" s="58"/>
      <c r="W81" s="58">
        <v>0</v>
      </c>
      <c r="X81" s="58"/>
      <c r="Y81" s="58">
        <v>0</v>
      </c>
      <c r="Z81" s="58"/>
      <c r="AA81" s="58">
        <v>0</v>
      </c>
      <c r="AB81" s="58"/>
      <c r="AC81" s="58">
        <v>0</v>
      </c>
      <c r="AD81" s="58"/>
      <c r="AE81" s="66">
        <f t="shared" si="6"/>
        <v>0</v>
      </c>
      <c r="AF81" s="59"/>
      <c r="AG81" s="87">
        <f t="shared" si="4"/>
        <v>0</v>
      </c>
      <c r="AI81" s="3">
        <f t="shared" si="5"/>
        <v>0</v>
      </c>
    </row>
    <row r="82" spans="1:35" s="92" customFormat="1" hidden="1">
      <c r="A82" s="88" t="s">
        <v>305</v>
      </c>
      <c r="B82" s="89"/>
      <c r="C82" s="89" t="s">
        <v>159</v>
      </c>
      <c r="E82" s="89">
        <v>46730</v>
      </c>
      <c r="G82" s="88">
        <v>0</v>
      </c>
      <c r="H82" s="88"/>
      <c r="I82" s="88">
        <v>0</v>
      </c>
      <c r="J82" s="88"/>
      <c r="K82" s="95">
        <f t="shared" si="7"/>
        <v>0</v>
      </c>
      <c r="L82" s="88"/>
      <c r="M82" s="88">
        <v>0</v>
      </c>
      <c r="N82" s="88"/>
      <c r="O82" s="88">
        <v>0</v>
      </c>
      <c r="P82" s="88"/>
      <c r="Q82" s="88">
        <v>0</v>
      </c>
      <c r="R82" s="88"/>
      <c r="S82" s="88">
        <v>0</v>
      </c>
      <c r="T82" s="88"/>
      <c r="U82" s="88">
        <v>0</v>
      </c>
      <c r="V82" s="88"/>
      <c r="W82" s="88">
        <v>0</v>
      </c>
      <c r="X82" s="88"/>
      <c r="Y82" s="88">
        <v>0</v>
      </c>
      <c r="Z82" s="88"/>
      <c r="AA82" s="88">
        <v>0</v>
      </c>
      <c r="AB82" s="88"/>
      <c r="AC82" s="88">
        <v>0</v>
      </c>
      <c r="AD82" s="88"/>
      <c r="AE82" s="96">
        <f t="shared" si="6"/>
        <v>0</v>
      </c>
      <c r="AF82" s="89"/>
      <c r="AG82" s="87">
        <f t="shared" si="4"/>
        <v>0</v>
      </c>
      <c r="AI82" s="3">
        <f t="shared" si="5"/>
        <v>0</v>
      </c>
    </row>
    <row r="83" spans="1:35" s="102" customFormat="1">
      <c r="A83" s="3" t="s">
        <v>303</v>
      </c>
      <c r="B83" s="103"/>
      <c r="C83" s="3" t="s">
        <v>198</v>
      </c>
      <c r="E83" s="103">
        <v>50260</v>
      </c>
      <c r="G83" s="3">
        <v>1366510</v>
      </c>
      <c r="H83" s="3"/>
      <c r="I83" s="3">
        <v>0</v>
      </c>
      <c r="J83" s="3"/>
      <c r="K83" s="8">
        <f t="shared" si="7"/>
        <v>924618</v>
      </c>
      <c r="L83" s="3"/>
      <c r="M83" s="3">
        <v>2291128</v>
      </c>
      <c r="N83" s="3"/>
      <c r="O83" s="3">
        <v>0</v>
      </c>
      <c r="P83" s="3"/>
      <c r="Q83" s="3">
        <v>1109286</v>
      </c>
      <c r="R83" s="3"/>
      <c r="S83" s="3">
        <v>441465</v>
      </c>
      <c r="T83" s="3"/>
      <c r="U83" s="3">
        <v>0</v>
      </c>
      <c r="V83" s="3"/>
      <c r="W83" s="3">
        <v>0</v>
      </c>
      <c r="X83" s="3"/>
      <c r="Y83" s="3">
        <v>0</v>
      </c>
      <c r="Z83" s="3"/>
      <c r="AA83" s="3">
        <v>0</v>
      </c>
      <c r="AB83" s="3"/>
      <c r="AC83" s="3">
        <v>740377</v>
      </c>
      <c r="AD83" s="3"/>
      <c r="AE83" s="22">
        <f t="shared" si="6"/>
        <v>740377</v>
      </c>
      <c r="AF83" s="103"/>
      <c r="AG83" s="3">
        <f t="shared" si="4"/>
        <v>0</v>
      </c>
      <c r="AI83" s="3">
        <f t="shared" si="5"/>
        <v>0</v>
      </c>
    </row>
    <row r="84" spans="1:35" s="102" customFormat="1">
      <c r="A84" s="3" t="s">
        <v>312</v>
      </c>
      <c r="B84" s="103"/>
      <c r="C84" s="103" t="s">
        <v>162</v>
      </c>
      <c r="E84" s="103">
        <v>46938</v>
      </c>
      <c r="G84" s="3">
        <v>9127708</v>
      </c>
      <c r="H84" s="3"/>
      <c r="I84" s="3">
        <v>0</v>
      </c>
      <c r="J84" s="3"/>
      <c r="K84" s="8">
        <f>+M84-I84-G84</f>
        <v>9002016</v>
      </c>
      <c r="L84" s="3"/>
      <c r="M84" s="3">
        <v>18129724</v>
      </c>
      <c r="N84" s="3"/>
      <c r="O84" s="3">
        <v>0</v>
      </c>
      <c r="P84" s="3"/>
      <c r="Q84" s="3">
        <v>8801257</v>
      </c>
      <c r="R84" s="3"/>
      <c r="S84" s="3">
        <v>2963820</v>
      </c>
      <c r="T84" s="3"/>
      <c r="U84" s="3">
        <v>4889</v>
      </c>
      <c r="V84" s="3"/>
      <c r="W84" s="3">
        <v>0</v>
      </c>
      <c r="X84" s="3"/>
      <c r="Y84" s="3">
        <v>0</v>
      </c>
      <c r="Z84" s="3"/>
      <c r="AA84" s="3">
        <f>89733+1485146</f>
        <v>1574879</v>
      </c>
      <c r="AB84" s="3"/>
      <c r="AC84" s="3">
        <v>4784879</v>
      </c>
      <c r="AD84" s="3"/>
      <c r="AE84" s="22">
        <f>SUM(U84:AC84)</f>
        <v>6364647</v>
      </c>
      <c r="AF84" s="103"/>
      <c r="AG84" s="3">
        <f t="shared" si="4"/>
        <v>0</v>
      </c>
      <c r="AI84" s="3">
        <f t="shared" si="5"/>
        <v>0</v>
      </c>
    </row>
    <row r="85" spans="1:35" s="92" customFormat="1" hidden="1">
      <c r="A85" s="89" t="s">
        <v>274</v>
      </c>
      <c r="B85" s="89"/>
      <c r="C85" s="89" t="s">
        <v>160</v>
      </c>
      <c r="E85" s="89">
        <v>125690</v>
      </c>
      <c r="G85" s="88">
        <v>0</v>
      </c>
      <c r="H85" s="88"/>
      <c r="I85" s="88">
        <v>0</v>
      </c>
      <c r="J85" s="88"/>
      <c r="K85" s="95">
        <f t="shared" si="7"/>
        <v>0</v>
      </c>
      <c r="L85" s="88"/>
      <c r="M85" s="88">
        <v>0</v>
      </c>
      <c r="N85" s="88"/>
      <c r="O85" s="88">
        <v>0</v>
      </c>
      <c r="P85" s="88"/>
      <c r="Q85" s="88">
        <v>0</v>
      </c>
      <c r="R85" s="88"/>
      <c r="S85" s="88">
        <v>0</v>
      </c>
      <c r="T85" s="88"/>
      <c r="U85" s="88">
        <v>0</v>
      </c>
      <c r="V85" s="88"/>
      <c r="W85" s="88">
        <v>0</v>
      </c>
      <c r="X85" s="88"/>
      <c r="Y85" s="88">
        <v>0</v>
      </c>
      <c r="Z85" s="88"/>
      <c r="AA85" s="88">
        <v>0</v>
      </c>
      <c r="AB85" s="88"/>
      <c r="AC85" s="88">
        <v>0</v>
      </c>
      <c r="AD85" s="88"/>
      <c r="AE85" s="96">
        <f t="shared" si="6"/>
        <v>0</v>
      </c>
      <c r="AF85" s="89"/>
      <c r="AG85" s="87">
        <f t="shared" si="4"/>
        <v>0</v>
      </c>
      <c r="AI85" s="3">
        <f t="shared" si="5"/>
        <v>0</v>
      </c>
    </row>
    <row r="86" spans="1:35" s="102" customFormat="1">
      <c r="A86" s="3" t="s">
        <v>314</v>
      </c>
      <c r="B86" s="103"/>
      <c r="C86" s="103" t="s">
        <v>161</v>
      </c>
      <c r="E86" s="103">
        <v>46839</v>
      </c>
      <c r="G86" s="3">
        <v>1248918</v>
      </c>
      <c r="H86" s="3"/>
      <c r="I86" s="3">
        <v>0</v>
      </c>
      <c r="J86" s="3"/>
      <c r="K86" s="8">
        <f t="shared" si="7"/>
        <v>386043</v>
      </c>
      <c r="L86" s="3"/>
      <c r="M86" s="3">
        <v>1634961</v>
      </c>
      <c r="N86" s="3"/>
      <c r="O86" s="3">
        <v>0</v>
      </c>
      <c r="P86" s="3"/>
      <c r="Q86" s="3">
        <v>965261</v>
      </c>
      <c r="R86" s="3"/>
      <c r="S86" s="3">
        <v>0</v>
      </c>
      <c r="T86" s="3"/>
      <c r="U86" s="3">
        <v>5087</v>
      </c>
      <c r="V86" s="3"/>
      <c r="W86" s="3">
        <v>0</v>
      </c>
      <c r="X86" s="3"/>
      <c r="Y86" s="3">
        <v>0</v>
      </c>
      <c r="Z86" s="3"/>
      <c r="AA86" s="3">
        <v>2877</v>
      </c>
      <c r="AB86" s="3"/>
      <c r="AC86" s="3">
        <v>661736</v>
      </c>
      <c r="AD86" s="3"/>
      <c r="AE86" s="22">
        <f t="shared" si="6"/>
        <v>669700</v>
      </c>
      <c r="AF86" s="103"/>
      <c r="AG86" s="3">
        <f t="shared" si="4"/>
        <v>0</v>
      </c>
      <c r="AI86" s="3">
        <f t="shared" si="5"/>
        <v>0</v>
      </c>
    </row>
    <row r="87" spans="1:35" s="102" customFormat="1">
      <c r="A87" s="3" t="s">
        <v>164</v>
      </c>
      <c r="B87" s="103"/>
      <c r="C87" s="103" t="s">
        <v>165</v>
      </c>
      <c r="E87" s="103">
        <v>125682</v>
      </c>
      <c r="G87" s="3">
        <v>1138679</v>
      </c>
      <c r="H87" s="3"/>
      <c r="I87" s="3">
        <v>0</v>
      </c>
      <c r="J87" s="3"/>
      <c r="K87" s="8">
        <f t="shared" si="7"/>
        <v>58137</v>
      </c>
      <c r="L87" s="3"/>
      <c r="M87" s="3">
        <v>1196816</v>
      </c>
      <c r="N87" s="3"/>
      <c r="O87" s="3">
        <v>0</v>
      </c>
      <c r="P87" s="3"/>
      <c r="Q87" s="3">
        <v>80523</v>
      </c>
      <c r="R87" s="3"/>
      <c r="S87" s="3">
        <v>24428</v>
      </c>
      <c r="T87" s="3"/>
      <c r="U87" s="3">
        <v>0</v>
      </c>
      <c r="V87" s="3"/>
      <c r="W87" s="3">
        <v>0</v>
      </c>
      <c r="X87" s="3"/>
      <c r="Y87" s="3">
        <v>0</v>
      </c>
      <c r="Z87" s="3"/>
      <c r="AA87" s="3">
        <v>0</v>
      </c>
      <c r="AB87" s="3"/>
      <c r="AC87" s="3">
        <v>1091865</v>
      </c>
      <c r="AD87" s="3"/>
      <c r="AE87" s="22">
        <f t="shared" si="6"/>
        <v>1091865</v>
      </c>
      <c r="AF87" s="103"/>
      <c r="AG87" s="3">
        <f t="shared" si="4"/>
        <v>0</v>
      </c>
      <c r="AI87" s="3">
        <f t="shared" si="5"/>
        <v>0</v>
      </c>
    </row>
    <row r="88" spans="1:35" s="102" customFormat="1">
      <c r="A88" s="107" t="s">
        <v>313</v>
      </c>
      <c r="B88" s="103"/>
      <c r="C88" s="103" t="s">
        <v>166</v>
      </c>
      <c r="E88" s="103">
        <v>47159</v>
      </c>
      <c r="G88" s="3">
        <v>1782115</v>
      </c>
      <c r="H88" s="3"/>
      <c r="I88" s="3">
        <v>0</v>
      </c>
      <c r="J88" s="3"/>
      <c r="K88" s="8">
        <f t="shared" si="7"/>
        <v>621865</v>
      </c>
      <c r="L88" s="3"/>
      <c r="M88" s="3">
        <v>2403980</v>
      </c>
      <c r="N88" s="3"/>
      <c r="O88" s="3">
        <v>0</v>
      </c>
      <c r="P88" s="3"/>
      <c r="Q88" s="3">
        <v>1217119</v>
      </c>
      <c r="R88" s="3"/>
      <c r="S88" s="3">
        <v>38222</v>
      </c>
      <c r="T88" s="3"/>
      <c r="U88" s="3">
        <v>0</v>
      </c>
      <c r="V88" s="3"/>
      <c r="W88" s="3">
        <v>0</v>
      </c>
      <c r="X88" s="3"/>
      <c r="Y88" s="3">
        <v>0</v>
      </c>
      <c r="Z88" s="3"/>
      <c r="AA88" s="3">
        <v>9524</v>
      </c>
      <c r="AB88" s="3"/>
      <c r="AC88" s="3">
        <v>1139115</v>
      </c>
      <c r="AD88" s="3"/>
      <c r="AE88" s="22">
        <f t="shared" si="6"/>
        <v>1148639</v>
      </c>
      <c r="AF88" s="103"/>
      <c r="AG88" s="3">
        <f t="shared" si="4"/>
        <v>0</v>
      </c>
      <c r="AI88" s="3">
        <f t="shared" si="5"/>
        <v>0</v>
      </c>
    </row>
    <row r="89" spans="1:35" s="102" customFormat="1">
      <c r="A89" s="103" t="s">
        <v>291</v>
      </c>
      <c r="B89" s="103"/>
      <c r="C89" s="103" t="s">
        <v>167</v>
      </c>
      <c r="E89" s="103">
        <v>47233</v>
      </c>
      <c r="G89" s="3">
        <v>3118177</v>
      </c>
      <c r="H89" s="3"/>
      <c r="I89" s="3">
        <v>0</v>
      </c>
      <c r="J89" s="3"/>
      <c r="K89" s="8">
        <f t="shared" si="7"/>
        <v>148931</v>
      </c>
      <c r="L89" s="3"/>
      <c r="M89" s="3">
        <v>3267108</v>
      </c>
      <c r="N89" s="3"/>
      <c r="O89" s="3">
        <v>0</v>
      </c>
      <c r="P89" s="3"/>
      <c r="Q89" s="3">
        <v>1872205</v>
      </c>
      <c r="R89" s="3"/>
      <c r="S89" s="3">
        <v>0</v>
      </c>
      <c r="T89" s="3"/>
      <c r="U89" s="3">
        <v>7673</v>
      </c>
      <c r="V89" s="3"/>
      <c r="W89" s="3">
        <v>0</v>
      </c>
      <c r="X89" s="3"/>
      <c r="Y89" s="3">
        <v>0</v>
      </c>
      <c r="Z89" s="3"/>
      <c r="AA89" s="3">
        <v>26610</v>
      </c>
      <c r="AB89" s="3"/>
      <c r="AC89" s="3">
        <v>1360620</v>
      </c>
      <c r="AD89" s="3"/>
      <c r="AE89" s="22">
        <f t="shared" si="6"/>
        <v>1394903</v>
      </c>
      <c r="AF89" s="103"/>
      <c r="AG89" s="3">
        <f t="shared" si="4"/>
        <v>0</v>
      </c>
      <c r="AI89" s="3">
        <f t="shared" si="5"/>
        <v>0</v>
      </c>
    </row>
    <row r="90" spans="1:35" s="102" customFormat="1">
      <c r="A90" s="103" t="s">
        <v>292</v>
      </c>
      <c r="B90" s="103"/>
      <c r="C90" s="103" t="s">
        <v>168</v>
      </c>
      <c r="E90" s="103">
        <v>47324</v>
      </c>
      <c r="G90" s="3">
        <v>7778607</v>
      </c>
      <c r="H90" s="3"/>
      <c r="I90" s="3">
        <v>0</v>
      </c>
      <c r="J90" s="3"/>
      <c r="K90" s="8">
        <f t="shared" si="7"/>
        <v>3346255</v>
      </c>
      <c r="L90" s="3"/>
      <c r="M90" s="3">
        <v>11124862</v>
      </c>
      <c r="N90" s="3"/>
      <c r="O90" s="3">
        <v>0</v>
      </c>
      <c r="P90" s="3"/>
      <c r="Q90" s="3">
        <v>5805490</v>
      </c>
      <c r="R90" s="3"/>
      <c r="S90" s="3">
        <v>0</v>
      </c>
      <c r="T90" s="3"/>
      <c r="U90" s="3">
        <v>8376</v>
      </c>
      <c r="V90" s="3"/>
      <c r="W90" s="3">
        <v>0</v>
      </c>
      <c r="X90" s="3"/>
      <c r="Y90" s="3">
        <v>300000</v>
      </c>
      <c r="Z90" s="3"/>
      <c r="AA90" s="3">
        <v>31034</v>
      </c>
      <c r="AB90" s="3"/>
      <c r="AC90" s="3">
        <v>4979962</v>
      </c>
      <c r="AD90" s="3"/>
      <c r="AE90" s="22">
        <f t="shared" si="6"/>
        <v>5319372</v>
      </c>
      <c r="AF90" s="103"/>
      <c r="AG90" s="3">
        <f t="shared" si="4"/>
        <v>0</v>
      </c>
      <c r="AI90" s="3">
        <f t="shared" si="5"/>
        <v>0</v>
      </c>
    </row>
    <row r="91" spans="1:35" s="102" customFormat="1">
      <c r="A91" s="103" t="s">
        <v>293</v>
      </c>
      <c r="B91" s="103"/>
      <c r="C91" s="103" t="s">
        <v>169</v>
      </c>
      <c r="E91" s="103">
        <v>47407</v>
      </c>
      <c r="G91" s="3">
        <v>934524</v>
      </c>
      <c r="H91" s="3"/>
      <c r="I91" s="3">
        <v>1245</v>
      </c>
      <c r="J91" s="3"/>
      <c r="K91" s="8">
        <f t="shared" si="7"/>
        <v>178993</v>
      </c>
      <c r="L91" s="3"/>
      <c r="M91" s="3">
        <v>1114762</v>
      </c>
      <c r="N91" s="3"/>
      <c r="O91" s="3">
        <v>0</v>
      </c>
      <c r="P91" s="3"/>
      <c r="Q91" s="3">
        <v>667611</v>
      </c>
      <c r="R91" s="3"/>
      <c r="S91" s="3">
        <v>688</v>
      </c>
      <c r="T91" s="3"/>
      <c r="U91" s="3">
        <v>6361</v>
      </c>
      <c r="V91" s="3"/>
      <c r="W91" s="3">
        <v>0</v>
      </c>
      <c r="X91" s="3"/>
      <c r="Y91" s="3">
        <v>0</v>
      </c>
      <c r="Z91" s="3"/>
      <c r="AA91" s="3">
        <v>21872</v>
      </c>
      <c r="AB91" s="3"/>
      <c r="AC91" s="3">
        <v>418230</v>
      </c>
      <c r="AD91" s="3"/>
      <c r="AE91" s="22">
        <f t="shared" si="6"/>
        <v>446463</v>
      </c>
      <c r="AF91" s="103"/>
      <c r="AG91" s="3">
        <f t="shared" si="4"/>
        <v>0</v>
      </c>
      <c r="AI91" s="3">
        <f t="shared" si="5"/>
        <v>0</v>
      </c>
    </row>
    <row r="92" spans="1:35" s="65" customFormat="1" hidden="1">
      <c r="A92" s="59" t="s">
        <v>349</v>
      </c>
      <c r="B92" s="59"/>
      <c r="C92" s="59" t="s">
        <v>19</v>
      </c>
      <c r="E92" s="59">
        <v>47480</v>
      </c>
      <c r="G92" s="58">
        <v>0</v>
      </c>
      <c r="H92" s="58"/>
      <c r="I92" s="58">
        <v>0</v>
      </c>
      <c r="J92" s="58"/>
      <c r="K92" s="63">
        <f t="shared" si="7"/>
        <v>0</v>
      </c>
      <c r="L92" s="58"/>
      <c r="M92" s="58">
        <v>0</v>
      </c>
      <c r="N92" s="58"/>
      <c r="O92" s="58">
        <v>0</v>
      </c>
      <c r="P92" s="58"/>
      <c r="Q92" s="58">
        <v>0</v>
      </c>
      <c r="R92" s="58"/>
      <c r="S92" s="58">
        <v>0</v>
      </c>
      <c r="T92" s="58"/>
      <c r="U92" s="58">
        <v>0</v>
      </c>
      <c r="V92" s="58"/>
      <c r="W92" s="58">
        <v>0</v>
      </c>
      <c r="X92" s="58"/>
      <c r="Y92" s="58">
        <v>0</v>
      </c>
      <c r="Z92" s="58"/>
      <c r="AA92" s="58">
        <v>0</v>
      </c>
      <c r="AB92" s="58"/>
      <c r="AC92" s="58">
        <v>0</v>
      </c>
      <c r="AD92" s="58"/>
      <c r="AE92" s="66">
        <f t="shared" si="6"/>
        <v>0</v>
      </c>
      <c r="AF92" s="59"/>
      <c r="AG92" s="87">
        <f t="shared" si="4"/>
        <v>0</v>
      </c>
      <c r="AI92" s="3">
        <f t="shared" si="5"/>
        <v>0</v>
      </c>
    </row>
    <row r="93" spans="1:35" s="102" customFormat="1">
      <c r="A93" s="103" t="s">
        <v>294</v>
      </c>
      <c r="B93" s="103"/>
      <c r="C93" s="103" t="s">
        <v>170</v>
      </c>
      <c r="E93" s="103">
        <v>47779</v>
      </c>
      <c r="G93" s="3">
        <v>2368072</v>
      </c>
      <c r="H93" s="3"/>
      <c r="I93" s="3">
        <v>0</v>
      </c>
      <c r="J93" s="3"/>
      <c r="K93" s="8">
        <f t="shared" si="7"/>
        <v>67875</v>
      </c>
      <c r="L93" s="3"/>
      <c r="M93" s="3">
        <v>2435947</v>
      </c>
      <c r="N93" s="3"/>
      <c r="O93" s="3">
        <v>0</v>
      </c>
      <c r="P93" s="3"/>
      <c r="Q93" s="3">
        <v>211430</v>
      </c>
      <c r="R93" s="3"/>
      <c r="S93" s="3">
        <v>0</v>
      </c>
      <c r="T93" s="3"/>
      <c r="U93" s="3">
        <f>877+32057</f>
        <v>32934</v>
      </c>
      <c r="V93" s="3"/>
      <c r="W93" s="3">
        <v>0</v>
      </c>
      <c r="X93" s="3"/>
      <c r="Y93" s="3">
        <v>0</v>
      </c>
      <c r="Z93" s="3"/>
      <c r="AA93" s="3">
        <f>197+2718+293</f>
        <v>3208</v>
      </c>
      <c r="AB93" s="3"/>
      <c r="AC93" s="3">
        <v>2188375</v>
      </c>
      <c r="AD93" s="3"/>
      <c r="AE93" s="22">
        <f t="shared" si="6"/>
        <v>2224517</v>
      </c>
      <c r="AF93" s="103"/>
      <c r="AG93" s="3">
        <f t="shared" si="4"/>
        <v>0</v>
      </c>
      <c r="AI93" s="3">
        <f t="shared" si="5"/>
        <v>0</v>
      </c>
    </row>
    <row r="94" spans="1:35" s="102" customFormat="1">
      <c r="A94" s="103" t="s">
        <v>295</v>
      </c>
      <c r="B94" s="103"/>
      <c r="C94" s="103" t="s">
        <v>171</v>
      </c>
      <c r="E94" s="103">
        <v>47811</v>
      </c>
      <c r="G94" s="3">
        <v>356036</v>
      </c>
      <c r="H94" s="3"/>
      <c r="I94" s="3">
        <v>0</v>
      </c>
      <c r="J94" s="3"/>
      <c r="K94" s="8">
        <v>226517</v>
      </c>
      <c r="L94" s="3"/>
      <c r="M94" s="3">
        <v>582553</v>
      </c>
      <c r="N94" s="3"/>
      <c r="O94" s="3">
        <v>0</v>
      </c>
      <c r="P94" s="3"/>
      <c r="Q94" s="3">
        <v>331903</v>
      </c>
      <c r="R94" s="3"/>
      <c r="S94" s="3">
        <v>176047</v>
      </c>
      <c r="T94" s="3"/>
      <c r="U94" s="3">
        <v>0</v>
      </c>
      <c r="V94" s="3"/>
      <c r="W94" s="3">
        <v>0</v>
      </c>
      <c r="X94" s="3"/>
      <c r="Y94" s="3">
        <v>0</v>
      </c>
      <c r="Z94" s="3"/>
      <c r="AA94" s="3">
        <v>22639</v>
      </c>
      <c r="AB94" s="3"/>
      <c r="AC94" s="3">
        <v>51964</v>
      </c>
      <c r="AD94" s="3"/>
      <c r="AE94" s="22">
        <v>74603</v>
      </c>
      <c r="AF94" s="103"/>
      <c r="AG94" s="3">
        <v>0</v>
      </c>
      <c r="AI94" s="3">
        <v>0</v>
      </c>
    </row>
    <row r="95" spans="1:35" s="102" customFormat="1">
      <c r="A95" s="103" t="s">
        <v>296</v>
      </c>
      <c r="B95" s="103"/>
      <c r="C95" s="103" t="s">
        <v>146</v>
      </c>
      <c r="E95" s="103">
        <v>47860</v>
      </c>
      <c r="G95" s="3">
        <v>2017459</v>
      </c>
      <c r="H95" s="3"/>
      <c r="I95" s="3">
        <v>3715</v>
      </c>
      <c r="J95" s="3"/>
      <c r="K95" s="8">
        <v>296015</v>
      </c>
      <c r="L95" s="3"/>
      <c r="M95" s="3">
        <v>2317189</v>
      </c>
      <c r="N95" s="3"/>
      <c r="O95" s="3">
        <v>0</v>
      </c>
      <c r="P95" s="3"/>
      <c r="Q95" s="3">
        <v>1342159</v>
      </c>
      <c r="R95" s="3"/>
      <c r="S95" s="3">
        <v>0</v>
      </c>
      <c r="T95" s="3"/>
      <c r="U95" s="3">
        <v>3715</v>
      </c>
      <c r="V95" s="3"/>
      <c r="W95" s="3">
        <v>0</v>
      </c>
      <c r="X95" s="3"/>
      <c r="Y95" s="3">
        <v>0</v>
      </c>
      <c r="Z95" s="3"/>
      <c r="AA95" s="3">
        <v>168271</v>
      </c>
      <c r="AB95" s="3"/>
      <c r="AC95" s="3">
        <v>803044</v>
      </c>
      <c r="AD95" s="3"/>
      <c r="AE95" s="22">
        <v>975030</v>
      </c>
      <c r="AF95" s="103"/>
      <c r="AG95" s="3">
        <v>0</v>
      </c>
      <c r="AI95" s="3">
        <v>0</v>
      </c>
    </row>
    <row r="96" spans="1:35" s="102" customFormat="1">
      <c r="A96" s="103" t="s">
        <v>297</v>
      </c>
      <c r="B96" s="103"/>
      <c r="C96" s="103" t="s">
        <v>172</v>
      </c>
      <c r="E96" s="103">
        <v>47910</v>
      </c>
      <c r="G96" s="3">
        <v>1159897</v>
      </c>
      <c r="H96" s="3"/>
      <c r="I96" s="3">
        <v>0</v>
      </c>
      <c r="J96" s="3"/>
      <c r="K96" s="8">
        <f t="shared" si="7"/>
        <v>184799</v>
      </c>
      <c r="L96" s="3"/>
      <c r="M96" s="3">
        <v>1344696</v>
      </c>
      <c r="N96" s="3"/>
      <c r="O96" s="3">
        <v>0</v>
      </c>
      <c r="P96" s="3"/>
      <c r="Q96" s="3">
        <v>107125</v>
      </c>
      <c r="R96" s="3"/>
      <c r="S96" s="3">
        <v>0</v>
      </c>
      <c r="T96" s="3"/>
      <c r="U96" s="3">
        <v>0</v>
      </c>
      <c r="V96" s="3"/>
      <c r="W96" s="3">
        <v>0</v>
      </c>
      <c r="X96" s="3"/>
      <c r="Y96" s="3">
        <v>0</v>
      </c>
      <c r="Z96" s="3"/>
      <c r="AA96" s="3">
        <v>38400</v>
      </c>
      <c r="AB96" s="3"/>
      <c r="AC96" s="3">
        <v>1199171</v>
      </c>
      <c r="AD96" s="3"/>
      <c r="AE96" s="22">
        <f t="shared" si="6"/>
        <v>1237571</v>
      </c>
      <c r="AF96" s="103"/>
      <c r="AG96" s="3">
        <f t="shared" si="4"/>
        <v>0</v>
      </c>
      <c r="AI96" s="3">
        <f t="shared" si="5"/>
        <v>0</v>
      </c>
    </row>
    <row r="97" spans="1:35" s="65" customFormat="1" hidden="1">
      <c r="A97" s="58" t="s">
        <v>386</v>
      </c>
      <c r="B97" s="58"/>
      <c r="C97" s="58" t="s">
        <v>173</v>
      </c>
      <c r="E97" s="59">
        <v>47977</v>
      </c>
      <c r="G97" s="58">
        <v>0</v>
      </c>
      <c r="H97" s="58"/>
      <c r="I97" s="58">
        <v>0</v>
      </c>
      <c r="J97" s="58"/>
      <c r="K97" s="63">
        <f>+M97-I97-G97</f>
        <v>0</v>
      </c>
      <c r="L97" s="58"/>
      <c r="M97" s="58">
        <v>0</v>
      </c>
      <c r="N97" s="58"/>
      <c r="O97" s="58">
        <v>0</v>
      </c>
      <c r="P97" s="58"/>
      <c r="Q97" s="58">
        <v>0</v>
      </c>
      <c r="R97" s="58"/>
      <c r="S97" s="58">
        <v>0</v>
      </c>
      <c r="T97" s="58"/>
      <c r="U97" s="58">
        <v>0</v>
      </c>
      <c r="V97" s="58"/>
      <c r="W97" s="58">
        <v>0</v>
      </c>
      <c r="X97" s="58"/>
      <c r="Y97" s="58">
        <v>0</v>
      </c>
      <c r="Z97" s="58"/>
      <c r="AA97" s="58">
        <v>0</v>
      </c>
      <c r="AB97" s="58"/>
      <c r="AC97" s="58">
        <v>0</v>
      </c>
      <c r="AD97" s="58"/>
      <c r="AE97" s="66">
        <f t="shared" si="6"/>
        <v>0</v>
      </c>
      <c r="AF97" s="59"/>
      <c r="AG97" s="58">
        <f t="shared" si="4"/>
        <v>0</v>
      </c>
      <c r="AI97" s="58">
        <f t="shared" si="5"/>
        <v>0</v>
      </c>
    </row>
    <row r="98" spans="1:35" s="102" customFormat="1">
      <c r="A98" s="103" t="s">
        <v>298</v>
      </c>
      <c r="B98" s="103"/>
      <c r="C98" s="103" t="s">
        <v>174</v>
      </c>
      <c r="E98" s="103">
        <v>48058</v>
      </c>
      <c r="G98" s="3">
        <v>719122</v>
      </c>
      <c r="H98" s="3"/>
      <c r="I98" s="3">
        <v>0</v>
      </c>
      <c r="J98" s="3"/>
      <c r="K98" s="8">
        <f t="shared" si="7"/>
        <v>138831</v>
      </c>
      <c r="L98" s="3"/>
      <c r="M98" s="3">
        <v>857953</v>
      </c>
      <c r="N98" s="3"/>
      <c r="O98" s="3">
        <v>0</v>
      </c>
      <c r="P98" s="3"/>
      <c r="Q98" s="3">
        <v>302578</v>
      </c>
      <c r="R98" s="3"/>
      <c r="S98" s="3">
        <v>0</v>
      </c>
      <c r="T98" s="3"/>
      <c r="U98" s="3">
        <v>0</v>
      </c>
      <c r="V98" s="3"/>
      <c r="W98" s="3">
        <v>0</v>
      </c>
      <c r="X98" s="3"/>
      <c r="Y98" s="3">
        <v>0</v>
      </c>
      <c r="Z98" s="3"/>
      <c r="AA98" s="3">
        <v>85237</v>
      </c>
      <c r="AB98" s="3"/>
      <c r="AC98" s="3">
        <v>470138</v>
      </c>
      <c r="AD98" s="3"/>
      <c r="AE98" s="22">
        <f t="shared" si="6"/>
        <v>555375</v>
      </c>
      <c r="AF98" s="103"/>
      <c r="AG98" s="3">
        <f t="shared" si="4"/>
        <v>0</v>
      </c>
      <c r="AI98" s="3">
        <f t="shared" si="5"/>
        <v>0</v>
      </c>
    </row>
    <row r="99" spans="1:35" s="92" customFormat="1" hidden="1">
      <c r="A99" s="89" t="s">
        <v>351</v>
      </c>
      <c r="B99" s="89"/>
      <c r="C99" s="89" t="s">
        <v>142</v>
      </c>
      <c r="E99" s="89">
        <v>48108</v>
      </c>
      <c r="G99" s="88">
        <v>0</v>
      </c>
      <c r="H99" s="88"/>
      <c r="I99" s="88">
        <v>0</v>
      </c>
      <c r="J99" s="88"/>
      <c r="K99" s="95">
        <f t="shared" si="7"/>
        <v>0</v>
      </c>
      <c r="L99" s="88"/>
      <c r="M99" s="88">
        <v>0</v>
      </c>
      <c r="N99" s="88"/>
      <c r="O99" s="88">
        <v>0</v>
      </c>
      <c r="P99" s="88"/>
      <c r="Q99" s="88">
        <v>0</v>
      </c>
      <c r="R99" s="88"/>
      <c r="S99" s="88">
        <v>0</v>
      </c>
      <c r="T99" s="88"/>
      <c r="U99" s="88">
        <v>0</v>
      </c>
      <c r="V99" s="88"/>
      <c r="W99" s="88">
        <v>0</v>
      </c>
      <c r="X99" s="88"/>
      <c r="Y99" s="88">
        <v>0</v>
      </c>
      <c r="Z99" s="88"/>
      <c r="AA99" s="88">
        <v>0</v>
      </c>
      <c r="AB99" s="88"/>
      <c r="AC99" s="88">
        <v>0</v>
      </c>
      <c r="AD99" s="88"/>
      <c r="AE99" s="96">
        <f t="shared" si="6"/>
        <v>0</v>
      </c>
      <c r="AF99" s="89"/>
      <c r="AG99" s="88">
        <f t="shared" si="4"/>
        <v>0</v>
      </c>
      <c r="AI99" s="88">
        <f t="shared" si="5"/>
        <v>0</v>
      </c>
    </row>
    <row r="100" spans="1:35" s="102" customFormat="1">
      <c r="A100" s="103" t="s">
        <v>350</v>
      </c>
      <c r="B100" s="103"/>
      <c r="C100" s="103" t="s">
        <v>175</v>
      </c>
      <c r="E100" s="103">
        <v>48199</v>
      </c>
      <c r="G100" s="3">
        <v>3037439</v>
      </c>
      <c r="H100" s="3"/>
      <c r="I100" s="3">
        <v>0</v>
      </c>
      <c r="J100" s="3"/>
      <c r="K100" s="8">
        <f t="shared" si="7"/>
        <v>670375</v>
      </c>
      <c r="L100" s="3"/>
      <c r="M100" s="3">
        <v>3707814</v>
      </c>
      <c r="N100" s="3"/>
      <c r="O100" s="3">
        <v>0</v>
      </c>
      <c r="P100" s="3"/>
      <c r="Q100" s="3">
        <v>1586750</v>
      </c>
      <c r="R100" s="3"/>
      <c r="S100" s="3">
        <v>178857</v>
      </c>
      <c r="T100" s="3"/>
      <c r="U100" s="3">
        <v>0</v>
      </c>
      <c r="V100" s="3"/>
      <c r="W100" s="3">
        <v>0</v>
      </c>
      <c r="X100" s="3"/>
      <c r="Y100" s="3">
        <f>51956+751858+49755</f>
        <v>853569</v>
      </c>
      <c r="Z100" s="3"/>
      <c r="AA100" s="3">
        <f>10479+35800</f>
        <v>46279</v>
      </c>
      <c r="AB100" s="3"/>
      <c r="AC100" s="3">
        <v>1042359</v>
      </c>
      <c r="AD100" s="3"/>
      <c r="AE100" s="22">
        <f t="shared" si="6"/>
        <v>1942207</v>
      </c>
      <c r="AF100" s="103"/>
      <c r="AG100" s="3">
        <f t="shared" si="4"/>
        <v>0</v>
      </c>
      <c r="AI100" s="3">
        <f t="shared" si="5"/>
        <v>0</v>
      </c>
    </row>
    <row r="101" spans="1:35" s="65" customFormat="1" hidden="1">
      <c r="A101" s="58" t="s">
        <v>316</v>
      </c>
      <c r="B101" s="59"/>
      <c r="C101" s="59" t="s">
        <v>151</v>
      </c>
      <c r="E101" s="59">
        <v>137364</v>
      </c>
      <c r="G101" s="58">
        <v>0</v>
      </c>
      <c r="H101" s="58"/>
      <c r="I101" s="58">
        <v>0</v>
      </c>
      <c r="J101" s="58"/>
      <c r="K101" s="63">
        <f t="shared" si="7"/>
        <v>0</v>
      </c>
      <c r="L101" s="58"/>
      <c r="M101" s="58">
        <v>0</v>
      </c>
      <c r="N101" s="58"/>
      <c r="O101" s="58">
        <v>0</v>
      </c>
      <c r="P101" s="58"/>
      <c r="Q101" s="58">
        <v>0</v>
      </c>
      <c r="R101" s="58"/>
      <c r="S101" s="58">
        <v>0</v>
      </c>
      <c r="T101" s="58"/>
      <c r="U101" s="58">
        <v>0</v>
      </c>
      <c r="V101" s="58"/>
      <c r="W101" s="58">
        <v>0</v>
      </c>
      <c r="X101" s="58"/>
      <c r="Y101" s="58">
        <v>0</v>
      </c>
      <c r="Z101" s="58"/>
      <c r="AA101" s="58">
        <v>0</v>
      </c>
      <c r="AB101" s="58"/>
      <c r="AC101" s="58">
        <v>0</v>
      </c>
      <c r="AD101" s="58"/>
      <c r="AE101" s="66">
        <f t="shared" si="6"/>
        <v>0</v>
      </c>
      <c r="AF101" s="59"/>
      <c r="AG101" s="87">
        <f t="shared" si="4"/>
        <v>0</v>
      </c>
      <c r="AI101" s="3">
        <f t="shared" si="5"/>
        <v>0</v>
      </c>
    </row>
    <row r="102" spans="1:35" s="102" customFormat="1">
      <c r="A102" s="3" t="s">
        <v>317</v>
      </c>
      <c r="B102" s="103"/>
      <c r="C102" s="103" t="s">
        <v>176</v>
      </c>
      <c r="E102" s="103">
        <v>48280</v>
      </c>
      <c r="G102" s="3">
        <v>2316244</v>
      </c>
      <c r="H102" s="3"/>
      <c r="I102" s="3">
        <v>0</v>
      </c>
      <c r="J102" s="3"/>
      <c r="K102" s="8">
        <f t="shared" si="7"/>
        <v>1452367</v>
      </c>
      <c r="L102" s="3"/>
      <c r="M102" s="3">
        <v>3768611</v>
      </c>
      <c r="N102" s="3"/>
      <c r="O102" s="3">
        <v>0</v>
      </c>
      <c r="P102" s="3"/>
      <c r="Q102" s="3">
        <v>2786468</v>
      </c>
      <c r="R102" s="3"/>
      <c r="S102" s="3">
        <v>396388</v>
      </c>
      <c r="T102" s="3"/>
      <c r="U102" s="3">
        <f>30519+2614+3350</f>
        <v>36483</v>
      </c>
      <c r="V102" s="3"/>
      <c r="W102" s="3">
        <v>0</v>
      </c>
      <c r="X102" s="3"/>
      <c r="Y102" s="3">
        <v>0</v>
      </c>
      <c r="Z102" s="3"/>
      <c r="AA102" s="3">
        <f>69634+100816+30183</f>
        <v>200633</v>
      </c>
      <c r="AB102" s="3"/>
      <c r="AC102" s="3">
        <v>348639</v>
      </c>
      <c r="AD102" s="3"/>
      <c r="AE102" s="22">
        <f t="shared" si="6"/>
        <v>585755</v>
      </c>
      <c r="AF102" s="103"/>
      <c r="AG102" s="3">
        <f t="shared" si="4"/>
        <v>0</v>
      </c>
      <c r="AI102" s="3">
        <f t="shared" si="5"/>
        <v>0</v>
      </c>
    </row>
    <row r="103" spans="1:35" s="102" customFormat="1">
      <c r="A103" s="3" t="s">
        <v>177</v>
      </c>
      <c r="B103" s="103"/>
      <c r="C103" s="103" t="s">
        <v>178</v>
      </c>
      <c r="E103" s="103">
        <v>48454</v>
      </c>
      <c r="G103" s="3">
        <v>967524</v>
      </c>
      <c r="H103" s="3"/>
      <c r="I103" s="3">
        <v>0</v>
      </c>
      <c r="J103" s="3"/>
      <c r="K103" s="8">
        <f t="shared" si="7"/>
        <v>166154</v>
      </c>
      <c r="L103" s="3"/>
      <c r="M103" s="3">
        <v>1133678</v>
      </c>
      <c r="N103" s="3"/>
      <c r="O103" s="3">
        <v>0</v>
      </c>
      <c r="P103" s="3"/>
      <c r="Q103" s="3">
        <v>167764</v>
      </c>
      <c r="R103" s="3"/>
      <c r="S103" s="3">
        <v>0</v>
      </c>
      <c r="T103" s="3"/>
      <c r="U103" s="3">
        <v>0</v>
      </c>
      <c r="V103" s="3"/>
      <c r="W103" s="3">
        <v>340981</v>
      </c>
      <c r="X103" s="3"/>
      <c r="Y103" s="3">
        <v>91709</v>
      </c>
      <c r="Z103" s="3"/>
      <c r="AA103" s="3">
        <v>49392</v>
      </c>
      <c r="AB103" s="3"/>
      <c r="AC103" s="3">
        <v>483832</v>
      </c>
      <c r="AD103" s="3"/>
      <c r="AE103" s="22">
        <f t="shared" si="6"/>
        <v>965914</v>
      </c>
      <c r="AF103" s="103"/>
      <c r="AG103" s="3">
        <f t="shared" si="4"/>
        <v>0</v>
      </c>
      <c r="AI103" s="3">
        <f t="shared" si="5"/>
        <v>0</v>
      </c>
    </row>
    <row r="104" spans="1:35" s="65" customFormat="1" hidden="1">
      <c r="A104" s="58" t="s">
        <v>318</v>
      </c>
      <c r="B104" s="59"/>
      <c r="C104" s="59" t="s">
        <v>179</v>
      </c>
      <c r="E104" s="59">
        <v>48546</v>
      </c>
      <c r="G104" s="58">
        <v>0</v>
      </c>
      <c r="H104" s="58"/>
      <c r="I104" s="58">
        <v>0</v>
      </c>
      <c r="J104" s="58"/>
      <c r="K104" s="63">
        <f t="shared" si="7"/>
        <v>0</v>
      </c>
      <c r="L104" s="58"/>
      <c r="M104" s="58">
        <v>0</v>
      </c>
      <c r="N104" s="58"/>
      <c r="O104" s="58">
        <v>0</v>
      </c>
      <c r="P104" s="58"/>
      <c r="Q104" s="58">
        <v>0</v>
      </c>
      <c r="R104" s="58"/>
      <c r="S104" s="58">
        <v>0</v>
      </c>
      <c r="T104" s="58"/>
      <c r="U104" s="58">
        <v>0</v>
      </c>
      <c r="V104" s="58"/>
      <c r="W104" s="58">
        <v>0</v>
      </c>
      <c r="X104" s="58"/>
      <c r="Y104" s="58">
        <v>0</v>
      </c>
      <c r="Z104" s="58"/>
      <c r="AA104" s="58">
        <v>0</v>
      </c>
      <c r="AB104" s="58"/>
      <c r="AC104" s="58">
        <v>0</v>
      </c>
      <c r="AD104" s="58"/>
      <c r="AE104" s="66">
        <f t="shared" si="6"/>
        <v>0</v>
      </c>
      <c r="AF104" s="59"/>
      <c r="AG104" s="87">
        <f t="shared" si="4"/>
        <v>0</v>
      </c>
      <c r="AI104" s="3">
        <f t="shared" si="5"/>
        <v>0</v>
      </c>
    </row>
    <row r="105" spans="1:35" s="102" customFormat="1">
      <c r="A105" s="3" t="s">
        <v>319</v>
      </c>
      <c r="B105" s="103"/>
      <c r="C105" s="103" t="s">
        <v>180</v>
      </c>
      <c r="E105" s="103">
        <v>48603</v>
      </c>
      <c r="G105" s="3">
        <v>4066637</v>
      </c>
      <c r="H105" s="3"/>
      <c r="I105" s="3">
        <v>3454</v>
      </c>
      <c r="J105" s="3"/>
      <c r="K105" s="8">
        <f t="shared" si="7"/>
        <v>414371</v>
      </c>
      <c r="L105" s="3"/>
      <c r="M105" s="3">
        <v>4484462</v>
      </c>
      <c r="N105" s="3"/>
      <c r="O105" s="3">
        <v>0</v>
      </c>
      <c r="P105" s="3"/>
      <c r="Q105" s="3">
        <v>1647487</v>
      </c>
      <c r="R105" s="3"/>
      <c r="S105" s="3">
        <v>946</v>
      </c>
      <c r="T105" s="3"/>
      <c r="U105" s="3">
        <v>21299</v>
      </c>
      <c r="V105" s="3"/>
      <c r="W105" s="3">
        <v>0</v>
      </c>
      <c r="X105" s="3"/>
      <c r="Y105" s="3">
        <v>250917</v>
      </c>
      <c r="Z105" s="3"/>
      <c r="AA105" s="3">
        <v>24739</v>
      </c>
      <c r="AB105" s="3"/>
      <c r="AC105" s="3">
        <v>2539074</v>
      </c>
      <c r="AD105" s="3"/>
      <c r="AE105" s="22">
        <f t="shared" si="6"/>
        <v>2836029</v>
      </c>
      <c r="AF105" s="103"/>
      <c r="AG105" s="3">
        <f t="shared" si="4"/>
        <v>0</v>
      </c>
      <c r="AI105" s="3">
        <f t="shared" si="5"/>
        <v>0</v>
      </c>
    </row>
    <row r="106" spans="1:35" s="65" customFormat="1" hidden="1">
      <c r="A106" s="58" t="s">
        <v>275</v>
      </c>
      <c r="B106" s="58"/>
      <c r="C106" s="58" t="s">
        <v>189</v>
      </c>
      <c r="E106" s="59">
        <v>12351</v>
      </c>
      <c r="G106" s="58">
        <v>0</v>
      </c>
      <c r="H106" s="58"/>
      <c r="I106" s="58">
        <v>0</v>
      </c>
      <c r="J106" s="58"/>
      <c r="K106" s="63">
        <f>+M106-I106-G106</f>
        <v>0</v>
      </c>
      <c r="L106" s="58"/>
      <c r="M106" s="58">
        <v>0</v>
      </c>
      <c r="N106" s="58"/>
      <c r="O106" s="58">
        <v>0</v>
      </c>
      <c r="P106" s="58"/>
      <c r="Q106" s="58">
        <v>0</v>
      </c>
      <c r="R106" s="58"/>
      <c r="S106" s="58">
        <v>0</v>
      </c>
      <c r="T106" s="58"/>
      <c r="U106" s="58">
        <v>0</v>
      </c>
      <c r="V106" s="58"/>
      <c r="W106" s="58">
        <v>0</v>
      </c>
      <c r="X106" s="58"/>
      <c r="Y106" s="58">
        <v>0</v>
      </c>
      <c r="Z106" s="58"/>
      <c r="AA106" s="58">
        <v>0</v>
      </c>
      <c r="AB106" s="58"/>
      <c r="AC106" s="58">
        <v>0</v>
      </c>
      <c r="AD106" s="58"/>
      <c r="AE106" s="66">
        <f t="shared" si="6"/>
        <v>0</v>
      </c>
      <c r="AF106" s="59"/>
      <c r="AG106" s="87">
        <f t="shared" si="4"/>
        <v>0</v>
      </c>
      <c r="AI106" s="3">
        <f t="shared" si="5"/>
        <v>0</v>
      </c>
    </row>
    <row r="107" spans="1:35" s="102" customFormat="1">
      <c r="A107" s="3" t="s">
        <v>320</v>
      </c>
      <c r="B107" s="103"/>
      <c r="C107" s="103" t="s">
        <v>181</v>
      </c>
      <c r="E107" s="103">
        <v>48660</v>
      </c>
      <c r="G107" s="3">
        <v>14119290</v>
      </c>
      <c r="H107" s="3"/>
      <c r="I107" s="3">
        <v>0</v>
      </c>
      <c r="J107" s="3"/>
      <c r="K107" s="8">
        <f t="shared" si="7"/>
        <v>2765462</v>
      </c>
      <c r="L107" s="3"/>
      <c r="M107" s="3">
        <v>16884752</v>
      </c>
      <c r="N107" s="3"/>
      <c r="O107" s="3">
        <v>0</v>
      </c>
      <c r="P107" s="3"/>
      <c r="Q107" s="3">
        <v>2945017</v>
      </c>
      <c r="R107" s="3"/>
      <c r="S107" s="3">
        <v>0</v>
      </c>
      <c r="T107" s="3"/>
      <c r="U107" s="3">
        <v>0</v>
      </c>
      <c r="V107" s="3"/>
      <c r="W107" s="3">
        <v>0</v>
      </c>
      <c r="X107" s="3"/>
      <c r="Y107" s="3">
        <v>0</v>
      </c>
      <c r="Z107" s="3"/>
      <c r="AA107" s="3">
        <v>835310</v>
      </c>
      <c r="AB107" s="3"/>
      <c r="AC107" s="3">
        <v>13104425</v>
      </c>
      <c r="AD107" s="3"/>
      <c r="AE107" s="22">
        <f t="shared" si="6"/>
        <v>13939735</v>
      </c>
      <c r="AF107" s="103"/>
      <c r="AG107" s="3">
        <f t="shared" si="4"/>
        <v>0</v>
      </c>
      <c r="AI107" s="3">
        <f t="shared" si="5"/>
        <v>0</v>
      </c>
    </row>
    <row r="108" spans="1:35" s="102" customFormat="1">
      <c r="A108" s="3" t="s">
        <v>182</v>
      </c>
      <c r="B108" s="103"/>
      <c r="C108" s="103" t="s">
        <v>183</v>
      </c>
      <c r="E108" s="103">
        <v>125252</v>
      </c>
      <c r="G108" s="3">
        <v>3376108</v>
      </c>
      <c r="H108" s="3"/>
      <c r="I108" s="3">
        <v>2249</v>
      </c>
      <c r="J108" s="3"/>
      <c r="K108" s="8">
        <f t="shared" si="7"/>
        <v>1784172</v>
      </c>
      <c r="L108" s="3"/>
      <c r="M108" s="3">
        <v>5162529</v>
      </c>
      <c r="N108" s="3"/>
      <c r="O108" s="3">
        <v>0</v>
      </c>
      <c r="P108" s="3"/>
      <c r="Q108" s="3">
        <v>1755225</v>
      </c>
      <c r="R108" s="3"/>
      <c r="S108" s="3">
        <v>346890</v>
      </c>
      <c r="T108" s="3"/>
      <c r="U108" s="3">
        <f>200248+2249</f>
        <v>202497</v>
      </c>
      <c r="V108" s="3"/>
      <c r="W108" s="3">
        <v>0</v>
      </c>
      <c r="X108" s="3"/>
      <c r="Y108" s="3">
        <v>0</v>
      </c>
      <c r="Z108" s="3"/>
      <c r="AA108" s="3">
        <f>118973+130384</f>
        <v>249357</v>
      </c>
      <c r="AB108" s="3"/>
      <c r="AC108" s="3">
        <v>2608560</v>
      </c>
      <c r="AD108" s="3"/>
      <c r="AE108" s="22">
        <f t="shared" si="6"/>
        <v>3060414</v>
      </c>
      <c r="AF108" s="103"/>
      <c r="AG108" s="3">
        <f t="shared" si="4"/>
        <v>0</v>
      </c>
      <c r="AI108" s="3">
        <f t="shared" si="5"/>
        <v>0</v>
      </c>
    </row>
    <row r="109" spans="1:35" s="102" customFormat="1">
      <c r="A109" s="3" t="s">
        <v>265</v>
      </c>
      <c r="B109" s="103"/>
      <c r="C109" s="103" t="s">
        <v>193</v>
      </c>
      <c r="E109" s="103">
        <v>123257</v>
      </c>
      <c r="G109" s="3">
        <v>834579</v>
      </c>
      <c r="H109" s="3"/>
      <c r="I109" s="3">
        <v>0</v>
      </c>
      <c r="J109" s="3"/>
      <c r="K109" s="8">
        <f t="shared" si="7"/>
        <v>296477</v>
      </c>
      <c r="L109" s="3"/>
      <c r="M109" s="3">
        <v>1131056</v>
      </c>
      <c r="N109" s="3"/>
      <c r="O109" s="3">
        <v>0</v>
      </c>
      <c r="P109" s="3"/>
      <c r="Q109" s="3">
        <v>1747951</v>
      </c>
      <c r="R109" s="3"/>
      <c r="S109" s="3">
        <v>114445</v>
      </c>
      <c r="T109" s="3"/>
      <c r="U109" s="3">
        <v>29143</v>
      </c>
      <c r="V109" s="3"/>
      <c r="W109" s="3">
        <v>0</v>
      </c>
      <c r="X109" s="3"/>
      <c r="Y109" s="3">
        <v>0</v>
      </c>
      <c r="Z109" s="3"/>
      <c r="AA109" s="3">
        <f>3873+168774+8673</f>
        <v>181320</v>
      </c>
      <c r="AB109" s="3"/>
      <c r="AC109" s="3">
        <v>-941803</v>
      </c>
      <c r="AD109" s="3"/>
      <c r="AE109" s="22">
        <f t="shared" si="6"/>
        <v>-731340</v>
      </c>
      <c r="AF109" s="103"/>
      <c r="AG109" s="3">
        <f t="shared" si="4"/>
        <v>0</v>
      </c>
      <c r="AI109" s="3">
        <f t="shared" si="5"/>
        <v>0</v>
      </c>
    </row>
    <row r="110" spans="1:35" s="102" customFormat="1">
      <c r="A110" s="103" t="s">
        <v>299</v>
      </c>
      <c r="B110" s="103"/>
      <c r="C110" s="103" t="s">
        <v>160</v>
      </c>
      <c r="E110" s="12">
        <v>125690</v>
      </c>
      <c r="G110" s="3">
        <v>7465464</v>
      </c>
      <c r="H110" s="3"/>
      <c r="I110" s="3">
        <v>0</v>
      </c>
      <c r="J110" s="3"/>
      <c r="K110" s="8">
        <f t="shared" ref="K110" si="8">+M110-I110-G110</f>
        <v>760676</v>
      </c>
      <c r="L110" s="3"/>
      <c r="M110" s="3">
        <v>8226140</v>
      </c>
      <c r="N110" s="3"/>
      <c r="O110" s="3">
        <v>0</v>
      </c>
      <c r="P110" s="3"/>
      <c r="Q110" s="3">
        <v>2157655</v>
      </c>
      <c r="R110" s="3"/>
      <c r="S110" s="3">
        <v>105690</v>
      </c>
      <c r="T110" s="3"/>
      <c r="U110" s="3">
        <v>49717</v>
      </c>
      <c r="V110" s="3"/>
      <c r="W110" s="3">
        <v>0</v>
      </c>
      <c r="X110" s="3"/>
      <c r="Y110" s="3">
        <v>0</v>
      </c>
      <c r="Z110" s="3"/>
      <c r="AA110" s="3">
        <f>43013+136357+66189</f>
        <v>245559</v>
      </c>
      <c r="AB110" s="3"/>
      <c r="AC110" s="3">
        <v>5667519</v>
      </c>
      <c r="AD110" s="3"/>
      <c r="AE110" s="22">
        <f t="shared" si="6"/>
        <v>5962795</v>
      </c>
      <c r="AF110" s="103"/>
      <c r="AG110" s="3">
        <f t="shared" si="4"/>
        <v>0</v>
      </c>
      <c r="AI110" s="3">
        <f t="shared" si="5"/>
        <v>0</v>
      </c>
    </row>
    <row r="111" spans="1:35" s="102" customFormat="1">
      <c r="A111" s="3" t="s">
        <v>163</v>
      </c>
      <c r="B111" s="103"/>
      <c r="C111" s="3" t="s">
        <v>321</v>
      </c>
      <c r="E111" s="103">
        <v>124297</v>
      </c>
      <c r="G111" s="3">
        <v>3611719</v>
      </c>
      <c r="H111" s="3"/>
      <c r="I111" s="3">
        <v>0</v>
      </c>
      <c r="J111" s="3"/>
      <c r="K111" s="8">
        <f t="shared" si="7"/>
        <v>117524</v>
      </c>
      <c r="L111" s="3"/>
      <c r="M111" s="3">
        <v>3729243</v>
      </c>
      <c r="N111" s="3"/>
      <c r="O111" s="3">
        <v>0</v>
      </c>
      <c r="P111" s="3"/>
      <c r="Q111" s="3">
        <v>2263340</v>
      </c>
      <c r="R111" s="3"/>
      <c r="S111" s="3">
        <v>36583</v>
      </c>
      <c r="T111" s="3"/>
      <c r="U111" s="3">
        <v>13042</v>
      </c>
      <c r="V111" s="3"/>
      <c r="W111" s="3">
        <v>0</v>
      </c>
      <c r="X111" s="3"/>
      <c r="Y111" s="3">
        <v>0</v>
      </c>
      <c r="Z111" s="3"/>
      <c r="AA111" s="3">
        <v>115820</v>
      </c>
      <c r="AB111" s="3"/>
      <c r="AC111" s="3">
        <v>1300458</v>
      </c>
      <c r="AD111" s="3"/>
      <c r="AE111" s="22">
        <f t="shared" si="6"/>
        <v>1429320</v>
      </c>
      <c r="AF111" s="103"/>
      <c r="AG111" s="3">
        <f t="shared" si="4"/>
        <v>0</v>
      </c>
      <c r="AI111" s="3">
        <f t="shared" si="5"/>
        <v>0</v>
      </c>
    </row>
    <row r="112" spans="1:35" s="102" customFormat="1">
      <c r="A112" s="3" t="s">
        <v>308</v>
      </c>
      <c r="B112" s="103"/>
      <c r="C112" s="3" t="s">
        <v>259</v>
      </c>
      <c r="E112" s="103">
        <v>123281</v>
      </c>
      <c r="G112" s="3">
        <v>2318296</v>
      </c>
      <c r="H112" s="3"/>
      <c r="I112" s="3">
        <v>29298</v>
      </c>
      <c r="J112" s="3"/>
      <c r="K112" s="8">
        <f t="shared" si="7"/>
        <v>141546</v>
      </c>
      <c r="L112" s="3"/>
      <c r="M112" s="3">
        <v>2489140</v>
      </c>
      <c r="N112" s="3"/>
      <c r="O112" s="3">
        <v>0</v>
      </c>
      <c r="P112" s="3"/>
      <c r="Q112" s="3">
        <v>864796</v>
      </c>
      <c r="R112" s="3"/>
      <c r="S112" s="3">
        <v>0</v>
      </c>
      <c r="T112" s="3"/>
      <c r="U112" s="3">
        <v>39896</v>
      </c>
      <c r="V112" s="3"/>
      <c r="W112" s="3">
        <v>0</v>
      </c>
      <c r="X112" s="3"/>
      <c r="Y112" s="3">
        <v>0</v>
      </c>
      <c r="Z112" s="3"/>
      <c r="AA112" s="3">
        <v>84645</v>
      </c>
      <c r="AB112" s="3"/>
      <c r="AC112" s="3">
        <v>1499803</v>
      </c>
      <c r="AD112" s="3"/>
      <c r="AE112" s="22">
        <f t="shared" si="6"/>
        <v>1624344</v>
      </c>
      <c r="AF112" s="103"/>
      <c r="AG112" s="3">
        <f t="shared" si="4"/>
        <v>0</v>
      </c>
      <c r="AI112" s="3">
        <f t="shared" si="5"/>
        <v>0</v>
      </c>
    </row>
    <row r="113" spans="1:35" s="92" customFormat="1" hidden="1">
      <c r="A113" s="88" t="s">
        <v>355</v>
      </c>
      <c r="B113" s="89"/>
      <c r="C113" s="89" t="s">
        <v>184</v>
      </c>
      <c r="E113" s="89">
        <v>125674</v>
      </c>
      <c r="G113" s="88">
        <v>0</v>
      </c>
      <c r="H113" s="88"/>
      <c r="I113" s="88">
        <v>0</v>
      </c>
      <c r="J113" s="88"/>
      <c r="K113" s="95">
        <f t="shared" si="7"/>
        <v>0</v>
      </c>
      <c r="L113" s="88"/>
      <c r="M113" s="88">
        <v>0</v>
      </c>
      <c r="N113" s="88"/>
      <c r="O113" s="88">
        <v>0</v>
      </c>
      <c r="P113" s="88"/>
      <c r="Q113" s="88">
        <v>0</v>
      </c>
      <c r="R113" s="88"/>
      <c r="S113" s="88">
        <v>0</v>
      </c>
      <c r="T113" s="88"/>
      <c r="U113" s="88">
        <v>0</v>
      </c>
      <c r="V113" s="88"/>
      <c r="W113" s="88">
        <v>0</v>
      </c>
      <c r="X113" s="88"/>
      <c r="Y113" s="88">
        <v>0</v>
      </c>
      <c r="Z113" s="88"/>
      <c r="AA113" s="88">
        <v>0</v>
      </c>
      <c r="AB113" s="88"/>
      <c r="AC113" s="88">
        <v>0</v>
      </c>
      <c r="AD113" s="88"/>
      <c r="AE113" s="96">
        <f t="shared" si="6"/>
        <v>0</v>
      </c>
      <c r="AF113" s="89"/>
      <c r="AG113" s="87">
        <f t="shared" si="4"/>
        <v>0</v>
      </c>
      <c r="AI113" s="3">
        <f t="shared" si="5"/>
        <v>0</v>
      </c>
    </row>
    <row r="114" spans="1:35" s="102" customFormat="1">
      <c r="A114" s="3" t="s">
        <v>332</v>
      </c>
      <c r="B114" s="103"/>
      <c r="C114" s="103" t="s">
        <v>185</v>
      </c>
      <c r="E114" s="103">
        <v>49072</v>
      </c>
      <c r="G114" s="3">
        <v>733963</v>
      </c>
      <c r="H114" s="3"/>
      <c r="I114" s="3">
        <v>0</v>
      </c>
      <c r="J114" s="3"/>
      <c r="K114" s="8">
        <f t="shared" si="7"/>
        <v>70338</v>
      </c>
      <c r="L114" s="3"/>
      <c r="M114" s="3">
        <v>804301</v>
      </c>
      <c r="N114" s="3"/>
      <c r="O114" s="3">
        <v>0</v>
      </c>
      <c r="P114" s="3"/>
      <c r="Q114" s="3">
        <v>364630</v>
      </c>
      <c r="R114" s="3"/>
      <c r="S114" s="3">
        <v>0</v>
      </c>
      <c r="T114" s="3"/>
      <c r="U114" s="3">
        <v>0</v>
      </c>
      <c r="V114" s="3"/>
      <c r="W114" s="3">
        <v>0</v>
      </c>
      <c r="X114" s="3"/>
      <c r="Y114" s="3">
        <v>49416</v>
      </c>
      <c r="Z114" s="3"/>
      <c r="AA114" s="3">
        <v>286</v>
      </c>
      <c r="AB114" s="3"/>
      <c r="AC114" s="3">
        <v>389969</v>
      </c>
      <c r="AD114" s="3"/>
      <c r="AE114" s="22">
        <f t="shared" si="6"/>
        <v>439671</v>
      </c>
      <c r="AF114" s="103"/>
      <c r="AG114" s="3">
        <f t="shared" si="4"/>
        <v>0</v>
      </c>
      <c r="AI114" s="3">
        <f t="shared" si="5"/>
        <v>0</v>
      </c>
    </row>
    <row r="115" spans="1:35" s="102" customFormat="1">
      <c r="A115" s="3" t="s">
        <v>323</v>
      </c>
      <c r="B115" s="103"/>
      <c r="C115" s="103" t="s">
        <v>186</v>
      </c>
      <c r="E115" s="103">
        <v>49163</v>
      </c>
      <c r="G115" s="3">
        <v>779322</v>
      </c>
      <c r="H115" s="3"/>
      <c r="I115" s="3">
        <v>0</v>
      </c>
      <c r="J115" s="3"/>
      <c r="K115" s="8">
        <f t="shared" si="7"/>
        <v>166410</v>
      </c>
      <c r="L115" s="3"/>
      <c r="M115" s="3">
        <v>945732</v>
      </c>
      <c r="N115" s="3"/>
      <c r="O115" s="3">
        <v>0</v>
      </c>
      <c r="P115" s="3"/>
      <c r="Q115" s="3">
        <v>849915</v>
      </c>
      <c r="R115" s="3"/>
      <c r="S115" s="3">
        <v>0</v>
      </c>
      <c r="T115" s="3"/>
      <c r="U115" s="3">
        <v>0</v>
      </c>
      <c r="V115" s="3"/>
      <c r="W115" s="3">
        <v>991</v>
      </c>
      <c r="X115" s="3"/>
      <c r="Y115" s="3">
        <v>0</v>
      </c>
      <c r="Z115" s="3"/>
      <c r="AA115" s="3">
        <v>6396</v>
      </c>
      <c r="AB115" s="3"/>
      <c r="AC115" s="3">
        <v>88430</v>
      </c>
      <c r="AD115" s="3"/>
      <c r="AE115" s="22">
        <f t="shared" si="6"/>
        <v>95817</v>
      </c>
      <c r="AF115" s="103"/>
      <c r="AG115" s="3">
        <f t="shared" si="4"/>
        <v>0</v>
      </c>
      <c r="AI115" s="3">
        <f t="shared" si="5"/>
        <v>0</v>
      </c>
    </row>
    <row r="116" spans="1:35" s="65" customFormat="1" hidden="1">
      <c r="A116" s="59" t="s">
        <v>324</v>
      </c>
      <c r="B116" s="59"/>
      <c r="C116" s="59" t="s">
        <v>187</v>
      </c>
      <c r="E116" s="59">
        <v>49254</v>
      </c>
      <c r="G116" s="58">
        <v>0</v>
      </c>
      <c r="H116" s="58"/>
      <c r="I116" s="58">
        <v>0</v>
      </c>
      <c r="J116" s="58"/>
      <c r="K116" s="63">
        <f t="shared" si="7"/>
        <v>0</v>
      </c>
      <c r="L116" s="58"/>
      <c r="M116" s="58">
        <v>0</v>
      </c>
      <c r="N116" s="58"/>
      <c r="O116" s="58">
        <v>0</v>
      </c>
      <c r="P116" s="58"/>
      <c r="Q116" s="58">
        <v>0</v>
      </c>
      <c r="R116" s="58"/>
      <c r="S116" s="58">
        <v>0</v>
      </c>
      <c r="T116" s="58"/>
      <c r="U116" s="58">
        <v>0</v>
      </c>
      <c r="V116" s="58"/>
      <c r="W116" s="58">
        <v>0</v>
      </c>
      <c r="X116" s="58"/>
      <c r="Y116" s="58">
        <v>0</v>
      </c>
      <c r="Z116" s="58"/>
      <c r="AA116" s="58">
        <v>0</v>
      </c>
      <c r="AB116" s="58"/>
      <c r="AC116" s="58">
        <v>0</v>
      </c>
      <c r="AD116" s="58"/>
      <c r="AE116" s="66">
        <f t="shared" si="6"/>
        <v>0</v>
      </c>
      <c r="AF116" s="59"/>
      <c r="AG116" s="87">
        <f t="shared" si="4"/>
        <v>0</v>
      </c>
      <c r="AI116" s="3">
        <f t="shared" si="5"/>
        <v>0</v>
      </c>
    </row>
    <row r="117" spans="1:35" s="102" customFormat="1">
      <c r="A117" s="3" t="s">
        <v>325</v>
      </c>
      <c r="B117" s="103"/>
      <c r="C117" s="103" t="s">
        <v>188</v>
      </c>
      <c r="E117" s="103">
        <v>49304</v>
      </c>
      <c r="G117" s="3">
        <v>1117622</v>
      </c>
      <c r="H117" s="3"/>
      <c r="I117" s="3">
        <v>0</v>
      </c>
      <c r="J117" s="3"/>
      <c r="K117" s="8">
        <f t="shared" si="7"/>
        <v>309673</v>
      </c>
      <c r="L117" s="3"/>
      <c r="M117" s="3">
        <v>1427295</v>
      </c>
      <c r="N117" s="3"/>
      <c r="O117" s="3">
        <v>0</v>
      </c>
      <c r="P117" s="3"/>
      <c r="Q117" s="3">
        <v>597185</v>
      </c>
      <c r="R117" s="3"/>
      <c r="S117" s="3">
        <v>621</v>
      </c>
      <c r="T117" s="3"/>
      <c r="U117" s="3">
        <v>0</v>
      </c>
      <c r="V117" s="3"/>
      <c r="W117" s="3">
        <v>0</v>
      </c>
      <c r="X117" s="3"/>
      <c r="Y117" s="3">
        <v>0</v>
      </c>
      <c r="Z117" s="3"/>
      <c r="AA117" s="3">
        <f>2781+20411</f>
        <v>23192</v>
      </c>
      <c r="AB117" s="3"/>
      <c r="AC117" s="3">
        <v>806297</v>
      </c>
      <c r="AD117" s="3"/>
      <c r="AE117" s="22">
        <f t="shared" si="6"/>
        <v>829489</v>
      </c>
      <c r="AF117" s="103"/>
      <c r="AG117" s="3">
        <f t="shared" si="4"/>
        <v>0</v>
      </c>
      <c r="AI117" s="3">
        <f t="shared" si="5"/>
        <v>0</v>
      </c>
    </row>
    <row r="118" spans="1:35" s="102" customFormat="1">
      <c r="A118" s="3" t="s">
        <v>326</v>
      </c>
      <c r="B118" s="103"/>
      <c r="C118" s="103" t="s">
        <v>190</v>
      </c>
      <c r="E118" s="103">
        <v>138222</v>
      </c>
      <c r="G118" s="3">
        <v>3822485</v>
      </c>
      <c r="H118" s="3"/>
      <c r="I118" s="3">
        <v>0</v>
      </c>
      <c r="J118" s="3"/>
      <c r="K118" s="8">
        <f t="shared" si="7"/>
        <v>131673</v>
      </c>
      <c r="L118" s="3"/>
      <c r="M118" s="3">
        <v>3954158</v>
      </c>
      <c r="N118" s="3"/>
      <c r="O118" s="3">
        <v>0</v>
      </c>
      <c r="P118" s="3"/>
      <c r="Q118" s="3">
        <v>998371</v>
      </c>
      <c r="R118" s="3"/>
      <c r="S118" s="3">
        <v>112104</v>
      </c>
      <c r="T118" s="3"/>
      <c r="U118" s="3">
        <v>0</v>
      </c>
      <c r="V118" s="3"/>
      <c r="W118" s="3">
        <v>0</v>
      </c>
      <c r="X118" s="3"/>
      <c r="Y118" s="3">
        <v>29297</v>
      </c>
      <c r="Z118" s="3"/>
      <c r="AA118" s="3">
        <f>1397164+12409+1705</f>
        <v>1411278</v>
      </c>
      <c r="AB118" s="3"/>
      <c r="AC118" s="3">
        <v>1403108</v>
      </c>
      <c r="AD118" s="3"/>
      <c r="AE118" s="22">
        <f t="shared" si="6"/>
        <v>2843683</v>
      </c>
      <c r="AF118" s="103"/>
      <c r="AG118" s="3">
        <f t="shared" si="4"/>
        <v>0</v>
      </c>
      <c r="AI118" s="3">
        <f t="shared" si="5"/>
        <v>0</v>
      </c>
    </row>
    <row r="119" spans="1:35" s="92" customFormat="1" hidden="1">
      <c r="A119" s="88" t="s">
        <v>300</v>
      </c>
      <c r="B119" s="89"/>
      <c r="C119" s="89" t="s">
        <v>191</v>
      </c>
      <c r="E119" s="89">
        <v>49551</v>
      </c>
      <c r="G119" s="88">
        <v>0</v>
      </c>
      <c r="H119" s="88"/>
      <c r="I119" s="88">
        <v>0</v>
      </c>
      <c r="J119" s="88"/>
      <c r="K119" s="95">
        <f t="shared" si="7"/>
        <v>0</v>
      </c>
      <c r="L119" s="88"/>
      <c r="M119" s="88">
        <v>0</v>
      </c>
      <c r="N119" s="88"/>
      <c r="O119" s="88">
        <v>0</v>
      </c>
      <c r="P119" s="88"/>
      <c r="Q119" s="88">
        <v>0</v>
      </c>
      <c r="R119" s="88"/>
      <c r="S119" s="88">
        <v>0</v>
      </c>
      <c r="T119" s="88"/>
      <c r="U119" s="88">
        <v>0</v>
      </c>
      <c r="V119" s="88"/>
      <c r="W119" s="88">
        <v>0</v>
      </c>
      <c r="X119" s="88"/>
      <c r="Y119" s="88">
        <v>0</v>
      </c>
      <c r="Z119" s="88"/>
      <c r="AA119" s="88">
        <v>0</v>
      </c>
      <c r="AB119" s="88"/>
      <c r="AC119" s="88">
        <v>0</v>
      </c>
      <c r="AD119" s="88"/>
      <c r="AE119" s="96">
        <f t="shared" si="6"/>
        <v>0</v>
      </c>
      <c r="AF119" s="89"/>
      <c r="AG119" s="87">
        <f t="shared" si="4"/>
        <v>0</v>
      </c>
      <c r="AI119" s="3">
        <f t="shared" si="5"/>
        <v>0</v>
      </c>
    </row>
    <row r="120" spans="1:35" s="65" customFormat="1" hidden="1">
      <c r="A120" s="58" t="s">
        <v>384</v>
      </c>
      <c r="B120" s="59"/>
      <c r="C120" s="59" t="s">
        <v>194</v>
      </c>
      <c r="E120" s="59">
        <v>49742</v>
      </c>
      <c r="G120" s="58">
        <v>0</v>
      </c>
      <c r="H120" s="58"/>
      <c r="I120" s="58">
        <v>0</v>
      </c>
      <c r="J120" s="58"/>
      <c r="K120" s="63">
        <f t="shared" si="7"/>
        <v>0</v>
      </c>
      <c r="L120" s="58"/>
      <c r="M120" s="58">
        <v>0</v>
      </c>
      <c r="N120" s="58"/>
      <c r="O120" s="58">
        <v>0</v>
      </c>
      <c r="P120" s="58"/>
      <c r="Q120" s="58">
        <v>0</v>
      </c>
      <c r="R120" s="58"/>
      <c r="S120" s="58">
        <v>0</v>
      </c>
      <c r="T120" s="58"/>
      <c r="U120" s="58">
        <v>0</v>
      </c>
      <c r="V120" s="58"/>
      <c r="W120" s="58">
        <v>0</v>
      </c>
      <c r="X120" s="58"/>
      <c r="Y120" s="58">
        <v>0</v>
      </c>
      <c r="Z120" s="58"/>
      <c r="AA120" s="58">
        <v>0</v>
      </c>
      <c r="AB120" s="58"/>
      <c r="AC120" s="58">
        <v>0</v>
      </c>
      <c r="AD120" s="58"/>
      <c r="AE120" s="66">
        <f t="shared" si="6"/>
        <v>0</v>
      </c>
      <c r="AF120" s="59"/>
      <c r="AG120" s="58">
        <f t="shared" si="4"/>
        <v>0</v>
      </c>
      <c r="AI120" s="58">
        <f t="shared" si="5"/>
        <v>0</v>
      </c>
    </row>
    <row r="121" spans="1:35" s="102" customFormat="1">
      <c r="A121" s="3" t="s">
        <v>263</v>
      </c>
      <c r="B121" s="103"/>
      <c r="C121" s="103" t="s">
        <v>192</v>
      </c>
      <c r="E121" s="103">
        <v>125658</v>
      </c>
      <c r="G121" s="3">
        <v>1950842</v>
      </c>
      <c r="H121" s="3"/>
      <c r="I121" s="3">
        <v>0</v>
      </c>
      <c r="J121" s="3"/>
      <c r="K121" s="8">
        <f t="shared" si="7"/>
        <v>121181</v>
      </c>
      <c r="L121" s="3"/>
      <c r="M121" s="3">
        <v>2072023</v>
      </c>
      <c r="N121" s="3"/>
      <c r="O121" s="3">
        <v>0</v>
      </c>
      <c r="P121" s="3"/>
      <c r="Q121" s="3">
        <v>850527</v>
      </c>
      <c r="R121" s="3"/>
      <c r="S121" s="3">
        <v>595</v>
      </c>
      <c r="T121" s="3"/>
      <c r="U121" s="3">
        <v>0</v>
      </c>
      <c r="V121" s="3"/>
      <c r="W121" s="3">
        <v>39118</v>
      </c>
      <c r="X121" s="3"/>
      <c r="Y121" s="3">
        <v>0</v>
      </c>
      <c r="Z121" s="3"/>
      <c r="AA121" s="3">
        <v>159411</v>
      </c>
      <c r="AB121" s="3"/>
      <c r="AC121" s="3">
        <v>1022372</v>
      </c>
      <c r="AD121" s="3"/>
      <c r="AE121" s="22">
        <f t="shared" si="6"/>
        <v>1220901</v>
      </c>
      <c r="AF121" s="103"/>
      <c r="AG121" s="3">
        <f t="shared" si="4"/>
        <v>0</v>
      </c>
      <c r="AI121" s="3">
        <f t="shared" si="5"/>
        <v>0</v>
      </c>
    </row>
    <row r="122" spans="1:35" s="102" customFormat="1">
      <c r="A122" s="3" t="s">
        <v>262</v>
      </c>
      <c r="B122" s="3"/>
      <c r="C122" s="3" t="s">
        <v>155</v>
      </c>
      <c r="E122" s="103">
        <v>46375</v>
      </c>
      <c r="G122" s="3">
        <v>2365458</v>
      </c>
      <c r="H122" s="3"/>
      <c r="I122" s="3">
        <v>0</v>
      </c>
      <c r="J122" s="3"/>
      <c r="K122" s="8">
        <f>+M122-I122-G122</f>
        <v>97643</v>
      </c>
      <c r="L122" s="3"/>
      <c r="M122" s="3">
        <v>2463101</v>
      </c>
      <c r="N122" s="3"/>
      <c r="O122" s="3">
        <v>0</v>
      </c>
      <c r="P122" s="3"/>
      <c r="Q122" s="3">
        <v>236495</v>
      </c>
      <c r="R122" s="3"/>
      <c r="S122" s="3">
        <v>0</v>
      </c>
      <c r="T122" s="3"/>
      <c r="U122" s="3">
        <v>0</v>
      </c>
      <c r="V122" s="3"/>
      <c r="W122" s="3">
        <v>0</v>
      </c>
      <c r="X122" s="3"/>
      <c r="Y122" s="3">
        <v>0</v>
      </c>
      <c r="Z122" s="3"/>
      <c r="AA122" s="3">
        <v>150213</v>
      </c>
      <c r="AB122" s="3"/>
      <c r="AC122" s="3">
        <v>2076393</v>
      </c>
      <c r="AD122" s="3"/>
      <c r="AE122" s="22">
        <f t="shared" si="6"/>
        <v>2226606</v>
      </c>
      <c r="AF122" s="103"/>
      <c r="AG122" s="3">
        <f t="shared" si="4"/>
        <v>0</v>
      </c>
      <c r="AI122" s="3">
        <f t="shared" si="5"/>
        <v>0</v>
      </c>
    </row>
    <row r="123" spans="1:35" s="102" customFormat="1">
      <c r="A123" s="103" t="s">
        <v>330</v>
      </c>
      <c r="B123" s="103"/>
      <c r="C123" s="103" t="s">
        <v>195</v>
      </c>
      <c r="E123" s="103">
        <v>49825</v>
      </c>
      <c r="G123" s="3">
        <v>2203804</v>
      </c>
      <c r="H123" s="3"/>
      <c r="I123" s="3">
        <v>0</v>
      </c>
      <c r="J123" s="3"/>
      <c r="K123" s="8">
        <f t="shared" si="7"/>
        <v>1872676</v>
      </c>
      <c r="L123" s="3"/>
      <c r="M123" s="3">
        <v>4076480</v>
      </c>
      <c r="N123" s="3"/>
      <c r="O123" s="3">
        <v>0</v>
      </c>
      <c r="P123" s="3"/>
      <c r="Q123" s="3">
        <v>2459332</v>
      </c>
      <c r="R123" s="3"/>
      <c r="S123" s="3">
        <v>675486</v>
      </c>
      <c r="T123" s="3"/>
      <c r="U123" s="3">
        <v>5588</v>
      </c>
      <c r="V123" s="3"/>
      <c r="W123" s="3">
        <v>0</v>
      </c>
      <c r="X123" s="3"/>
      <c r="Y123" s="3">
        <v>0</v>
      </c>
      <c r="Z123" s="3"/>
      <c r="AA123" s="3">
        <f>37706+87806+1764</f>
        <v>127276</v>
      </c>
      <c r="AB123" s="3"/>
      <c r="AC123" s="3">
        <v>808798</v>
      </c>
      <c r="AD123" s="3"/>
      <c r="AE123" s="22">
        <f t="shared" si="6"/>
        <v>941662</v>
      </c>
      <c r="AF123" s="103"/>
      <c r="AG123" s="3">
        <f t="shared" si="4"/>
        <v>0</v>
      </c>
      <c r="AI123" s="3">
        <f t="shared" si="5"/>
        <v>0</v>
      </c>
    </row>
    <row r="124" spans="1:35" s="102" customFormat="1">
      <c r="A124" s="3" t="s">
        <v>331</v>
      </c>
      <c r="B124" s="103"/>
      <c r="C124" s="103" t="s">
        <v>196</v>
      </c>
      <c r="E124" s="103">
        <v>49965</v>
      </c>
      <c r="G124" s="3">
        <v>4975254</v>
      </c>
      <c r="H124" s="3"/>
      <c r="I124" s="3">
        <v>0</v>
      </c>
      <c r="J124" s="3"/>
      <c r="K124" s="8">
        <f t="shared" si="7"/>
        <v>1947950</v>
      </c>
      <c r="L124" s="3"/>
      <c r="M124" s="3">
        <v>6923204</v>
      </c>
      <c r="N124" s="3"/>
      <c r="O124" s="3">
        <v>0</v>
      </c>
      <c r="P124" s="3"/>
      <c r="Q124" s="3">
        <f>3290108-1746233</f>
        <v>1543875</v>
      </c>
      <c r="R124" s="3"/>
      <c r="S124" s="3">
        <v>1746233</v>
      </c>
      <c r="T124" s="3"/>
      <c r="U124" s="3">
        <v>0</v>
      </c>
      <c r="V124" s="3"/>
      <c r="W124" s="3">
        <v>0</v>
      </c>
      <c r="X124" s="3"/>
      <c r="Y124" s="3">
        <v>0</v>
      </c>
      <c r="Z124" s="3"/>
      <c r="AA124" s="3">
        <v>53871</v>
      </c>
      <c r="AB124" s="3"/>
      <c r="AC124" s="3">
        <v>3579225</v>
      </c>
      <c r="AD124" s="3"/>
      <c r="AE124" s="22">
        <f t="shared" si="6"/>
        <v>3633096</v>
      </c>
      <c r="AF124" s="103"/>
      <c r="AG124" s="3">
        <f t="shared" si="4"/>
        <v>0</v>
      </c>
      <c r="AI124" s="3">
        <f t="shared" si="5"/>
        <v>0</v>
      </c>
    </row>
    <row r="125" spans="1:35" s="65" customFormat="1" hidden="1">
      <c r="A125" s="58" t="s">
        <v>353</v>
      </c>
      <c r="B125" s="59"/>
      <c r="C125" s="59" t="s">
        <v>203</v>
      </c>
      <c r="E125" s="59">
        <v>50526</v>
      </c>
      <c r="G125" s="58">
        <v>0</v>
      </c>
      <c r="H125" s="58"/>
      <c r="I125" s="58">
        <v>0</v>
      </c>
      <c r="J125" s="58"/>
      <c r="K125" s="63">
        <f t="shared" si="7"/>
        <v>0</v>
      </c>
      <c r="L125" s="58"/>
      <c r="M125" s="58">
        <v>0</v>
      </c>
      <c r="N125" s="58"/>
      <c r="O125" s="58">
        <v>0</v>
      </c>
      <c r="P125" s="58"/>
      <c r="Q125" s="58">
        <v>0</v>
      </c>
      <c r="R125" s="58"/>
      <c r="S125" s="58">
        <v>0</v>
      </c>
      <c r="T125" s="58"/>
      <c r="U125" s="58">
        <v>0</v>
      </c>
      <c r="V125" s="58"/>
      <c r="W125" s="58">
        <v>0</v>
      </c>
      <c r="X125" s="58"/>
      <c r="Y125" s="58">
        <v>0</v>
      </c>
      <c r="Z125" s="58"/>
      <c r="AA125" s="58">
        <v>0</v>
      </c>
      <c r="AB125" s="58"/>
      <c r="AC125" s="58">
        <v>0</v>
      </c>
      <c r="AD125" s="58"/>
      <c r="AE125" s="66">
        <f t="shared" si="6"/>
        <v>0</v>
      </c>
      <c r="AF125" s="59"/>
      <c r="AG125" s="87">
        <f t="shared" si="4"/>
        <v>0</v>
      </c>
      <c r="AI125" s="3">
        <f t="shared" si="5"/>
        <v>0</v>
      </c>
    </row>
    <row r="126" spans="1:35" s="102" customFormat="1">
      <c r="A126" s="3" t="s">
        <v>333</v>
      </c>
      <c r="B126" s="103"/>
      <c r="C126" s="103" t="s">
        <v>197</v>
      </c>
      <c r="E126" s="103">
        <v>50088</v>
      </c>
      <c r="G126" s="3">
        <v>6218101</v>
      </c>
      <c r="H126" s="3"/>
      <c r="I126" s="3">
        <v>0</v>
      </c>
      <c r="J126" s="3"/>
      <c r="K126" s="8">
        <f t="shared" si="7"/>
        <v>1209476</v>
      </c>
      <c r="L126" s="3"/>
      <c r="M126" s="3">
        <v>7427577</v>
      </c>
      <c r="N126" s="3"/>
      <c r="O126" s="3">
        <v>0</v>
      </c>
      <c r="P126" s="3"/>
      <c r="Q126" s="3">
        <v>2314643</v>
      </c>
      <c r="R126" s="3"/>
      <c r="S126" s="3">
        <v>931979</v>
      </c>
      <c r="T126" s="3"/>
      <c r="U126" s="3">
        <v>11862</v>
      </c>
      <c r="V126" s="3"/>
      <c r="W126" s="3">
        <v>0</v>
      </c>
      <c r="X126" s="3"/>
      <c r="Y126" s="3">
        <v>0</v>
      </c>
      <c r="Z126" s="3"/>
      <c r="AA126" s="3">
        <f>1260+2659</f>
        <v>3919</v>
      </c>
      <c r="AB126" s="3"/>
      <c r="AC126" s="3">
        <v>4165174</v>
      </c>
      <c r="AD126" s="3"/>
      <c r="AE126" s="22">
        <f t="shared" si="6"/>
        <v>4180955</v>
      </c>
      <c r="AF126" s="103"/>
      <c r="AG126" s="3">
        <f t="shared" si="4"/>
        <v>0</v>
      </c>
      <c r="AI126" s="3">
        <f t="shared" si="5"/>
        <v>0</v>
      </c>
    </row>
    <row r="127" spans="1:35" s="92" customFormat="1" hidden="1">
      <c r="A127" s="88" t="s">
        <v>301</v>
      </c>
      <c r="B127" s="89"/>
      <c r="C127" s="89" t="s">
        <v>198</v>
      </c>
      <c r="E127" s="89">
        <v>50260</v>
      </c>
      <c r="G127" s="88">
        <v>0</v>
      </c>
      <c r="H127" s="88"/>
      <c r="I127" s="88">
        <v>0</v>
      </c>
      <c r="J127" s="88"/>
      <c r="K127" s="95">
        <f t="shared" si="7"/>
        <v>0</v>
      </c>
      <c r="L127" s="88"/>
      <c r="M127" s="88">
        <v>0</v>
      </c>
      <c r="N127" s="88"/>
      <c r="O127" s="88">
        <v>0</v>
      </c>
      <c r="P127" s="88"/>
      <c r="Q127" s="88">
        <v>0</v>
      </c>
      <c r="R127" s="88"/>
      <c r="S127" s="88">
        <v>0</v>
      </c>
      <c r="T127" s="88"/>
      <c r="U127" s="88">
        <v>0</v>
      </c>
      <c r="V127" s="88"/>
      <c r="W127" s="88">
        <v>0</v>
      </c>
      <c r="X127" s="88"/>
      <c r="Y127" s="88">
        <v>0</v>
      </c>
      <c r="Z127" s="88"/>
      <c r="AA127" s="88">
        <v>0</v>
      </c>
      <c r="AB127" s="88"/>
      <c r="AC127" s="88">
        <v>0</v>
      </c>
      <c r="AD127" s="88"/>
      <c r="AE127" s="96">
        <f t="shared" si="6"/>
        <v>0</v>
      </c>
      <c r="AF127" s="89"/>
      <c r="AG127" s="87">
        <f t="shared" si="4"/>
        <v>0</v>
      </c>
      <c r="AI127" s="3">
        <f t="shared" si="5"/>
        <v>0</v>
      </c>
    </row>
    <row r="128" spans="1:35" s="65" customFormat="1" hidden="1">
      <c r="A128" s="58" t="s">
        <v>335</v>
      </c>
      <c r="B128" s="59"/>
      <c r="C128" s="59" t="s">
        <v>201</v>
      </c>
      <c r="E128" s="59">
        <v>50401</v>
      </c>
      <c r="G128" s="58">
        <v>0</v>
      </c>
      <c r="H128" s="58"/>
      <c r="I128" s="58">
        <v>0</v>
      </c>
      <c r="J128" s="58"/>
      <c r="K128" s="63">
        <f t="shared" si="7"/>
        <v>0</v>
      </c>
      <c r="L128" s="58"/>
      <c r="M128" s="58">
        <v>0</v>
      </c>
      <c r="N128" s="58"/>
      <c r="O128" s="58">
        <v>0</v>
      </c>
      <c r="P128" s="58"/>
      <c r="Q128" s="58">
        <v>0</v>
      </c>
      <c r="R128" s="58"/>
      <c r="S128" s="58">
        <v>0</v>
      </c>
      <c r="T128" s="58"/>
      <c r="U128" s="58">
        <v>0</v>
      </c>
      <c r="V128" s="58"/>
      <c r="W128" s="58">
        <v>0</v>
      </c>
      <c r="X128" s="58"/>
      <c r="Y128" s="58">
        <v>0</v>
      </c>
      <c r="Z128" s="58"/>
      <c r="AA128" s="58">
        <v>0</v>
      </c>
      <c r="AB128" s="58"/>
      <c r="AC128" s="58">
        <v>0</v>
      </c>
      <c r="AD128" s="58"/>
      <c r="AE128" s="66">
        <f t="shared" si="6"/>
        <v>0</v>
      </c>
      <c r="AF128" s="59"/>
      <c r="AG128" s="87">
        <f t="shared" si="4"/>
        <v>0</v>
      </c>
      <c r="AI128" s="3">
        <f t="shared" si="5"/>
        <v>0</v>
      </c>
    </row>
    <row r="129" spans="1:35" s="92" customFormat="1" hidden="1">
      <c r="A129" s="88" t="s">
        <v>302</v>
      </c>
      <c r="B129" s="89"/>
      <c r="C129" s="89" t="s">
        <v>202</v>
      </c>
      <c r="E129" s="89">
        <v>50476</v>
      </c>
      <c r="G129" s="94">
        <v>0</v>
      </c>
      <c r="H129" s="94"/>
      <c r="I129" s="94">
        <v>0</v>
      </c>
      <c r="J129" s="94"/>
      <c r="K129" s="95">
        <f t="shared" ref="K129" si="9">+M129-I129-G129</f>
        <v>0</v>
      </c>
      <c r="L129" s="88"/>
      <c r="M129" s="94">
        <v>0</v>
      </c>
      <c r="N129" s="88"/>
      <c r="O129" s="88">
        <v>0</v>
      </c>
      <c r="P129" s="88"/>
      <c r="Q129" s="94">
        <v>0</v>
      </c>
      <c r="R129" s="94"/>
      <c r="S129" s="94">
        <v>0</v>
      </c>
      <c r="T129" s="94"/>
      <c r="U129" s="94">
        <v>0</v>
      </c>
      <c r="V129" s="94"/>
      <c r="W129" s="94">
        <v>0</v>
      </c>
      <c r="X129" s="94"/>
      <c r="Y129" s="94">
        <v>0</v>
      </c>
      <c r="Z129" s="94"/>
      <c r="AA129" s="94">
        <v>0</v>
      </c>
      <c r="AB129" s="88"/>
      <c r="AC129" s="94">
        <v>0</v>
      </c>
      <c r="AD129" s="88"/>
      <c r="AE129" s="96">
        <f t="shared" si="6"/>
        <v>0</v>
      </c>
      <c r="AF129" s="89"/>
      <c r="AG129" s="87">
        <f t="shared" si="4"/>
        <v>0</v>
      </c>
      <c r="AI129" s="3">
        <f t="shared" si="5"/>
        <v>0</v>
      </c>
    </row>
    <row r="130" spans="1:35" s="102" customFormat="1">
      <c r="A130" s="3" t="s">
        <v>199</v>
      </c>
      <c r="B130" s="103"/>
      <c r="C130" s="103" t="s">
        <v>258</v>
      </c>
      <c r="E130" s="103">
        <v>134999</v>
      </c>
      <c r="G130" s="3">
        <v>482672</v>
      </c>
      <c r="H130" s="3"/>
      <c r="I130" s="3">
        <v>0</v>
      </c>
      <c r="J130" s="3"/>
      <c r="K130" s="8">
        <f>+M130-I130-G130</f>
        <v>123956</v>
      </c>
      <c r="L130" s="3"/>
      <c r="M130" s="3">
        <v>606628</v>
      </c>
      <c r="N130" s="3"/>
      <c r="O130" s="3">
        <v>0</v>
      </c>
      <c r="P130" s="3"/>
      <c r="Q130" s="3">
        <v>397424</v>
      </c>
      <c r="R130" s="3"/>
      <c r="S130" s="3">
        <v>3082</v>
      </c>
      <c r="T130" s="3"/>
      <c r="U130" s="3">
        <v>0</v>
      </c>
      <c r="V130" s="3"/>
      <c r="W130" s="3">
        <v>1083</v>
      </c>
      <c r="X130" s="3"/>
      <c r="Y130" s="3">
        <v>0</v>
      </c>
      <c r="Z130" s="3"/>
      <c r="AA130" s="3">
        <v>169345</v>
      </c>
      <c r="AB130" s="3"/>
      <c r="AC130" s="3">
        <v>35694</v>
      </c>
      <c r="AD130" s="3"/>
      <c r="AE130" s="22">
        <f t="shared" si="6"/>
        <v>206122</v>
      </c>
      <c r="AF130" s="103"/>
      <c r="AG130" s="3">
        <f t="shared" si="4"/>
        <v>0</v>
      </c>
      <c r="AI130" s="3">
        <f t="shared" si="5"/>
        <v>0</v>
      </c>
    </row>
    <row r="131" spans="1:35" s="102" customFormat="1">
      <c r="A131" s="3" t="s">
        <v>334</v>
      </c>
      <c r="B131" s="103"/>
      <c r="C131" s="103" t="s">
        <v>204</v>
      </c>
      <c r="E131" s="103">
        <v>50666</v>
      </c>
      <c r="G131" s="3">
        <v>3430160</v>
      </c>
      <c r="H131" s="3"/>
      <c r="I131" s="3">
        <v>0</v>
      </c>
      <c r="J131" s="3"/>
      <c r="K131" s="8">
        <f t="shared" si="7"/>
        <v>145445</v>
      </c>
      <c r="L131" s="3"/>
      <c r="M131" s="3">
        <v>3575605</v>
      </c>
      <c r="N131" s="3"/>
      <c r="O131" s="3">
        <v>0</v>
      </c>
      <c r="P131" s="3"/>
      <c r="Q131" s="3">
        <v>1471296</v>
      </c>
      <c r="R131" s="3"/>
      <c r="S131" s="3">
        <v>3840</v>
      </c>
      <c r="T131" s="3"/>
      <c r="U131" s="3">
        <v>1552</v>
      </c>
      <c r="V131" s="3"/>
      <c r="W131" s="3">
        <v>0</v>
      </c>
      <c r="X131" s="3"/>
      <c r="Y131" s="3">
        <v>0</v>
      </c>
      <c r="Z131" s="3"/>
      <c r="AA131" s="3">
        <v>41323</v>
      </c>
      <c r="AB131" s="3"/>
      <c r="AC131" s="3">
        <v>2057594</v>
      </c>
      <c r="AD131" s="3"/>
      <c r="AE131" s="22">
        <f t="shared" si="6"/>
        <v>2100469</v>
      </c>
      <c r="AF131" s="103"/>
      <c r="AG131" s="3">
        <f t="shared" si="4"/>
        <v>0</v>
      </c>
      <c r="AI131" s="3">
        <f t="shared" si="5"/>
        <v>0</v>
      </c>
    </row>
    <row r="134" spans="1:35">
      <c r="G134" s="3"/>
      <c r="H134" s="3"/>
      <c r="I134" s="3"/>
      <c r="J134" s="3"/>
      <c r="K134" s="8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22"/>
    </row>
  </sheetData>
  <mergeCells count="2">
    <mergeCell ref="G8:K8"/>
    <mergeCell ref="U8:AC8"/>
  </mergeCells>
  <phoneticPr fontId="3" type="noConversion"/>
  <pageMargins left="0.75" right="0.5" top="0.5" bottom="0.5" header="0.25" footer="0.25"/>
  <pageSetup scale="76" firstPageNumber="22" pageOrder="overThenDown" orientation="portrait" useFirstPageNumber="1" r:id="rId1"/>
  <headerFooter scaleWithDoc="0" alignWithMargins="0"/>
  <rowBreaks count="1" manualBreakCount="1">
    <brk id="67" max="16383" man="1"/>
  </rowBreaks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5"/>
  <sheetViews>
    <sheetView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G12" sqref="G12"/>
    </sheetView>
  </sheetViews>
  <sheetFormatPr defaultRowHeight="12"/>
  <cols>
    <col min="1" max="1" width="45.7109375" style="27" customWidth="1"/>
    <col min="2" max="2" width="1.7109375" style="27" customWidth="1"/>
    <col min="3" max="3" width="10.140625" style="27" bestFit="1" customWidth="1"/>
    <col min="4" max="4" width="1.7109375" style="27" hidden="1" customWidth="1"/>
    <col min="5" max="5" width="6.7109375" style="27" hidden="1" customWidth="1"/>
    <col min="6" max="6" width="1.7109375" style="27" customWidth="1"/>
    <col min="7" max="7" width="11.7109375" style="27" customWidth="1"/>
    <col min="8" max="8" width="1.7109375" style="27" customWidth="1"/>
    <col min="9" max="9" width="11.7109375" style="27" customWidth="1"/>
    <col min="10" max="10" width="1.7109375" style="27" customWidth="1"/>
    <col min="11" max="11" width="11.7109375" style="27" customWidth="1"/>
    <col min="12" max="12" width="1.7109375" style="27" customWidth="1"/>
    <col min="13" max="13" width="11.7109375" style="27" customWidth="1"/>
    <col min="14" max="14" width="1.7109375" style="27" customWidth="1"/>
    <col min="15" max="15" width="11.7109375" style="27" customWidth="1"/>
    <col min="16" max="16" width="1.7109375" style="27" customWidth="1"/>
    <col min="17" max="17" width="11.7109375" style="27" customWidth="1"/>
    <col min="18" max="18" width="1.7109375" style="27" customWidth="1"/>
    <col min="19" max="19" width="11.7109375" style="27" customWidth="1"/>
    <col min="20" max="20" width="1.7109375" style="27" customWidth="1"/>
    <col min="21" max="21" width="11.7109375" style="27" customWidth="1"/>
    <col min="22" max="22" width="1.7109375" style="27" customWidth="1"/>
    <col min="23" max="23" width="11.7109375" style="27" customWidth="1"/>
    <col min="24" max="24" width="1.7109375" style="27" customWidth="1"/>
    <col min="25" max="25" width="11.7109375" style="27" customWidth="1"/>
    <col min="26" max="26" width="1.7109375" style="27" hidden="1" customWidth="1"/>
    <col min="27" max="27" width="11.7109375" style="27" hidden="1" customWidth="1"/>
    <col min="28" max="28" width="1.7109375" style="102" customWidth="1"/>
    <col min="29" max="29" width="11.7109375" style="102" customWidth="1"/>
    <col min="30" max="30" width="1.28515625" style="27" hidden="1" customWidth="1"/>
    <col min="31" max="31" width="11.7109375" style="27" hidden="1" customWidth="1"/>
    <col min="32" max="32" width="1.7109375" style="27" customWidth="1"/>
    <col min="33" max="33" width="45.7109375" style="27" customWidth="1"/>
    <col min="34" max="34" width="1.7109375" style="27" customWidth="1"/>
    <col min="35" max="35" width="13.140625" style="27" customWidth="1"/>
    <col min="36" max="36" width="1.28515625" style="27" hidden="1" customWidth="1"/>
    <col min="37" max="37" width="11.7109375" style="27" hidden="1" customWidth="1"/>
    <col min="38" max="38" width="1.7109375" style="27" customWidth="1"/>
    <col min="39" max="39" width="11.7109375" style="27" customWidth="1"/>
    <col min="40" max="40" width="1.28515625" style="27" hidden="1" customWidth="1"/>
    <col min="41" max="41" width="11.7109375" style="27" hidden="1" customWidth="1"/>
    <col min="42" max="42" width="1.7109375" style="27" customWidth="1"/>
    <col min="43" max="43" width="12.140625" style="27" customWidth="1"/>
    <col min="44" max="44" width="1.7109375" style="27" hidden="1" customWidth="1"/>
    <col min="45" max="45" width="11.7109375" style="27" hidden="1" customWidth="1"/>
    <col min="46" max="46" width="1.7109375" style="27" customWidth="1"/>
    <col min="47" max="47" width="11.7109375" style="27" customWidth="1"/>
    <col min="48" max="48" width="1.7109375" style="27" customWidth="1"/>
    <col min="49" max="49" width="14.42578125" style="27" customWidth="1"/>
    <col min="50" max="16384" width="9.140625" style="27"/>
  </cols>
  <sheetData>
    <row r="1" spans="1:54" s="7" customFormat="1">
      <c r="A1" s="4" t="s">
        <v>95</v>
      </c>
      <c r="B1" s="4"/>
      <c r="C1" s="4"/>
      <c r="D1" s="4"/>
      <c r="E1" s="4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AG1" s="4" t="s">
        <v>95</v>
      </c>
      <c r="AH1" s="4"/>
      <c r="AI1" s="4"/>
    </row>
    <row r="2" spans="1:54" s="7" customFormat="1">
      <c r="A2" s="4" t="s">
        <v>380</v>
      </c>
      <c r="B2" s="4"/>
      <c r="C2" s="4"/>
      <c r="D2" s="4"/>
      <c r="E2" s="4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AG2" s="4" t="s">
        <v>380</v>
      </c>
      <c r="AH2" s="4"/>
      <c r="AI2" s="4"/>
    </row>
    <row r="3" spans="1:54" s="3" customFormat="1">
      <c r="A3" s="31"/>
      <c r="B3" s="5"/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G3" s="31" t="s">
        <v>254</v>
      </c>
      <c r="AH3" s="5"/>
      <c r="AI3" s="5"/>
    </row>
    <row r="4" spans="1:54" s="3" customFormat="1">
      <c r="A4" s="7" t="s">
        <v>257</v>
      </c>
      <c r="B4" s="4"/>
      <c r="C4" s="4"/>
      <c r="D4" s="4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G4" s="7" t="s">
        <v>257</v>
      </c>
      <c r="AH4" s="4"/>
      <c r="AI4" s="4"/>
    </row>
    <row r="5" spans="1:54" s="3" customFormat="1">
      <c r="A5" s="7"/>
      <c r="B5" s="4"/>
      <c r="C5" s="4"/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AG5" s="7"/>
      <c r="AH5" s="4"/>
      <c r="AI5" s="4"/>
    </row>
    <row r="6" spans="1:54" s="3" customFormat="1">
      <c r="A6" s="31"/>
    </row>
    <row r="7" spans="1:54" s="3" customFormat="1">
      <c r="A7" s="29" t="s">
        <v>311</v>
      </c>
      <c r="AG7" s="29" t="s">
        <v>311</v>
      </c>
      <c r="AW7" s="11" t="s">
        <v>6</v>
      </c>
    </row>
    <row r="8" spans="1:54" s="11" customFormat="1">
      <c r="B8" s="2"/>
      <c r="C8" s="2"/>
      <c r="D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7" t="s">
        <v>96</v>
      </c>
      <c r="Z8" s="37"/>
      <c r="AA8" s="37"/>
      <c r="AB8" s="37"/>
      <c r="AC8" s="37"/>
      <c r="AD8" s="37"/>
      <c r="AE8" s="37"/>
      <c r="AF8" s="7"/>
      <c r="AH8" s="4"/>
      <c r="AI8" s="4"/>
      <c r="AJ8" s="38"/>
      <c r="AK8" s="38"/>
      <c r="AL8" s="81"/>
      <c r="AM8" s="37" t="s">
        <v>340</v>
      </c>
      <c r="AN8" s="38"/>
      <c r="AO8" s="38"/>
      <c r="AP8" s="38"/>
      <c r="AQ8" s="38"/>
      <c r="AU8" s="11" t="s">
        <v>6</v>
      </c>
      <c r="AW8" s="11" t="s">
        <v>269</v>
      </c>
    </row>
    <row r="9" spans="1:54" s="11" customFormat="1">
      <c r="B9" s="2"/>
      <c r="C9" s="2"/>
      <c r="D9" s="2"/>
      <c r="G9" s="2"/>
      <c r="H9" s="2"/>
      <c r="I9" s="2"/>
      <c r="J9" s="2"/>
      <c r="K9" s="2"/>
      <c r="L9" s="2"/>
      <c r="M9" s="2"/>
      <c r="N9" s="2"/>
      <c r="O9" s="2" t="s">
        <v>26</v>
      </c>
      <c r="P9" s="2"/>
      <c r="Q9" s="2" t="s">
        <v>97</v>
      </c>
      <c r="R9" s="2"/>
      <c r="S9" s="2" t="s">
        <v>28</v>
      </c>
      <c r="T9" s="2"/>
      <c r="U9" s="2"/>
      <c r="V9" s="2"/>
      <c r="W9" s="2"/>
      <c r="X9" s="2"/>
      <c r="AB9" s="105"/>
      <c r="AC9" s="105" t="s">
        <v>232</v>
      </c>
      <c r="AH9" s="2"/>
      <c r="AI9" s="2"/>
      <c r="AM9" s="11" t="s">
        <v>221</v>
      </c>
      <c r="AO9" s="11" t="s">
        <v>228</v>
      </c>
      <c r="AQ9" s="11" t="s">
        <v>67</v>
      </c>
      <c r="AU9" s="11" t="s">
        <v>82</v>
      </c>
      <c r="AW9" s="11" t="s">
        <v>270</v>
      </c>
    </row>
    <row r="10" spans="1:54" s="11" customFormat="1">
      <c r="B10" s="2"/>
      <c r="C10" s="2"/>
      <c r="D10" s="2"/>
      <c r="G10" s="2" t="s">
        <v>32</v>
      </c>
      <c r="H10" s="2"/>
      <c r="I10" s="2" t="s">
        <v>98</v>
      </c>
      <c r="J10" s="2"/>
      <c r="K10" s="2"/>
      <c r="L10" s="2"/>
      <c r="M10" s="2" t="s">
        <v>35</v>
      </c>
      <c r="N10" s="2"/>
      <c r="O10" s="2" t="s">
        <v>36</v>
      </c>
      <c r="P10" s="2"/>
      <c r="Q10" s="2" t="s">
        <v>99</v>
      </c>
      <c r="R10" s="2"/>
      <c r="S10" s="2" t="s">
        <v>38</v>
      </c>
      <c r="T10" s="2"/>
      <c r="U10" s="2" t="s">
        <v>67</v>
      </c>
      <c r="V10" s="2"/>
      <c r="W10" s="2" t="s">
        <v>6</v>
      </c>
      <c r="X10" s="2"/>
      <c r="Y10" s="2"/>
      <c r="AB10" s="105"/>
      <c r="AC10" s="105" t="s">
        <v>4</v>
      </c>
      <c r="AE10" s="11" t="s">
        <v>100</v>
      </c>
      <c r="AG10" s="2"/>
      <c r="AH10" s="2"/>
      <c r="AI10" s="2"/>
      <c r="AK10" s="11" t="s">
        <v>101</v>
      </c>
      <c r="AM10" s="11" t="s">
        <v>223</v>
      </c>
      <c r="AO10" s="11" t="s">
        <v>229</v>
      </c>
      <c r="AQ10" s="11" t="s">
        <v>102</v>
      </c>
      <c r="AS10" s="11" t="s">
        <v>344</v>
      </c>
      <c r="AU10" s="11" t="s">
        <v>102</v>
      </c>
      <c r="AW10" s="11" t="s">
        <v>347</v>
      </c>
    </row>
    <row r="11" spans="1:54" s="11" customFormat="1">
      <c r="A11" s="77" t="s">
        <v>277</v>
      </c>
      <c r="C11" s="77" t="s">
        <v>10</v>
      </c>
      <c r="E11" s="51" t="s">
        <v>11</v>
      </c>
      <c r="G11" s="77" t="s">
        <v>44</v>
      </c>
      <c r="H11" s="2"/>
      <c r="I11" s="77" t="s">
        <v>103</v>
      </c>
      <c r="J11" s="2"/>
      <c r="K11" s="77" t="s">
        <v>83</v>
      </c>
      <c r="L11" s="2"/>
      <c r="M11" s="77" t="s">
        <v>47</v>
      </c>
      <c r="N11" s="2"/>
      <c r="O11" s="77" t="s">
        <v>48</v>
      </c>
      <c r="P11" s="2"/>
      <c r="Q11" s="77" t="s">
        <v>104</v>
      </c>
      <c r="R11" s="2"/>
      <c r="S11" s="77" t="s">
        <v>49</v>
      </c>
      <c r="T11" s="2"/>
      <c r="U11" s="77" t="s">
        <v>93</v>
      </c>
      <c r="V11" s="2"/>
      <c r="W11" s="77" t="s">
        <v>29</v>
      </c>
      <c r="X11" s="2"/>
      <c r="Y11" s="77" t="s">
        <v>105</v>
      </c>
      <c r="AA11" s="77" t="s">
        <v>106</v>
      </c>
      <c r="AB11" s="2"/>
      <c r="AC11" s="106" t="s">
        <v>222</v>
      </c>
      <c r="AD11" s="2"/>
      <c r="AE11" s="77" t="s">
        <v>107</v>
      </c>
      <c r="AG11" s="77" t="s">
        <v>277</v>
      </c>
      <c r="AI11" s="77" t="s">
        <v>10</v>
      </c>
      <c r="AK11" s="77" t="s">
        <v>107</v>
      </c>
      <c r="AM11" s="77" t="s">
        <v>15</v>
      </c>
      <c r="AO11" s="77" t="s">
        <v>114</v>
      </c>
      <c r="AQ11" s="77" t="s">
        <v>108</v>
      </c>
      <c r="AS11" s="77" t="s">
        <v>237</v>
      </c>
      <c r="AU11" s="77" t="s">
        <v>108</v>
      </c>
      <c r="AW11" s="77" t="s">
        <v>237</v>
      </c>
      <c r="AX11" s="79"/>
      <c r="AY11" s="79"/>
      <c r="AZ11" s="79"/>
      <c r="BA11" s="79"/>
      <c r="BB11" s="79"/>
    </row>
    <row r="12" spans="1:54" s="11" customFormat="1">
      <c r="A12" s="2"/>
      <c r="C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AA12" s="2"/>
      <c r="AB12" s="2"/>
      <c r="AC12" s="2"/>
      <c r="AD12" s="2"/>
      <c r="AE12" s="2"/>
      <c r="AG12" s="2"/>
      <c r="AI12" s="2"/>
      <c r="AK12" s="2"/>
      <c r="AM12" s="2"/>
      <c r="AO12" s="2"/>
      <c r="AQ12" s="2"/>
      <c r="AS12" s="2"/>
      <c r="AU12" s="2"/>
      <c r="AW12" s="2"/>
    </row>
    <row r="13" spans="1:54">
      <c r="A13" s="32" t="s">
        <v>252</v>
      </c>
      <c r="AG13" s="32" t="s">
        <v>252</v>
      </c>
    </row>
    <row r="14" spans="1:54">
      <c r="A14" s="32"/>
      <c r="AG14" s="32"/>
    </row>
    <row r="15" spans="1:54" s="102" customFormat="1">
      <c r="A15" s="3" t="s">
        <v>283</v>
      </c>
      <c r="B15" s="3"/>
      <c r="C15" s="3" t="s">
        <v>260</v>
      </c>
      <c r="E15" s="103">
        <v>50773</v>
      </c>
      <c r="G15" s="19">
        <v>3092902</v>
      </c>
      <c r="H15" s="19"/>
      <c r="I15" s="19">
        <v>6094818</v>
      </c>
      <c r="J15" s="19"/>
      <c r="K15" s="19">
        <v>58870</v>
      </c>
      <c r="L15" s="19"/>
      <c r="M15" s="19">
        <f>698348+104811</f>
        <v>803159</v>
      </c>
      <c r="N15" s="19"/>
      <c r="O15" s="19">
        <v>0</v>
      </c>
      <c r="P15" s="19"/>
      <c r="Q15" s="19">
        <v>0</v>
      </c>
      <c r="R15" s="19"/>
      <c r="S15" s="19">
        <v>0</v>
      </c>
      <c r="T15" s="19"/>
      <c r="U15" s="19">
        <v>103450</v>
      </c>
      <c r="V15" s="19"/>
      <c r="W15" s="112">
        <f>SUM(G15:V15)</f>
        <v>10153199</v>
      </c>
      <c r="X15" s="19"/>
      <c r="Y15" s="19">
        <v>0</v>
      </c>
      <c r="Z15" s="19"/>
      <c r="AA15" s="19">
        <v>0</v>
      </c>
      <c r="AB15" s="19"/>
      <c r="AC15" s="19">
        <v>0</v>
      </c>
      <c r="AD15" s="19"/>
      <c r="AE15" s="19">
        <v>0</v>
      </c>
      <c r="AF15" s="19"/>
      <c r="AG15" s="3" t="s">
        <v>283</v>
      </c>
      <c r="AH15" s="3"/>
      <c r="AI15" s="3" t="s">
        <v>260</v>
      </c>
      <c r="AJ15" s="19"/>
      <c r="AK15" s="19">
        <v>0</v>
      </c>
      <c r="AL15" s="19"/>
      <c r="AM15" s="19">
        <v>0</v>
      </c>
      <c r="AN15" s="19"/>
      <c r="AO15" s="19">
        <v>0</v>
      </c>
      <c r="AP15" s="19"/>
      <c r="AQ15" s="19">
        <v>0</v>
      </c>
      <c r="AR15" s="19"/>
      <c r="AS15" s="19">
        <v>0</v>
      </c>
      <c r="AT15" s="19"/>
      <c r="AU15" s="19">
        <f t="shared" ref="AU15:AU34" si="0">SUM(Y15:AS15)</f>
        <v>0</v>
      </c>
      <c r="AV15" s="19"/>
      <c r="AW15" s="19">
        <f t="shared" ref="AW15:AW34" si="1">+AU15+W15</f>
        <v>10153199</v>
      </c>
    </row>
    <row r="16" spans="1:54" s="102" customFormat="1">
      <c r="A16" s="3" t="s">
        <v>239</v>
      </c>
      <c r="B16" s="103"/>
      <c r="C16" s="103" t="s">
        <v>143</v>
      </c>
      <c r="E16" s="103">
        <v>62042</v>
      </c>
      <c r="G16" s="3">
        <v>2502411</v>
      </c>
      <c r="H16" s="3"/>
      <c r="I16" s="3">
        <v>2852269</v>
      </c>
      <c r="J16" s="3"/>
      <c r="K16" s="3">
        <v>11486</v>
      </c>
      <c r="L16" s="3"/>
      <c r="M16" s="3">
        <f>5267+9172+47415+3025</f>
        <v>64879</v>
      </c>
      <c r="N16" s="3"/>
      <c r="O16" s="3">
        <v>0</v>
      </c>
      <c r="P16" s="3"/>
      <c r="Q16" s="3">
        <v>0</v>
      </c>
      <c r="R16" s="3"/>
      <c r="S16" s="3">
        <v>5248</v>
      </c>
      <c r="T16" s="3"/>
      <c r="U16" s="3">
        <f>121212+34374</f>
        <v>155586</v>
      </c>
      <c r="V16" s="3"/>
      <c r="W16" s="8">
        <f>SUM(G16:V16)</f>
        <v>5591879</v>
      </c>
      <c r="X16" s="3"/>
      <c r="Y16" s="3">
        <v>0</v>
      </c>
      <c r="Z16" s="3"/>
      <c r="AA16" s="3">
        <v>0</v>
      </c>
      <c r="AB16" s="3"/>
      <c r="AC16" s="3">
        <v>0</v>
      </c>
      <c r="AD16" s="3"/>
      <c r="AE16" s="3">
        <v>0</v>
      </c>
      <c r="AF16" s="19"/>
      <c r="AG16" s="3" t="s">
        <v>239</v>
      </c>
      <c r="AH16" s="103"/>
      <c r="AI16" s="103" t="s">
        <v>143</v>
      </c>
      <c r="AJ16" s="19"/>
      <c r="AK16" s="3">
        <v>0</v>
      </c>
      <c r="AL16" s="19"/>
      <c r="AM16" s="3">
        <v>0</v>
      </c>
      <c r="AN16" s="3"/>
      <c r="AO16" s="3">
        <v>0</v>
      </c>
      <c r="AP16" s="3"/>
      <c r="AQ16" s="3">
        <v>0</v>
      </c>
      <c r="AR16" s="3"/>
      <c r="AS16" s="3">
        <v>0</v>
      </c>
      <c r="AT16" s="3"/>
      <c r="AU16" s="3">
        <f t="shared" si="0"/>
        <v>0</v>
      </c>
      <c r="AV16" s="3"/>
      <c r="AW16" s="3">
        <f t="shared" si="1"/>
        <v>5591879</v>
      </c>
    </row>
    <row r="17" spans="1:49" s="102" customFormat="1">
      <c r="A17" s="3" t="s">
        <v>348</v>
      </c>
      <c r="B17" s="103"/>
      <c r="C17" s="103" t="s">
        <v>144</v>
      </c>
      <c r="E17" s="103">
        <v>50815</v>
      </c>
      <c r="G17" s="3">
        <v>3677658</v>
      </c>
      <c r="H17" s="3"/>
      <c r="I17" s="3">
        <v>5916168</v>
      </c>
      <c r="J17" s="3"/>
      <c r="K17" s="3">
        <v>0</v>
      </c>
      <c r="L17" s="3"/>
      <c r="M17" s="3">
        <f>107300+53893+6402</f>
        <v>167595</v>
      </c>
      <c r="N17" s="3"/>
      <c r="O17" s="3">
        <v>0</v>
      </c>
      <c r="P17" s="3"/>
      <c r="Q17" s="3">
        <v>0</v>
      </c>
      <c r="R17" s="3"/>
      <c r="S17" s="3">
        <v>0</v>
      </c>
      <c r="T17" s="3"/>
      <c r="U17" s="3">
        <v>42047</v>
      </c>
      <c r="V17" s="3"/>
      <c r="W17" s="8">
        <f>SUM(G17:V17)</f>
        <v>9803468</v>
      </c>
      <c r="X17" s="3"/>
      <c r="Y17" s="3">
        <v>0</v>
      </c>
      <c r="Z17" s="3"/>
      <c r="AA17" s="3">
        <v>0</v>
      </c>
      <c r="AB17" s="3"/>
      <c r="AC17" s="3">
        <v>0</v>
      </c>
      <c r="AD17" s="3"/>
      <c r="AE17" s="3">
        <v>0</v>
      </c>
      <c r="AF17" s="3"/>
      <c r="AG17" s="3" t="s">
        <v>348</v>
      </c>
      <c r="AH17" s="103"/>
      <c r="AI17" s="103" t="s">
        <v>144</v>
      </c>
      <c r="AJ17" s="3"/>
      <c r="AK17" s="3">
        <v>0</v>
      </c>
      <c r="AL17" s="3"/>
      <c r="AM17" s="3">
        <v>0</v>
      </c>
      <c r="AN17" s="3"/>
      <c r="AO17" s="3">
        <v>0</v>
      </c>
      <c r="AP17" s="3"/>
      <c r="AQ17" s="3">
        <v>0</v>
      </c>
      <c r="AR17" s="3"/>
      <c r="AS17" s="3">
        <v>0</v>
      </c>
      <c r="AT17" s="3"/>
      <c r="AU17" s="3">
        <f t="shared" si="0"/>
        <v>0</v>
      </c>
      <c r="AV17" s="3"/>
      <c r="AW17" s="3">
        <f t="shared" si="1"/>
        <v>9803468</v>
      </c>
    </row>
    <row r="18" spans="1:49" s="102" customFormat="1">
      <c r="A18" s="3" t="s">
        <v>289</v>
      </c>
      <c r="B18" s="103"/>
      <c r="C18" s="103" t="s">
        <v>146</v>
      </c>
      <c r="E18" s="103">
        <v>51169</v>
      </c>
      <c r="G18" s="3">
        <v>5220318</v>
      </c>
      <c r="H18" s="3"/>
      <c r="I18" s="3">
        <v>2635132</v>
      </c>
      <c r="J18" s="3"/>
      <c r="K18" s="3">
        <v>11915</v>
      </c>
      <c r="L18" s="3"/>
      <c r="M18" s="3">
        <f>22681+51617+73590</f>
        <v>147888</v>
      </c>
      <c r="N18" s="3"/>
      <c r="O18" s="3">
        <v>500</v>
      </c>
      <c r="P18" s="3"/>
      <c r="Q18" s="3">
        <v>0</v>
      </c>
      <c r="R18" s="3"/>
      <c r="S18" s="3">
        <v>3200</v>
      </c>
      <c r="T18" s="3"/>
      <c r="U18" s="3">
        <v>44600</v>
      </c>
      <c r="V18" s="3"/>
      <c r="W18" s="8">
        <f t="shared" ref="W18:W65" si="2">SUM(G18:V18)</f>
        <v>8063553</v>
      </c>
      <c r="X18" s="3"/>
      <c r="Y18" s="3">
        <v>0</v>
      </c>
      <c r="Z18" s="3"/>
      <c r="AA18" s="3">
        <v>0</v>
      </c>
      <c r="AB18" s="3"/>
      <c r="AC18" s="3">
        <v>0</v>
      </c>
      <c r="AD18" s="3"/>
      <c r="AE18" s="3">
        <v>0</v>
      </c>
      <c r="AF18" s="3"/>
      <c r="AG18" s="3" t="s">
        <v>289</v>
      </c>
      <c r="AH18" s="103"/>
      <c r="AI18" s="103" t="s">
        <v>146</v>
      </c>
      <c r="AJ18" s="3"/>
      <c r="AK18" s="3">
        <v>0</v>
      </c>
      <c r="AL18" s="3"/>
      <c r="AM18" s="3">
        <v>0</v>
      </c>
      <c r="AN18" s="3"/>
      <c r="AO18" s="3">
        <v>0</v>
      </c>
      <c r="AP18" s="3"/>
      <c r="AQ18" s="3">
        <v>0</v>
      </c>
      <c r="AR18" s="3"/>
      <c r="AS18" s="3">
        <v>0</v>
      </c>
      <c r="AT18" s="3"/>
      <c r="AU18" s="3">
        <f t="shared" si="0"/>
        <v>0</v>
      </c>
      <c r="AV18" s="3"/>
      <c r="AW18" s="3">
        <f t="shared" si="1"/>
        <v>8063553</v>
      </c>
    </row>
    <row r="19" spans="1:49" s="102" customFormat="1">
      <c r="A19" s="3" t="s">
        <v>290</v>
      </c>
      <c r="B19" s="103"/>
      <c r="C19" s="103" t="s">
        <v>149</v>
      </c>
      <c r="E19" s="103">
        <v>50856</v>
      </c>
      <c r="G19" s="3">
        <v>1675428</v>
      </c>
      <c r="H19" s="3"/>
      <c r="I19" s="3">
        <v>4525844</v>
      </c>
      <c r="J19" s="3"/>
      <c r="K19" s="3">
        <v>6486</v>
      </c>
      <c r="L19" s="3"/>
      <c r="M19" s="3">
        <f>105877+12000+63201</f>
        <v>181078</v>
      </c>
      <c r="N19" s="3"/>
      <c r="O19" s="3">
        <v>5334</v>
      </c>
      <c r="P19" s="3"/>
      <c r="Q19" s="3">
        <v>16375</v>
      </c>
      <c r="R19" s="3"/>
      <c r="S19" s="3">
        <v>0</v>
      </c>
      <c r="T19" s="3"/>
      <c r="U19" s="3">
        <v>22204</v>
      </c>
      <c r="V19" s="3"/>
      <c r="W19" s="8">
        <f t="shared" si="2"/>
        <v>6432749</v>
      </c>
      <c r="X19" s="3"/>
      <c r="Y19" s="3">
        <v>0</v>
      </c>
      <c r="Z19" s="3"/>
      <c r="AA19" s="3">
        <v>0</v>
      </c>
      <c r="AB19" s="3"/>
      <c r="AC19" s="3">
        <v>0</v>
      </c>
      <c r="AD19" s="3"/>
      <c r="AE19" s="3">
        <v>0</v>
      </c>
      <c r="AF19" s="3"/>
      <c r="AG19" s="3" t="s">
        <v>290</v>
      </c>
      <c r="AH19" s="103"/>
      <c r="AI19" s="103" t="s">
        <v>149</v>
      </c>
      <c r="AJ19" s="3"/>
      <c r="AK19" s="3">
        <v>0</v>
      </c>
      <c r="AL19" s="3"/>
      <c r="AM19" s="3">
        <v>6755</v>
      </c>
      <c r="AN19" s="3"/>
      <c r="AO19" s="3">
        <v>0</v>
      </c>
      <c r="AP19" s="3"/>
      <c r="AQ19" s="3">
        <v>0</v>
      </c>
      <c r="AR19" s="3"/>
      <c r="AS19" s="3">
        <v>0</v>
      </c>
      <c r="AT19" s="3"/>
      <c r="AU19" s="3">
        <f t="shared" si="0"/>
        <v>6755</v>
      </c>
      <c r="AV19" s="3"/>
      <c r="AW19" s="3">
        <f t="shared" si="1"/>
        <v>6439504</v>
      </c>
    </row>
    <row r="20" spans="1:49" s="102" customFormat="1">
      <c r="A20" s="3" t="s">
        <v>220</v>
      </c>
      <c r="B20" s="103"/>
      <c r="C20" s="103" t="s">
        <v>198</v>
      </c>
      <c r="E20" s="103">
        <v>51656</v>
      </c>
      <c r="G20" s="3">
        <v>4310386</v>
      </c>
      <c r="H20" s="3"/>
      <c r="I20" s="3">
        <v>7164979</v>
      </c>
      <c r="J20" s="3"/>
      <c r="K20" s="3">
        <v>28000</v>
      </c>
      <c r="L20" s="3"/>
      <c r="M20" s="3">
        <v>65873</v>
      </c>
      <c r="N20" s="3"/>
      <c r="O20" s="3">
        <v>0</v>
      </c>
      <c r="P20" s="3"/>
      <c r="Q20" s="3">
        <v>0</v>
      </c>
      <c r="R20" s="3"/>
      <c r="S20" s="3">
        <v>1000</v>
      </c>
      <c r="T20" s="3"/>
      <c r="U20" s="3">
        <f>396748+74272</f>
        <v>471020</v>
      </c>
      <c r="V20" s="3"/>
      <c r="W20" s="8">
        <f t="shared" si="2"/>
        <v>12041258</v>
      </c>
      <c r="X20" s="3"/>
      <c r="Y20" s="3">
        <v>0</v>
      </c>
      <c r="Z20" s="3"/>
      <c r="AA20" s="3">
        <v>0</v>
      </c>
      <c r="AB20" s="3"/>
      <c r="AC20" s="3">
        <v>0</v>
      </c>
      <c r="AD20" s="3"/>
      <c r="AE20" s="3">
        <v>0</v>
      </c>
      <c r="AF20" s="3"/>
      <c r="AG20" s="3" t="s">
        <v>220</v>
      </c>
      <c r="AH20" s="103"/>
      <c r="AI20" s="103" t="s">
        <v>198</v>
      </c>
      <c r="AJ20" s="3"/>
      <c r="AK20" s="3">
        <v>0</v>
      </c>
      <c r="AL20" s="3"/>
      <c r="AM20" s="3">
        <v>0</v>
      </c>
      <c r="AN20" s="3"/>
      <c r="AO20" s="3">
        <v>0</v>
      </c>
      <c r="AP20" s="3"/>
      <c r="AQ20" s="3">
        <v>0</v>
      </c>
      <c r="AR20" s="3"/>
      <c r="AS20" s="3">
        <v>0</v>
      </c>
      <c r="AT20" s="3"/>
      <c r="AU20" s="3">
        <f t="shared" si="0"/>
        <v>0</v>
      </c>
      <c r="AV20" s="3"/>
      <c r="AW20" s="3">
        <f t="shared" si="1"/>
        <v>12041258</v>
      </c>
    </row>
    <row r="21" spans="1:49" s="102" customFormat="1">
      <c r="A21" s="3" t="s">
        <v>357</v>
      </c>
      <c r="B21" s="103"/>
      <c r="C21" s="103" t="s">
        <v>147</v>
      </c>
      <c r="E21" s="103">
        <v>50880</v>
      </c>
      <c r="G21" s="3">
        <v>14022133</v>
      </c>
      <c r="H21" s="3"/>
      <c r="I21" s="3">
        <v>24846411</v>
      </c>
      <c r="J21" s="3"/>
      <c r="K21" s="3">
        <v>0</v>
      </c>
      <c r="L21" s="3"/>
      <c r="M21" s="3">
        <v>633780</v>
      </c>
      <c r="N21" s="3"/>
      <c r="O21" s="3">
        <v>0</v>
      </c>
      <c r="P21" s="3"/>
      <c r="Q21" s="3">
        <v>0</v>
      </c>
      <c r="R21" s="3"/>
      <c r="S21" s="3">
        <v>0</v>
      </c>
      <c r="T21" s="3"/>
      <c r="U21" s="3">
        <f>210839-49890</f>
        <v>160949</v>
      </c>
      <c r="V21" s="3"/>
      <c r="W21" s="8">
        <f t="shared" si="2"/>
        <v>39663273</v>
      </c>
      <c r="X21" s="3"/>
      <c r="Y21" s="3">
        <v>1027625</v>
      </c>
      <c r="Z21" s="3"/>
      <c r="AA21" s="3">
        <v>0</v>
      </c>
      <c r="AB21" s="3"/>
      <c r="AC21" s="3">
        <v>0</v>
      </c>
      <c r="AD21" s="3"/>
      <c r="AE21" s="3">
        <v>0</v>
      </c>
      <c r="AF21" s="3"/>
      <c r="AG21" s="3" t="s">
        <v>357</v>
      </c>
      <c r="AH21" s="103"/>
      <c r="AI21" s="103" t="s">
        <v>147</v>
      </c>
      <c r="AJ21" s="3"/>
      <c r="AK21" s="3">
        <v>0</v>
      </c>
      <c r="AL21" s="3"/>
      <c r="AM21" s="3">
        <v>0</v>
      </c>
      <c r="AN21" s="3"/>
      <c r="AO21" s="3">
        <v>0</v>
      </c>
      <c r="AP21" s="3"/>
      <c r="AQ21" s="3">
        <v>0</v>
      </c>
      <c r="AR21" s="3"/>
      <c r="AS21" s="3">
        <v>0</v>
      </c>
      <c r="AT21" s="3"/>
      <c r="AU21" s="3">
        <f t="shared" si="0"/>
        <v>1027625</v>
      </c>
      <c r="AV21" s="3"/>
      <c r="AW21" s="3">
        <f t="shared" si="1"/>
        <v>40690898</v>
      </c>
    </row>
    <row r="22" spans="1:49" s="102" customFormat="1">
      <c r="A22" s="3" t="s">
        <v>273</v>
      </c>
      <c r="B22" s="103"/>
      <c r="C22" s="103" t="s">
        <v>173</v>
      </c>
      <c r="E22" s="103">
        <v>51201</v>
      </c>
      <c r="G22" s="3">
        <v>6666492</v>
      </c>
      <c r="H22" s="3"/>
      <c r="I22" s="3">
        <v>5405489</v>
      </c>
      <c r="J22" s="3"/>
      <c r="K22" s="3">
        <v>14338</v>
      </c>
      <c r="L22" s="3"/>
      <c r="M22" s="3">
        <f>198051+86190</f>
        <v>284241</v>
      </c>
      <c r="N22" s="3"/>
      <c r="O22" s="3">
        <v>22462</v>
      </c>
      <c r="P22" s="3"/>
      <c r="Q22" s="3">
        <v>0</v>
      </c>
      <c r="R22" s="3"/>
      <c r="S22" s="3">
        <v>3500</v>
      </c>
      <c r="T22" s="3"/>
      <c r="U22" s="3">
        <v>76275</v>
      </c>
      <c r="V22" s="3"/>
      <c r="W22" s="8">
        <f>SUM(G22:V22)</f>
        <v>12472797</v>
      </c>
      <c r="X22" s="3"/>
      <c r="Y22" s="3">
        <v>6472</v>
      </c>
      <c r="Z22" s="3"/>
      <c r="AA22" s="3">
        <v>0</v>
      </c>
      <c r="AB22" s="3"/>
      <c r="AC22" s="3">
        <v>0</v>
      </c>
      <c r="AD22" s="3"/>
      <c r="AE22" s="3">
        <v>0</v>
      </c>
      <c r="AF22" s="3"/>
      <c r="AG22" s="3" t="s">
        <v>273</v>
      </c>
      <c r="AH22" s="103"/>
      <c r="AI22" s="103" t="s">
        <v>173</v>
      </c>
      <c r="AJ22" s="3"/>
      <c r="AK22" s="3">
        <v>0</v>
      </c>
      <c r="AL22" s="3"/>
      <c r="AM22" s="3">
        <v>0</v>
      </c>
      <c r="AN22" s="3"/>
      <c r="AO22" s="3">
        <v>0</v>
      </c>
      <c r="AP22" s="3"/>
      <c r="AQ22" s="3">
        <v>0</v>
      </c>
      <c r="AR22" s="3"/>
      <c r="AS22" s="3">
        <v>0</v>
      </c>
      <c r="AT22" s="3"/>
      <c r="AU22" s="3">
        <f t="shared" si="0"/>
        <v>6472</v>
      </c>
      <c r="AV22" s="3"/>
      <c r="AW22" s="3">
        <f t="shared" si="1"/>
        <v>12479269</v>
      </c>
    </row>
    <row r="23" spans="1:49" s="92" customFormat="1" hidden="1">
      <c r="A23" s="88" t="s">
        <v>271</v>
      </c>
      <c r="B23" s="89"/>
      <c r="C23" s="89" t="s">
        <v>214</v>
      </c>
      <c r="E23" s="89">
        <v>63511</v>
      </c>
      <c r="G23" s="88">
        <v>0</v>
      </c>
      <c r="H23" s="88"/>
      <c r="I23" s="88">
        <v>0</v>
      </c>
      <c r="J23" s="88"/>
      <c r="K23" s="88">
        <v>0</v>
      </c>
      <c r="L23" s="88"/>
      <c r="M23" s="88">
        <v>0</v>
      </c>
      <c r="N23" s="88"/>
      <c r="O23" s="88">
        <v>0</v>
      </c>
      <c r="P23" s="88"/>
      <c r="Q23" s="88">
        <v>0</v>
      </c>
      <c r="R23" s="88"/>
      <c r="S23" s="88">
        <v>0</v>
      </c>
      <c r="T23" s="88"/>
      <c r="U23" s="88">
        <v>0</v>
      </c>
      <c r="V23" s="88"/>
      <c r="W23" s="95">
        <f t="shared" si="2"/>
        <v>0</v>
      </c>
      <c r="X23" s="88"/>
      <c r="Y23" s="88">
        <v>0</v>
      </c>
      <c r="Z23" s="88"/>
      <c r="AA23" s="88"/>
      <c r="AB23" s="88"/>
      <c r="AC23" s="88">
        <v>0</v>
      </c>
      <c r="AD23" s="88"/>
      <c r="AE23" s="88">
        <v>0</v>
      </c>
      <c r="AF23" s="88"/>
      <c r="AG23" s="88" t="s">
        <v>271</v>
      </c>
      <c r="AH23" s="89"/>
      <c r="AI23" s="89" t="s">
        <v>214</v>
      </c>
      <c r="AJ23" s="88"/>
      <c r="AK23" s="88"/>
      <c r="AL23" s="88"/>
      <c r="AM23" s="88">
        <v>0</v>
      </c>
      <c r="AN23" s="88"/>
      <c r="AO23" s="88">
        <v>0</v>
      </c>
      <c r="AP23" s="88"/>
      <c r="AQ23" s="88">
        <v>0</v>
      </c>
      <c r="AR23" s="88"/>
      <c r="AS23" s="88">
        <v>0</v>
      </c>
      <c r="AT23" s="88"/>
      <c r="AU23" s="88">
        <f t="shared" si="0"/>
        <v>0</v>
      </c>
      <c r="AV23" s="88"/>
      <c r="AW23" s="88">
        <f t="shared" si="1"/>
        <v>0</v>
      </c>
    </row>
    <row r="24" spans="1:49" s="102" customFormat="1">
      <c r="A24" s="3" t="s">
        <v>356</v>
      </c>
      <c r="B24" s="103"/>
      <c r="C24" s="103" t="s">
        <v>156</v>
      </c>
      <c r="E24" s="103">
        <v>50906</v>
      </c>
      <c r="G24" s="3">
        <v>1929039</v>
      </c>
      <c r="H24" s="3"/>
      <c r="I24" s="3">
        <f>3778493+29319</f>
        <v>3807812</v>
      </c>
      <c r="J24" s="3"/>
      <c r="K24" s="3">
        <v>2367</v>
      </c>
      <c r="L24" s="3"/>
      <c r="M24" s="3">
        <f>192393+46832+3256</f>
        <v>242481</v>
      </c>
      <c r="N24" s="3"/>
      <c r="O24" s="3">
        <v>924</v>
      </c>
      <c r="P24" s="3"/>
      <c r="Q24" s="3">
        <v>0</v>
      </c>
      <c r="R24" s="3"/>
      <c r="S24" s="3">
        <v>0</v>
      </c>
      <c r="T24" s="3"/>
      <c r="U24" s="3">
        <v>39867</v>
      </c>
      <c r="V24" s="3"/>
      <c r="W24" s="8">
        <f t="shared" si="2"/>
        <v>6022490</v>
      </c>
      <c r="X24" s="3"/>
      <c r="Y24" s="3">
        <v>0</v>
      </c>
      <c r="Z24" s="3"/>
      <c r="AA24" s="3">
        <v>0</v>
      </c>
      <c r="AB24" s="3"/>
      <c r="AC24" s="3">
        <v>0</v>
      </c>
      <c r="AD24" s="3"/>
      <c r="AE24" s="3">
        <v>0</v>
      </c>
      <c r="AF24" s="3"/>
      <c r="AG24" s="3" t="s">
        <v>356</v>
      </c>
      <c r="AH24" s="103"/>
      <c r="AI24" s="103" t="s">
        <v>156</v>
      </c>
      <c r="AJ24" s="3"/>
      <c r="AK24" s="3">
        <v>0</v>
      </c>
      <c r="AL24" s="3"/>
      <c r="AM24" s="3">
        <v>432</v>
      </c>
      <c r="AN24" s="3"/>
      <c r="AO24" s="3">
        <v>0</v>
      </c>
      <c r="AP24" s="3"/>
      <c r="AQ24" s="3">
        <v>0</v>
      </c>
      <c r="AR24" s="3"/>
      <c r="AS24" s="3">
        <v>0</v>
      </c>
      <c r="AT24" s="3"/>
      <c r="AU24" s="3">
        <f t="shared" si="0"/>
        <v>432</v>
      </c>
      <c r="AV24" s="3"/>
      <c r="AW24" s="3">
        <f t="shared" si="1"/>
        <v>6022922</v>
      </c>
    </row>
    <row r="25" spans="1:49" s="102" customFormat="1">
      <c r="A25" s="3" t="s">
        <v>243</v>
      </c>
      <c r="B25" s="103"/>
      <c r="C25" s="103" t="s">
        <v>207</v>
      </c>
      <c r="E25" s="103">
        <v>65227</v>
      </c>
      <c r="G25" s="3">
        <v>1294447</v>
      </c>
      <c r="H25" s="3"/>
      <c r="I25" s="3">
        <v>2114777</v>
      </c>
      <c r="J25" s="3"/>
      <c r="K25" s="3">
        <v>1683</v>
      </c>
      <c r="L25" s="3"/>
      <c r="M25" s="3">
        <f>10876+19871+25921</f>
        <v>56668</v>
      </c>
      <c r="N25" s="3"/>
      <c r="O25" s="3">
        <v>0</v>
      </c>
      <c r="P25" s="3"/>
      <c r="Q25" s="3">
        <v>0</v>
      </c>
      <c r="R25" s="3"/>
      <c r="S25" s="3">
        <v>1500</v>
      </c>
      <c r="T25" s="3"/>
      <c r="U25" s="3">
        <v>38905</v>
      </c>
      <c r="V25" s="3"/>
      <c r="W25" s="8">
        <f t="shared" si="2"/>
        <v>3507980</v>
      </c>
      <c r="X25" s="3"/>
      <c r="Y25" s="3">
        <v>0</v>
      </c>
      <c r="Z25" s="3"/>
      <c r="AA25" s="3">
        <v>0</v>
      </c>
      <c r="AB25" s="3"/>
      <c r="AC25" s="3">
        <v>0</v>
      </c>
      <c r="AD25" s="3"/>
      <c r="AE25" s="3">
        <v>0</v>
      </c>
      <c r="AF25" s="3"/>
      <c r="AG25" s="3" t="s">
        <v>243</v>
      </c>
      <c r="AH25" s="103"/>
      <c r="AI25" s="103" t="s">
        <v>207</v>
      </c>
      <c r="AJ25" s="3"/>
      <c r="AK25" s="3">
        <v>0</v>
      </c>
      <c r="AL25" s="3"/>
      <c r="AM25" s="3">
        <v>0</v>
      </c>
      <c r="AN25" s="3"/>
      <c r="AO25" s="3">
        <v>0</v>
      </c>
      <c r="AP25" s="3"/>
      <c r="AQ25" s="3">
        <v>0</v>
      </c>
      <c r="AR25" s="3"/>
      <c r="AS25" s="3">
        <v>0</v>
      </c>
      <c r="AT25" s="3"/>
      <c r="AU25" s="3">
        <f t="shared" si="0"/>
        <v>0</v>
      </c>
      <c r="AV25" s="3"/>
      <c r="AW25" s="3">
        <f t="shared" si="1"/>
        <v>3507980</v>
      </c>
    </row>
    <row r="26" spans="1:49" s="102" customFormat="1">
      <c r="A26" s="3" t="s">
        <v>241</v>
      </c>
      <c r="B26" s="103"/>
      <c r="C26" s="103" t="s">
        <v>157</v>
      </c>
      <c r="E26" s="103">
        <v>50922</v>
      </c>
      <c r="G26" s="3">
        <v>9906677</v>
      </c>
      <c r="H26" s="3"/>
      <c r="I26" s="3">
        <v>3432150</v>
      </c>
      <c r="J26" s="3"/>
      <c r="K26" s="3">
        <f>37991-36172</f>
        <v>1819</v>
      </c>
      <c r="L26" s="3"/>
      <c r="M26" s="3">
        <f>1100+15676+97628+52322</f>
        <v>166726</v>
      </c>
      <c r="N26" s="3"/>
      <c r="O26" s="3">
        <v>0</v>
      </c>
      <c r="P26" s="3"/>
      <c r="Q26" s="3">
        <v>13</v>
      </c>
      <c r="R26" s="3"/>
      <c r="S26" s="3">
        <v>9502</v>
      </c>
      <c r="T26" s="3"/>
      <c r="U26" s="3">
        <f>21476+116062</f>
        <v>137538</v>
      </c>
      <c r="V26" s="3"/>
      <c r="W26" s="8">
        <f t="shared" si="2"/>
        <v>13654425</v>
      </c>
      <c r="X26" s="3"/>
      <c r="Y26" s="3">
        <v>0</v>
      </c>
      <c r="Z26" s="3"/>
      <c r="AA26" s="3">
        <v>0</v>
      </c>
      <c r="AB26" s="3"/>
      <c r="AC26" s="3">
        <v>0</v>
      </c>
      <c r="AD26" s="3"/>
      <c r="AE26" s="3">
        <v>0</v>
      </c>
      <c r="AF26" s="3"/>
      <c r="AG26" s="3" t="s">
        <v>241</v>
      </c>
      <c r="AH26" s="103"/>
      <c r="AI26" s="103" t="s">
        <v>157</v>
      </c>
      <c r="AJ26" s="3"/>
      <c r="AK26" s="3">
        <v>0</v>
      </c>
      <c r="AL26" s="3"/>
      <c r="AM26" s="3">
        <v>0</v>
      </c>
      <c r="AN26" s="3"/>
      <c r="AO26" s="3">
        <v>0</v>
      </c>
      <c r="AP26" s="3"/>
      <c r="AQ26" s="3">
        <v>0</v>
      </c>
      <c r="AR26" s="3"/>
      <c r="AS26" s="3">
        <v>0</v>
      </c>
      <c r="AT26" s="3"/>
      <c r="AU26" s="3">
        <f t="shared" si="0"/>
        <v>0</v>
      </c>
      <c r="AV26" s="3"/>
      <c r="AW26" s="3">
        <f t="shared" si="1"/>
        <v>13654425</v>
      </c>
    </row>
    <row r="27" spans="1:49" s="102" customFormat="1">
      <c r="A27" s="3" t="s">
        <v>240</v>
      </c>
      <c r="B27" s="103"/>
      <c r="C27" s="103" t="s">
        <v>159</v>
      </c>
      <c r="E27" s="103">
        <v>50989</v>
      </c>
      <c r="G27" s="3">
        <v>9924206</v>
      </c>
      <c r="H27" s="3"/>
      <c r="I27" s="3">
        <f>3612845+33757</f>
        <v>3646602</v>
      </c>
      <c r="J27" s="3"/>
      <c r="K27" s="3">
        <v>0</v>
      </c>
      <c r="L27" s="3"/>
      <c r="M27" s="3">
        <f>1347464+65944+12716</f>
        <v>1426124</v>
      </c>
      <c r="N27" s="3"/>
      <c r="O27" s="3">
        <v>1657</v>
      </c>
      <c r="P27" s="3"/>
      <c r="Q27" s="3">
        <v>9029</v>
      </c>
      <c r="R27" s="3"/>
      <c r="S27" s="3">
        <v>481</v>
      </c>
      <c r="T27" s="3"/>
      <c r="U27" s="3">
        <f>131570+46287</f>
        <v>177857</v>
      </c>
      <c r="V27" s="3"/>
      <c r="W27" s="8">
        <f t="shared" si="2"/>
        <v>15185956</v>
      </c>
      <c r="X27" s="3"/>
      <c r="Y27" s="3">
        <v>0</v>
      </c>
      <c r="Z27" s="3"/>
      <c r="AA27" s="3">
        <v>0</v>
      </c>
      <c r="AB27" s="3"/>
      <c r="AC27" s="3">
        <v>0</v>
      </c>
      <c r="AD27" s="3"/>
      <c r="AE27" s="3">
        <v>0</v>
      </c>
      <c r="AF27" s="3"/>
      <c r="AG27" s="3" t="s">
        <v>240</v>
      </c>
      <c r="AH27" s="103"/>
      <c r="AI27" s="103" t="s">
        <v>159</v>
      </c>
      <c r="AJ27" s="3"/>
      <c r="AK27" s="3">
        <v>0</v>
      </c>
      <c r="AL27" s="3"/>
      <c r="AM27" s="3">
        <v>0</v>
      </c>
      <c r="AN27" s="3"/>
      <c r="AO27" s="3">
        <v>0</v>
      </c>
      <c r="AP27" s="3"/>
      <c r="AQ27" s="3">
        <v>0</v>
      </c>
      <c r="AR27" s="3"/>
      <c r="AS27" s="3">
        <v>0</v>
      </c>
      <c r="AT27" s="3"/>
      <c r="AU27" s="3">
        <f t="shared" si="0"/>
        <v>0</v>
      </c>
      <c r="AV27" s="3"/>
      <c r="AW27" s="3">
        <f t="shared" si="1"/>
        <v>15185956</v>
      </c>
    </row>
    <row r="28" spans="1:49" s="102" customFormat="1">
      <c r="A28" s="3" t="s">
        <v>358</v>
      </c>
      <c r="B28" s="103"/>
      <c r="C28" s="103" t="s">
        <v>162</v>
      </c>
      <c r="E28" s="103">
        <v>51003</v>
      </c>
      <c r="G28" s="3">
        <v>12380112</v>
      </c>
      <c r="H28" s="3"/>
      <c r="I28" s="3">
        <v>6251167</v>
      </c>
      <c r="J28" s="3"/>
      <c r="K28" s="3">
        <v>63348</v>
      </c>
      <c r="L28" s="3"/>
      <c r="M28" s="3">
        <f>352274+167561+11393</f>
        <v>531228</v>
      </c>
      <c r="N28" s="3"/>
      <c r="O28" s="3">
        <v>0</v>
      </c>
      <c r="P28" s="3"/>
      <c r="Q28" s="3">
        <v>0</v>
      </c>
      <c r="R28" s="3"/>
      <c r="S28" s="3">
        <v>19162</v>
      </c>
      <c r="T28" s="3"/>
      <c r="U28" s="3">
        <v>101507</v>
      </c>
      <c r="V28" s="3"/>
      <c r="W28" s="8">
        <f t="shared" si="2"/>
        <v>19346524</v>
      </c>
      <c r="X28" s="3"/>
      <c r="Y28" s="3">
        <v>0</v>
      </c>
      <c r="Z28" s="3"/>
      <c r="AA28" s="3">
        <v>0</v>
      </c>
      <c r="AB28" s="3"/>
      <c r="AC28" s="3">
        <v>0</v>
      </c>
      <c r="AD28" s="3"/>
      <c r="AE28" s="3">
        <v>0</v>
      </c>
      <c r="AF28" s="3"/>
      <c r="AG28" s="3" t="s">
        <v>358</v>
      </c>
      <c r="AH28" s="103"/>
      <c r="AI28" s="103" t="s">
        <v>162</v>
      </c>
      <c r="AJ28" s="3"/>
      <c r="AK28" s="3">
        <v>0</v>
      </c>
      <c r="AL28" s="3"/>
      <c r="AM28" s="3">
        <v>0</v>
      </c>
      <c r="AN28" s="3"/>
      <c r="AO28" s="3">
        <v>0</v>
      </c>
      <c r="AP28" s="3"/>
      <c r="AQ28" s="3">
        <v>0</v>
      </c>
      <c r="AR28" s="3"/>
      <c r="AS28" s="3">
        <v>0</v>
      </c>
      <c r="AT28" s="3"/>
      <c r="AU28" s="3">
        <f t="shared" si="0"/>
        <v>0</v>
      </c>
      <c r="AV28" s="3"/>
      <c r="AW28" s="3">
        <f t="shared" si="1"/>
        <v>19346524</v>
      </c>
    </row>
    <row r="29" spans="1:49" s="102" customFormat="1">
      <c r="A29" s="3" t="s">
        <v>242</v>
      </c>
      <c r="B29" s="103"/>
      <c r="C29" s="103" t="s">
        <v>160</v>
      </c>
      <c r="E29" s="103">
        <v>51029</v>
      </c>
      <c r="G29" s="3">
        <v>7391615</v>
      </c>
      <c r="H29" s="3"/>
      <c r="I29" s="3">
        <f>38676+5945030+80203</f>
        <v>6063909</v>
      </c>
      <c r="J29" s="3"/>
      <c r="K29" s="3">
        <v>12271</v>
      </c>
      <c r="L29" s="3"/>
      <c r="M29" s="3">
        <f>4370+85091+5297</f>
        <v>94758</v>
      </c>
      <c r="N29" s="3"/>
      <c r="O29" s="3">
        <v>14497</v>
      </c>
      <c r="P29" s="3"/>
      <c r="Q29" s="3">
        <v>0</v>
      </c>
      <c r="R29" s="3"/>
      <c r="S29" s="3">
        <v>11923</v>
      </c>
      <c r="T29" s="3"/>
      <c r="U29" s="3">
        <f>140357+95791</f>
        <v>236148</v>
      </c>
      <c r="V29" s="3"/>
      <c r="W29" s="8">
        <f t="shared" si="2"/>
        <v>13825121</v>
      </c>
      <c r="X29" s="3"/>
      <c r="Y29" s="3">
        <v>0</v>
      </c>
      <c r="Z29" s="3"/>
      <c r="AA29" s="3">
        <v>0</v>
      </c>
      <c r="AB29" s="3"/>
      <c r="AC29" s="3">
        <v>0</v>
      </c>
      <c r="AD29" s="3"/>
      <c r="AE29" s="3">
        <v>0</v>
      </c>
      <c r="AF29" s="3"/>
      <c r="AG29" s="3" t="s">
        <v>242</v>
      </c>
      <c r="AH29" s="103"/>
      <c r="AI29" s="103" t="s">
        <v>160</v>
      </c>
      <c r="AJ29" s="3"/>
      <c r="AK29" s="3">
        <v>0</v>
      </c>
      <c r="AL29" s="3"/>
      <c r="AM29" s="3">
        <v>0</v>
      </c>
      <c r="AN29" s="3"/>
      <c r="AO29" s="3">
        <v>0</v>
      </c>
      <c r="AP29" s="3"/>
      <c r="AQ29" s="3">
        <v>0</v>
      </c>
      <c r="AR29" s="3"/>
      <c r="AS29" s="3">
        <v>0</v>
      </c>
      <c r="AT29" s="3"/>
      <c r="AU29" s="3">
        <f t="shared" si="0"/>
        <v>0</v>
      </c>
      <c r="AV29" s="3"/>
      <c r="AW29" s="3">
        <f t="shared" si="1"/>
        <v>13825121</v>
      </c>
    </row>
    <row r="30" spans="1:49" s="102" customFormat="1">
      <c r="A30" s="3" t="s">
        <v>244</v>
      </c>
      <c r="B30" s="103"/>
      <c r="C30" s="103" t="s">
        <v>209</v>
      </c>
      <c r="E30" s="103">
        <v>50963</v>
      </c>
      <c r="G30" s="3">
        <v>5329994</v>
      </c>
      <c r="H30" s="3"/>
      <c r="I30" s="3">
        <v>8475098</v>
      </c>
      <c r="J30" s="3"/>
      <c r="K30" s="3">
        <f>30986-117</f>
        <v>30869</v>
      </c>
      <c r="L30" s="3"/>
      <c r="M30" s="3">
        <f>506062+9216</f>
        <v>515278</v>
      </c>
      <c r="N30" s="3"/>
      <c r="O30" s="3">
        <v>0</v>
      </c>
      <c r="P30" s="3"/>
      <c r="Q30" s="3">
        <v>0</v>
      </c>
      <c r="R30" s="3"/>
      <c r="S30" s="3">
        <v>21529</v>
      </c>
      <c r="T30" s="3"/>
      <c r="U30" s="3">
        <f>49159+36073</f>
        <v>85232</v>
      </c>
      <c r="V30" s="3"/>
      <c r="W30" s="8">
        <f t="shared" si="2"/>
        <v>14458000</v>
      </c>
      <c r="X30" s="3"/>
      <c r="Y30" s="3">
        <v>0</v>
      </c>
      <c r="Z30" s="3"/>
      <c r="AA30" s="3">
        <v>0</v>
      </c>
      <c r="AB30" s="3"/>
      <c r="AC30" s="3">
        <v>0</v>
      </c>
      <c r="AD30" s="3"/>
      <c r="AE30" s="3">
        <v>0</v>
      </c>
      <c r="AF30" s="3"/>
      <c r="AG30" s="3" t="s">
        <v>244</v>
      </c>
      <c r="AH30" s="103"/>
      <c r="AI30" s="103" t="s">
        <v>209</v>
      </c>
      <c r="AJ30" s="3"/>
      <c r="AK30" s="3">
        <v>0</v>
      </c>
      <c r="AL30" s="3"/>
      <c r="AM30" s="3">
        <v>0</v>
      </c>
      <c r="AN30" s="3"/>
      <c r="AO30" s="3">
        <v>0</v>
      </c>
      <c r="AP30" s="3"/>
      <c r="AQ30" s="3">
        <v>0</v>
      </c>
      <c r="AR30" s="3"/>
      <c r="AS30" s="3">
        <v>0</v>
      </c>
      <c r="AT30" s="3"/>
      <c r="AU30" s="3">
        <f t="shared" si="0"/>
        <v>0</v>
      </c>
      <c r="AV30" s="3"/>
      <c r="AW30" s="3">
        <f t="shared" si="1"/>
        <v>14458000</v>
      </c>
    </row>
    <row r="31" spans="1:49" s="102" customFormat="1">
      <c r="A31" s="3" t="s">
        <v>208</v>
      </c>
      <c r="B31" s="103"/>
      <c r="C31" s="103" t="s">
        <v>165</v>
      </c>
      <c r="E31" s="103">
        <v>62067</v>
      </c>
      <c r="G31" s="3">
        <v>2531399</v>
      </c>
      <c r="H31" s="3"/>
      <c r="I31" s="3">
        <v>4953379</v>
      </c>
      <c r="J31" s="3"/>
      <c r="K31" s="3">
        <v>152253</v>
      </c>
      <c r="L31" s="3"/>
      <c r="M31" s="3">
        <v>26919</v>
      </c>
      <c r="N31" s="3"/>
      <c r="O31" s="3">
        <v>743</v>
      </c>
      <c r="P31" s="3"/>
      <c r="Q31" s="3">
        <v>0</v>
      </c>
      <c r="R31" s="3"/>
      <c r="S31" s="3">
        <v>58000</v>
      </c>
      <c r="T31" s="3"/>
      <c r="U31" s="3">
        <v>40720</v>
      </c>
      <c r="V31" s="3"/>
      <c r="W31" s="8">
        <f t="shared" si="2"/>
        <v>7763413</v>
      </c>
      <c r="X31" s="3"/>
      <c r="Y31" s="3">
        <v>0</v>
      </c>
      <c r="Z31" s="3"/>
      <c r="AA31" s="3">
        <v>0</v>
      </c>
      <c r="AB31" s="3"/>
      <c r="AC31" s="3">
        <v>0</v>
      </c>
      <c r="AD31" s="3"/>
      <c r="AE31" s="3">
        <v>0</v>
      </c>
      <c r="AF31" s="3"/>
      <c r="AG31" s="3" t="s">
        <v>208</v>
      </c>
      <c r="AH31" s="103"/>
      <c r="AI31" s="103" t="s">
        <v>165</v>
      </c>
      <c r="AJ31" s="3"/>
      <c r="AK31" s="3">
        <v>0</v>
      </c>
      <c r="AL31" s="3"/>
      <c r="AM31" s="3">
        <v>6225</v>
      </c>
      <c r="AN31" s="3"/>
      <c r="AO31" s="3">
        <v>0</v>
      </c>
      <c r="AP31" s="3"/>
      <c r="AQ31" s="3">
        <v>39167</v>
      </c>
      <c r="AR31" s="3"/>
      <c r="AS31" s="3">
        <v>0</v>
      </c>
      <c r="AT31" s="3"/>
      <c r="AU31" s="3">
        <f t="shared" si="0"/>
        <v>45392</v>
      </c>
      <c r="AV31" s="3"/>
      <c r="AW31" s="3">
        <f t="shared" si="1"/>
        <v>7808805</v>
      </c>
    </row>
    <row r="32" spans="1:49" s="102" customFormat="1">
      <c r="A32" s="3" t="s">
        <v>359</v>
      </c>
      <c r="B32" s="103"/>
      <c r="C32" s="103" t="s">
        <v>168</v>
      </c>
      <c r="E32" s="103">
        <v>51060</v>
      </c>
      <c r="G32" s="3">
        <v>35577852</v>
      </c>
      <c r="H32" s="3"/>
      <c r="I32" s="3">
        <v>20611783</v>
      </c>
      <c r="J32" s="3"/>
      <c r="K32" s="3">
        <v>0</v>
      </c>
      <c r="L32" s="3"/>
      <c r="M32" s="3">
        <f>238911+218457</f>
        <v>457368</v>
      </c>
      <c r="N32" s="3"/>
      <c r="O32" s="3">
        <v>70689</v>
      </c>
      <c r="P32" s="3"/>
      <c r="Q32" s="3">
        <v>950775</v>
      </c>
      <c r="R32" s="3"/>
      <c r="S32" s="3">
        <v>0</v>
      </c>
      <c r="T32" s="3"/>
      <c r="U32" s="3">
        <v>683594</v>
      </c>
      <c r="V32" s="3"/>
      <c r="W32" s="8">
        <f t="shared" si="2"/>
        <v>58352061</v>
      </c>
      <c r="X32" s="3"/>
      <c r="Y32" s="3">
        <v>0</v>
      </c>
      <c r="Z32" s="3"/>
      <c r="AA32" s="3">
        <v>0</v>
      </c>
      <c r="AB32" s="3"/>
      <c r="AC32" s="3">
        <v>0</v>
      </c>
      <c r="AD32" s="3"/>
      <c r="AE32" s="3">
        <v>0</v>
      </c>
      <c r="AF32" s="3"/>
      <c r="AG32" s="3" t="s">
        <v>359</v>
      </c>
      <c r="AH32" s="103"/>
      <c r="AI32" s="103" t="s">
        <v>168</v>
      </c>
      <c r="AJ32" s="3"/>
      <c r="AK32" s="3">
        <v>0</v>
      </c>
      <c r="AL32" s="3"/>
      <c r="AM32" s="3">
        <v>14416</v>
      </c>
      <c r="AN32" s="3"/>
      <c r="AO32" s="3">
        <v>0</v>
      </c>
      <c r="AP32" s="3"/>
      <c r="AQ32" s="3">
        <v>0</v>
      </c>
      <c r="AR32" s="3"/>
      <c r="AS32" s="3">
        <v>0</v>
      </c>
      <c r="AT32" s="3"/>
      <c r="AU32" s="3">
        <f t="shared" si="0"/>
        <v>14416</v>
      </c>
      <c r="AV32" s="3"/>
      <c r="AW32" s="3">
        <f t="shared" si="1"/>
        <v>58366477</v>
      </c>
    </row>
    <row r="33" spans="1:49" s="102" customFormat="1">
      <c r="A33" s="3" t="s">
        <v>315</v>
      </c>
      <c r="B33" s="103"/>
      <c r="C33" s="103" t="s">
        <v>167</v>
      </c>
      <c r="E33" s="103">
        <v>51045</v>
      </c>
      <c r="G33" s="3">
        <v>7208180</v>
      </c>
      <c r="H33" s="3"/>
      <c r="I33" s="3">
        <v>5266551</v>
      </c>
      <c r="J33" s="3"/>
      <c r="K33" s="3">
        <v>11135</v>
      </c>
      <c r="L33" s="3"/>
      <c r="M33" s="3">
        <f>54962+46858</f>
        <v>101820</v>
      </c>
      <c r="N33" s="3"/>
      <c r="O33" s="3">
        <v>0</v>
      </c>
      <c r="P33" s="3"/>
      <c r="Q33" s="3">
        <v>0</v>
      </c>
      <c r="R33" s="3"/>
      <c r="S33" s="3">
        <v>0</v>
      </c>
      <c r="T33" s="3"/>
      <c r="U33" s="3">
        <v>160231</v>
      </c>
      <c r="V33" s="3"/>
      <c r="W33" s="8">
        <f>SUM(G33:V33)</f>
        <v>12747917</v>
      </c>
      <c r="X33" s="3"/>
      <c r="Y33" s="3">
        <v>0</v>
      </c>
      <c r="Z33" s="3"/>
      <c r="AA33" s="3">
        <v>0</v>
      </c>
      <c r="AB33" s="3"/>
      <c r="AC33" s="3">
        <v>0</v>
      </c>
      <c r="AD33" s="3"/>
      <c r="AE33" s="3">
        <v>0</v>
      </c>
      <c r="AF33" s="3"/>
      <c r="AG33" s="3" t="s">
        <v>315</v>
      </c>
      <c r="AH33" s="103"/>
      <c r="AI33" s="103" t="s">
        <v>167</v>
      </c>
      <c r="AJ33" s="3"/>
      <c r="AK33" s="3">
        <v>0</v>
      </c>
      <c r="AL33" s="3"/>
      <c r="AM33" s="3">
        <v>0</v>
      </c>
      <c r="AN33" s="3"/>
      <c r="AO33" s="3">
        <v>0</v>
      </c>
      <c r="AP33" s="3"/>
      <c r="AQ33" s="3">
        <v>0</v>
      </c>
      <c r="AR33" s="3"/>
      <c r="AS33" s="3">
        <v>0</v>
      </c>
      <c r="AT33" s="3"/>
      <c r="AU33" s="3">
        <f t="shared" si="0"/>
        <v>0</v>
      </c>
      <c r="AV33" s="3"/>
      <c r="AW33" s="3">
        <f t="shared" si="1"/>
        <v>12747917</v>
      </c>
    </row>
    <row r="34" spans="1:49" s="102" customFormat="1">
      <c r="A34" s="3" t="s">
        <v>210</v>
      </c>
      <c r="B34" s="103"/>
      <c r="C34" s="103" t="s">
        <v>170</v>
      </c>
      <c r="E34" s="103">
        <v>51128</v>
      </c>
      <c r="G34" s="3">
        <v>1559886</v>
      </c>
      <c r="H34" s="3"/>
      <c r="I34" s="3">
        <v>2771428</v>
      </c>
      <c r="J34" s="3"/>
      <c r="K34" s="3">
        <v>21</v>
      </c>
      <c r="L34" s="3"/>
      <c r="M34" s="3">
        <v>158989</v>
      </c>
      <c r="N34" s="3"/>
      <c r="O34" s="3">
        <v>14673</v>
      </c>
      <c r="P34" s="3"/>
      <c r="Q34" s="3">
        <v>0</v>
      </c>
      <c r="R34" s="3"/>
      <c r="S34" s="3">
        <v>0</v>
      </c>
      <c r="T34" s="3"/>
      <c r="U34" s="3">
        <v>7654</v>
      </c>
      <c r="V34" s="3"/>
      <c r="W34" s="8">
        <f t="shared" si="2"/>
        <v>4512651</v>
      </c>
      <c r="X34" s="3"/>
      <c r="Y34" s="3">
        <v>0</v>
      </c>
      <c r="Z34" s="3"/>
      <c r="AA34" s="3"/>
      <c r="AB34" s="3"/>
      <c r="AC34" s="3">
        <v>0</v>
      </c>
      <c r="AD34" s="3"/>
      <c r="AE34" s="3">
        <v>0</v>
      </c>
      <c r="AF34" s="3"/>
      <c r="AG34" s="3" t="s">
        <v>210</v>
      </c>
      <c r="AH34" s="103"/>
      <c r="AI34" s="103" t="s">
        <v>170</v>
      </c>
      <c r="AJ34" s="3"/>
      <c r="AK34" s="3">
        <v>0</v>
      </c>
      <c r="AL34" s="3"/>
      <c r="AM34" s="3">
        <v>0</v>
      </c>
      <c r="AN34" s="3"/>
      <c r="AO34" s="3">
        <v>0</v>
      </c>
      <c r="AP34" s="3"/>
      <c r="AQ34" s="3">
        <v>0</v>
      </c>
      <c r="AR34" s="3"/>
      <c r="AS34" s="3">
        <v>0</v>
      </c>
      <c r="AT34" s="3"/>
      <c r="AU34" s="3">
        <f t="shared" si="0"/>
        <v>0</v>
      </c>
      <c r="AV34" s="3"/>
      <c r="AW34" s="3">
        <f t="shared" si="1"/>
        <v>4512651</v>
      </c>
    </row>
    <row r="35" spans="1:49" s="102" customFormat="1">
      <c r="A35" s="3" t="s">
        <v>245</v>
      </c>
      <c r="B35" s="103"/>
      <c r="C35" s="103" t="s">
        <v>171</v>
      </c>
      <c r="E35" s="103">
        <v>51144</v>
      </c>
      <c r="G35" s="3">
        <v>3114022</v>
      </c>
      <c r="H35" s="3"/>
      <c r="I35" s="3">
        <v>5646938</v>
      </c>
      <c r="J35" s="3"/>
      <c r="K35" s="3">
        <v>21386</v>
      </c>
      <c r="L35" s="3"/>
      <c r="M35" s="3">
        <v>156306</v>
      </c>
      <c r="N35" s="3"/>
      <c r="O35" s="3">
        <v>0</v>
      </c>
      <c r="P35" s="3"/>
      <c r="Q35" s="3">
        <v>54907</v>
      </c>
      <c r="R35" s="3"/>
      <c r="S35" s="3">
        <v>925</v>
      </c>
      <c r="T35" s="3"/>
      <c r="U35" s="3">
        <v>27945</v>
      </c>
      <c r="V35" s="3"/>
      <c r="W35" s="8">
        <v>9022429</v>
      </c>
      <c r="X35" s="3"/>
      <c r="Y35" s="3">
        <v>0</v>
      </c>
      <c r="Z35" s="3"/>
      <c r="AA35" s="3"/>
      <c r="AB35" s="3"/>
      <c r="AC35" s="3">
        <v>0</v>
      </c>
      <c r="AD35" s="3"/>
      <c r="AE35" s="3">
        <v>0</v>
      </c>
      <c r="AF35" s="3"/>
      <c r="AG35" s="3" t="s">
        <v>245</v>
      </c>
      <c r="AH35" s="103"/>
      <c r="AI35" s="103" t="s">
        <v>171</v>
      </c>
      <c r="AJ35" s="3"/>
      <c r="AK35" s="3">
        <v>0</v>
      </c>
      <c r="AL35" s="3"/>
      <c r="AM35" s="3">
        <v>0</v>
      </c>
      <c r="AN35" s="3"/>
      <c r="AO35" s="3">
        <v>0</v>
      </c>
      <c r="AP35" s="3"/>
      <c r="AQ35" s="3">
        <v>0</v>
      </c>
      <c r="AR35" s="3"/>
      <c r="AS35" s="3">
        <v>0</v>
      </c>
      <c r="AT35" s="3"/>
      <c r="AU35" s="3">
        <v>0</v>
      </c>
      <c r="AV35" s="3"/>
      <c r="AW35" s="3">
        <v>9022429</v>
      </c>
    </row>
    <row r="36" spans="1:49" s="102" customFormat="1">
      <c r="A36" s="3" t="s">
        <v>211</v>
      </c>
      <c r="B36" s="103"/>
      <c r="C36" s="103" t="s">
        <v>172</v>
      </c>
      <c r="E36" s="103">
        <v>51185</v>
      </c>
      <c r="G36" s="3">
        <v>1632071</v>
      </c>
      <c r="H36" s="3"/>
      <c r="I36" s="3">
        <v>5239249</v>
      </c>
      <c r="J36" s="3"/>
      <c r="K36" s="3">
        <v>0</v>
      </c>
      <c r="L36" s="3"/>
      <c r="M36" s="3">
        <f>9198+179241</f>
        <v>188439</v>
      </c>
      <c r="N36" s="3"/>
      <c r="O36" s="3">
        <v>0</v>
      </c>
      <c r="P36" s="3"/>
      <c r="Q36" s="3">
        <v>0</v>
      </c>
      <c r="R36" s="3"/>
      <c r="S36" s="3">
        <v>0</v>
      </c>
      <c r="T36" s="3"/>
      <c r="U36" s="3">
        <v>149241</v>
      </c>
      <c r="V36" s="3"/>
      <c r="W36" s="8">
        <f t="shared" si="2"/>
        <v>7209000</v>
      </c>
      <c r="X36" s="3"/>
      <c r="Y36" s="3">
        <v>0</v>
      </c>
      <c r="Z36" s="3"/>
      <c r="AA36" s="3"/>
      <c r="AB36" s="3"/>
      <c r="AC36" s="3">
        <v>0</v>
      </c>
      <c r="AD36" s="3"/>
      <c r="AE36" s="3">
        <v>0</v>
      </c>
      <c r="AF36" s="3"/>
      <c r="AG36" s="3" t="s">
        <v>211</v>
      </c>
      <c r="AH36" s="103"/>
      <c r="AI36" s="103" t="s">
        <v>172</v>
      </c>
      <c r="AJ36" s="3"/>
      <c r="AK36" s="3">
        <v>0</v>
      </c>
      <c r="AL36" s="3"/>
      <c r="AM36" s="3">
        <v>0</v>
      </c>
      <c r="AN36" s="3"/>
      <c r="AO36" s="3">
        <v>0</v>
      </c>
      <c r="AP36" s="3"/>
      <c r="AQ36" s="3">
        <v>0</v>
      </c>
      <c r="AR36" s="3"/>
      <c r="AS36" s="3">
        <v>0</v>
      </c>
      <c r="AT36" s="3"/>
      <c r="AU36" s="3">
        <f t="shared" ref="AU36:AU65" si="3">SUM(Y36:AS36)</f>
        <v>0</v>
      </c>
      <c r="AV36" s="3"/>
      <c r="AW36" s="3">
        <f t="shared" ref="AW36:AW65" si="4">+AU36+W36</f>
        <v>7209000</v>
      </c>
    </row>
    <row r="37" spans="1:49" s="92" customFormat="1" hidden="1">
      <c r="A37" s="88" t="s">
        <v>284</v>
      </c>
      <c r="B37" s="89"/>
      <c r="C37" s="89" t="s">
        <v>173</v>
      </c>
      <c r="E37" s="89">
        <v>47977</v>
      </c>
      <c r="G37" s="88">
        <v>0</v>
      </c>
      <c r="H37" s="88"/>
      <c r="I37" s="88">
        <v>0</v>
      </c>
      <c r="J37" s="88"/>
      <c r="K37" s="88">
        <v>0</v>
      </c>
      <c r="L37" s="88"/>
      <c r="M37" s="88">
        <v>0</v>
      </c>
      <c r="N37" s="88"/>
      <c r="O37" s="88">
        <v>0</v>
      </c>
      <c r="P37" s="88"/>
      <c r="Q37" s="88">
        <v>0</v>
      </c>
      <c r="R37" s="88"/>
      <c r="S37" s="88">
        <v>0</v>
      </c>
      <c r="T37" s="88"/>
      <c r="U37" s="88">
        <v>0</v>
      </c>
      <c r="V37" s="88"/>
      <c r="W37" s="95">
        <f t="shared" si="2"/>
        <v>0</v>
      </c>
      <c r="X37" s="88"/>
      <c r="Y37" s="88">
        <v>0</v>
      </c>
      <c r="Z37" s="88"/>
      <c r="AA37" s="88"/>
      <c r="AB37" s="88"/>
      <c r="AC37" s="88">
        <v>0</v>
      </c>
      <c r="AD37" s="88"/>
      <c r="AE37" s="88">
        <v>0</v>
      </c>
      <c r="AF37" s="88"/>
      <c r="AG37" s="88" t="s">
        <v>284</v>
      </c>
      <c r="AH37" s="89"/>
      <c r="AI37" s="89" t="s">
        <v>173</v>
      </c>
      <c r="AJ37" s="88"/>
      <c r="AK37" s="88">
        <v>0</v>
      </c>
      <c r="AL37" s="88"/>
      <c r="AM37" s="88">
        <v>0</v>
      </c>
      <c r="AN37" s="88"/>
      <c r="AO37" s="88">
        <v>0</v>
      </c>
      <c r="AP37" s="88"/>
      <c r="AQ37" s="88">
        <v>0</v>
      </c>
      <c r="AR37" s="88"/>
      <c r="AS37" s="88">
        <v>0</v>
      </c>
      <c r="AT37" s="88"/>
      <c r="AU37" s="88">
        <f t="shared" si="3"/>
        <v>0</v>
      </c>
      <c r="AV37" s="88"/>
      <c r="AW37" s="88">
        <f t="shared" si="4"/>
        <v>0</v>
      </c>
    </row>
    <row r="38" spans="1:49" s="102" customFormat="1">
      <c r="A38" s="3" t="s">
        <v>213</v>
      </c>
      <c r="B38" s="103"/>
      <c r="C38" s="103" t="s">
        <v>142</v>
      </c>
      <c r="E38" s="103">
        <v>51227</v>
      </c>
      <c r="G38" s="3">
        <v>10641824</v>
      </c>
      <c r="H38" s="3"/>
      <c r="I38" s="3">
        <v>9203179</v>
      </c>
      <c r="J38" s="3"/>
      <c r="K38" s="3">
        <v>35832</v>
      </c>
      <c r="L38" s="3"/>
      <c r="M38" s="3">
        <f>1415691+55331</f>
        <v>1471022</v>
      </c>
      <c r="N38" s="3"/>
      <c r="O38" s="3">
        <v>0</v>
      </c>
      <c r="P38" s="3"/>
      <c r="Q38" s="3">
        <v>0</v>
      </c>
      <c r="R38" s="3"/>
      <c r="S38" s="3">
        <v>0</v>
      </c>
      <c r="T38" s="3"/>
      <c r="U38" s="3">
        <v>366209</v>
      </c>
      <c r="V38" s="3"/>
      <c r="W38" s="8">
        <f t="shared" si="2"/>
        <v>21718066</v>
      </c>
      <c r="X38" s="3"/>
      <c r="Y38" s="3">
        <v>0</v>
      </c>
      <c r="Z38" s="3"/>
      <c r="AA38" s="3"/>
      <c r="AB38" s="3"/>
      <c r="AC38" s="3">
        <v>0</v>
      </c>
      <c r="AD38" s="3"/>
      <c r="AE38" s="3">
        <v>0</v>
      </c>
      <c r="AF38" s="3"/>
      <c r="AG38" s="3" t="s">
        <v>213</v>
      </c>
      <c r="AH38" s="103"/>
      <c r="AI38" s="103" t="s">
        <v>142</v>
      </c>
      <c r="AJ38" s="3"/>
      <c r="AK38" s="3">
        <v>0</v>
      </c>
      <c r="AL38" s="3"/>
      <c r="AM38" s="3">
        <v>0</v>
      </c>
      <c r="AN38" s="3"/>
      <c r="AO38" s="3">
        <v>0</v>
      </c>
      <c r="AP38" s="3"/>
      <c r="AQ38" s="3">
        <v>0</v>
      </c>
      <c r="AR38" s="3"/>
      <c r="AS38" s="3">
        <v>0</v>
      </c>
      <c r="AT38" s="3"/>
      <c r="AU38" s="3">
        <f t="shared" si="3"/>
        <v>0</v>
      </c>
      <c r="AV38" s="3"/>
      <c r="AW38" s="3">
        <f t="shared" si="4"/>
        <v>21718066</v>
      </c>
    </row>
    <row r="39" spans="1:49" s="102" customFormat="1">
      <c r="A39" s="3" t="s">
        <v>360</v>
      </c>
      <c r="B39" s="103"/>
      <c r="C39" s="103" t="s">
        <v>176</v>
      </c>
      <c r="E39" s="103">
        <v>51243</v>
      </c>
      <c r="G39" s="3">
        <v>6213255</v>
      </c>
      <c r="H39" s="3"/>
      <c r="I39" s="3">
        <v>3982445</v>
      </c>
      <c r="J39" s="3"/>
      <c r="K39" s="3">
        <v>0</v>
      </c>
      <c r="L39" s="3"/>
      <c r="M39" s="3">
        <f>397751+45897+9797</f>
        <v>453445</v>
      </c>
      <c r="N39" s="3"/>
      <c r="O39" s="3">
        <v>0</v>
      </c>
      <c r="P39" s="3"/>
      <c r="Q39" s="3">
        <v>0</v>
      </c>
      <c r="R39" s="3"/>
      <c r="S39" s="3">
        <v>4315</v>
      </c>
      <c r="T39" s="3"/>
      <c r="U39" s="3">
        <v>130952</v>
      </c>
      <c r="V39" s="3"/>
      <c r="W39" s="8">
        <f t="shared" si="2"/>
        <v>10784412</v>
      </c>
      <c r="X39" s="3"/>
      <c r="Y39" s="3">
        <v>0</v>
      </c>
      <c r="Z39" s="3"/>
      <c r="AA39" s="3"/>
      <c r="AB39" s="3"/>
      <c r="AC39" s="3">
        <v>0</v>
      </c>
      <c r="AD39" s="3"/>
      <c r="AE39" s="3">
        <v>0</v>
      </c>
      <c r="AF39" s="3"/>
      <c r="AG39" s="3" t="s">
        <v>360</v>
      </c>
      <c r="AH39" s="103"/>
      <c r="AI39" s="103" t="s">
        <v>176</v>
      </c>
      <c r="AJ39" s="3"/>
      <c r="AK39" s="3">
        <v>0</v>
      </c>
      <c r="AL39" s="3"/>
      <c r="AM39" s="3">
        <v>0</v>
      </c>
      <c r="AN39" s="3"/>
      <c r="AO39" s="3">
        <v>0</v>
      </c>
      <c r="AP39" s="3"/>
      <c r="AQ39" s="3">
        <v>0</v>
      </c>
      <c r="AR39" s="3"/>
      <c r="AS39" s="3">
        <v>0</v>
      </c>
      <c r="AT39" s="3"/>
      <c r="AU39" s="3">
        <f t="shared" si="3"/>
        <v>0</v>
      </c>
      <c r="AV39" s="3"/>
      <c r="AW39" s="3">
        <f t="shared" si="4"/>
        <v>10784412</v>
      </c>
    </row>
    <row r="40" spans="1:49" s="102" customFormat="1">
      <c r="A40" s="3" t="s">
        <v>246</v>
      </c>
      <c r="B40" s="103"/>
      <c r="C40" s="103" t="s">
        <v>186</v>
      </c>
      <c r="E40" s="103">
        <v>51391</v>
      </c>
      <c r="G40" s="3">
        <v>6294007</v>
      </c>
      <c r="H40" s="3"/>
      <c r="I40" s="3">
        <v>5509738</v>
      </c>
      <c r="J40" s="3"/>
      <c r="K40" s="3">
        <v>29484</v>
      </c>
      <c r="L40" s="3"/>
      <c r="M40" s="3">
        <f>282188+14565+106486</f>
        <v>403239</v>
      </c>
      <c r="N40" s="3"/>
      <c r="O40" s="3">
        <v>0</v>
      </c>
      <c r="P40" s="3"/>
      <c r="Q40" s="3">
        <v>0</v>
      </c>
      <c r="R40" s="3"/>
      <c r="S40" s="3">
        <v>867</v>
      </c>
      <c r="T40" s="3"/>
      <c r="U40" s="3">
        <v>38216</v>
      </c>
      <c r="V40" s="3"/>
      <c r="W40" s="8">
        <f t="shared" si="2"/>
        <v>12275551</v>
      </c>
      <c r="X40" s="3"/>
      <c r="Y40" s="3">
        <v>0</v>
      </c>
      <c r="Z40" s="3"/>
      <c r="AA40" s="3"/>
      <c r="AB40" s="3"/>
      <c r="AC40" s="3">
        <v>0</v>
      </c>
      <c r="AD40" s="3"/>
      <c r="AE40" s="3">
        <v>0</v>
      </c>
      <c r="AF40" s="3"/>
      <c r="AG40" s="3" t="s">
        <v>246</v>
      </c>
      <c r="AH40" s="103"/>
      <c r="AI40" s="103" t="s">
        <v>186</v>
      </c>
      <c r="AJ40" s="3"/>
      <c r="AK40" s="3">
        <v>0</v>
      </c>
      <c r="AL40" s="3"/>
      <c r="AM40" s="3">
        <v>0</v>
      </c>
      <c r="AN40" s="3"/>
      <c r="AO40" s="3">
        <v>0</v>
      </c>
      <c r="AP40" s="3"/>
      <c r="AQ40" s="3">
        <v>0</v>
      </c>
      <c r="AR40" s="3"/>
      <c r="AS40" s="3">
        <v>0</v>
      </c>
      <c r="AT40" s="3"/>
      <c r="AU40" s="3">
        <f t="shared" si="3"/>
        <v>0</v>
      </c>
      <c r="AV40" s="3"/>
      <c r="AW40" s="3">
        <f t="shared" si="4"/>
        <v>12275551</v>
      </c>
    </row>
    <row r="41" spans="1:49" s="102" customFormat="1">
      <c r="A41" s="3" t="s">
        <v>217</v>
      </c>
      <c r="B41" s="103"/>
      <c r="C41" s="103" t="s">
        <v>178</v>
      </c>
      <c r="E41" s="103">
        <v>62109</v>
      </c>
      <c r="G41" s="3">
        <v>7711760</v>
      </c>
      <c r="H41" s="3"/>
      <c r="I41" s="3">
        <v>7695598</v>
      </c>
      <c r="J41" s="3"/>
      <c r="K41" s="3">
        <v>9128</v>
      </c>
      <c r="L41" s="3"/>
      <c r="M41" s="3">
        <f>24222+2920+702</f>
        <v>27844</v>
      </c>
      <c r="N41" s="3"/>
      <c r="O41" s="3">
        <v>0</v>
      </c>
      <c r="P41" s="3"/>
      <c r="Q41" s="3">
        <v>16208</v>
      </c>
      <c r="R41" s="3"/>
      <c r="S41" s="3">
        <v>828</v>
      </c>
      <c r="T41" s="3"/>
      <c r="U41" s="3">
        <v>94532</v>
      </c>
      <c r="V41" s="3"/>
      <c r="W41" s="8">
        <f t="shared" si="2"/>
        <v>15555898</v>
      </c>
      <c r="X41" s="3"/>
      <c r="Y41" s="3">
        <v>0</v>
      </c>
      <c r="Z41" s="3"/>
      <c r="AA41" s="3"/>
      <c r="AB41" s="3"/>
      <c r="AC41" s="3">
        <v>0</v>
      </c>
      <c r="AD41" s="3"/>
      <c r="AE41" s="3">
        <v>0</v>
      </c>
      <c r="AF41" s="3"/>
      <c r="AG41" s="3" t="s">
        <v>217</v>
      </c>
      <c r="AH41" s="103"/>
      <c r="AI41" s="103" t="s">
        <v>178</v>
      </c>
      <c r="AJ41" s="3"/>
      <c r="AK41" s="3">
        <v>0</v>
      </c>
      <c r="AL41" s="3"/>
      <c r="AM41" s="3">
        <v>12800</v>
      </c>
      <c r="AN41" s="3"/>
      <c r="AO41" s="3">
        <v>0</v>
      </c>
      <c r="AP41" s="3"/>
      <c r="AQ41" s="3">
        <v>0</v>
      </c>
      <c r="AR41" s="3"/>
      <c r="AS41" s="3">
        <v>0</v>
      </c>
      <c r="AT41" s="3"/>
      <c r="AU41" s="3">
        <f t="shared" si="3"/>
        <v>12800</v>
      </c>
      <c r="AV41" s="3"/>
      <c r="AW41" s="3">
        <f t="shared" si="4"/>
        <v>15568698</v>
      </c>
    </row>
    <row r="42" spans="1:49" s="102" customFormat="1">
      <c r="A42" s="3" t="s">
        <v>361</v>
      </c>
      <c r="B42" s="103"/>
      <c r="C42" s="103" t="s">
        <v>181</v>
      </c>
      <c r="E42" s="103">
        <v>51284</v>
      </c>
      <c r="G42" s="3">
        <v>13802234</v>
      </c>
      <c r="H42" s="3"/>
      <c r="I42" s="3">
        <v>15093434</v>
      </c>
      <c r="J42" s="3"/>
      <c r="K42" s="3">
        <v>0</v>
      </c>
      <c r="L42" s="3"/>
      <c r="M42" s="3">
        <f>3547928+141379</f>
        <v>3689307</v>
      </c>
      <c r="N42" s="3"/>
      <c r="O42" s="3">
        <v>7788</v>
      </c>
      <c r="P42" s="3"/>
      <c r="Q42" s="3">
        <v>0</v>
      </c>
      <c r="R42" s="3"/>
      <c r="S42" s="3">
        <v>0</v>
      </c>
      <c r="T42" s="3"/>
      <c r="U42" s="3">
        <v>320466</v>
      </c>
      <c r="V42" s="3"/>
      <c r="W42" s="8">
        <f t="shared" si="2"/>
        <v>32913229</v>
      </c>
      <c r="X42" s="3"/>
      <c r="Y42" s="3">
        <v>0</v>
      </c>
      <c r="Z42" s="3"/>
      <c r="AA42" s="3"/>
      <c r="AB42" s="3"/>
      <c r="AC42" s="3">
        <v>0</v>
      </c>
      <c r="AD42" s="3"/>
      <c r="AE42" s="3">
        <v>0</v>
      </c>
      <c r="AF42" s="3"/>
      <c r="AG42" s="3" t="s">
        <v>361</v>
      </c>
      <c r="AH42" s="103"/>
      <c r="AI42" s="103" t="s">
        <v>181</v>
      </c>
      <c r="AJ42" s="3"/>
      <c r="AK42" s="3">
        <v>0</v>
      </c>
      <c r="AL42" s="3"/>
      <c r="AM42" s="3">
        <v>0</v>
      </c>
      <c r="AN42" s="3"/>
      <c r="AO42" s="3">
        <v>0</v>
      </c>
      <c r="AP42" s="3"/>
      <c r="AQ42" s="3">
        <v>0</v>
      </c>
      <c r="AR42" s="3"/>
      <c r="AS42" s="3">
        <v>0</v>
      </c>
      <c r="AT42" s="3"/>
      <c r="AU42" s="3">
        <f t="shared" si="3"/>
        <v>0</v>
      </c>
      <c r="AV42" s="3"/>
      <c r="AW42" s="3">
        <f t="shared" si="4"/>
        <v>32913229</v>
      </c>
    </row>
    <row r="43" spans="1:49" s="102" customFormat="1">
      <c r="A43" s="3" t="s">
        <v>362</v>
      </c>
      <c r="B43" s="103"/>
      <c r="C43" s="103" t="s">
        <v>183</v>
      </c>
      <c r="E43" s="103">
        <v>51300</v>
      </c>
      <c r="G43" s="3">
        <v>7343188</v>
      </c>
      <c r="H43" s="3"/>
      <c r="I43" s="3">
        <v>8198400</v>
      </c>
      <c r="J43" s="3"/>
      <c r="K43" s="3">
        <v>15093</v>
      </c>
      <c r="L43" s="3"/>
      <c r="M43" s="3">
        <f>191828+260+167825</f>
        <v>359913</v>
      </c>
      <c r="N43" s="3"/>
      <c r="O43" s="3">
        <v>0</v>
      </c>
      <c r="P43" s="3"/>
      <c r="Q43" s="3">
        <v>41128</v>
      </c>
      <c r="R43" s="3"/>
      <c r="S43" s="3">
        <v>0</v>
      </c>
      <c r="T43" s="3"/>
      <c r="U43" s="3">
        <v>53406</v>
      </c>
      <c r="V43" s="3"/>
      <c r="W43" s="8">
        <f t="shared" si="2"/>
        <v>16011128</v>
      </c>
      <c r="X43" s="3"/>
      <c r="Y43" s="3">
        <v>0</v>
      </c>
      <c r="Z43" s="3"/>
      <c r="AA43" s="3"/>
      <c r="AB43" s="3"/>
      <c r="AC43" s="3">
        <v>13143</v>
      </c>
      <c r="AD43" s="3"/>
      <c r="AE43" s="3">
        <v>0</v>
      </c>
      <c r="AF43" s="3"/>
      <c r="AG43" s="3" t="s">
        <v>362</v>
      </c>
      <c r="AH43" s="103"/>
      <c r="AI43" s="103" t="s">
        <v>183</v>
      </c>
      <c r="AJ43" s="3"/>
      <c r="AK43" s="3">
        <v>0</v>
      </c>
      <c r="AL43" s="3"/>
      <c r="AM43" s="3">
        <v>43</v>
      </c>
      <c r="AN43" s="3"/>
      <c r="AO43" s="3">
        <v>0</v>
      </c>
      <c r="AP43" s="3"/>
      <c r="AQ43" s="3">
        <v>0</v>
      </c>
      <c r="AR43" s="3"/>
      <c r="AS43" s="3">
        <v>0</v>
      </c>
      <c r="AT43" s="3"/>
      <c r="AU43" s="3">
        <f t="shared" si="3"/>
        <v>13186</v>
      </c>
      <c r="AV43" s="3"/>
      <c r="AW43" s="3">
        <f t="shared" si="4"/>
        <v>16024314</v>
      </c>
    </row>
    <row r="44" spans="1:49" s="102" customFormat="1">
      <c r="A44" s="3" t="s">
        <v>212</v>
      </c>
      <c r="B44" s="103"/>
      <c r="C44" s="103" t="s">
        <v>174</v>
      </c>
      <c r="E44" s="103">
        <v>51334</v>
      </c>
      <c r="G44" s="3">
        <v>5460516</v>
      </c>
      <c r="H44" s="3"/>
      <c r="I44" s="3">
        <v>6181701</v>
      </c>
      <c r="J44" s="3"/>
      <c r="K44" s="3">
        <v>12302</v>
      </c>
      <c r="L44" s="3"/>
      <c r="M44" s="3">
        <v>1067287</v>
      </c>
      <c r="N44" s="3"/>
      <c r="O44" s="3">
        <v>0</v>
      </c>
      <c r="P44" s="3"/>
      <c r="Q44" s="3">
        <v>0</v>
      </c>
      <c r="R44" s="3"/>
      <c r="S44" s="3">
        <v>0</v>
      </c>
      <c r="T44" s="3"/>
      <c r="U44" s="3">
        <v>161325</v>
      </c>
      <c r="V44" s="3"/>
      <c r="W44" s="8">
        <f t="shared" si="2"/>
        <v>12883131</v>
      </c>
      <c r="X44" s="3"/>
      <c r="Y44" s="3">
        <v>0</v>
      </c>
      <c r="Z44" s="3"/>
      <c r="AA44" s="3"/>
      <c r="AB44" s="3"/>
      <c r="AC44" s="3">
        <v>0</v>
      </c>
      <c r="AD44" s="3"/>
      <c r="AE44" s="3">
        <v>0</v>
      </c>
      <c r="AF44" s="3"/>
      <c r="AG44" s="3" t="s">
        <v>212</v>
      </c>
      <c r="AH44" s="103"/>
      <c r="AI44" s="103" t="s">
        <v>174</v>
      </c>
      <c r="AJ44" s="3"/>
      <c r="AK44" s="3">
        <v>0</v>
      </c>
      <c r="AL44" s="3"/>
      <c r="AM44" s="3">
        <v>0</v>
      </c>
      <c r="AN44" s="3"/>
      <c r="AO44" s="3">
        <v>0</v>
      </c>
      <c r="AP44" s="3"/>
      <c r="AQ44" s="3">
        <v>0</v>
      </c>
      <c r="AR44" s="3"/>
      <c r="AS44" s="3">
        <v>0</v>
      </c>
      <c r="AT44" s="3"/>
      <c r="AU44" s="3">
        <f t="shared" si="3"/>
        <v>0</v>
      </c>
      <c r="AV44" s="3"/>
      <c r="AW44" s="3">
        <f t="shared" si="4"/>
        <v>12883131</v>
      </c>
    </row>
    <row r="45" spans="1:49" s="102" customFormat="1">
      <c r="A45" s="3" t="s">
        <v>322</v>
      </c>
      <c r="B45" s="103"/>
      <c r="C45" s="103" t="s">
        <v>204</v>
      </c>
      <c r="E45" s="103">
        <v>51359</v>
      </c>
      <c r="G45" s="3">
        <v>11201159</v>
      </c>
      <c r="H45" s="3"/>
      <c r="I45" s="3">
        <v>14894203</v>
      </c>
      <c r="J45" s="3"/>
      <c r="K45" s="3">
        <f>99337+290476</f>
        <v>389813</v>
      </c>
      <c r="L45" s="3"/>
      <c r="M45" s="3">
        <f>8300+254156</f>
        <v>262456</v>
      </c>
      <c r="N45" s="3"/>
      <c r="O45" s="3">
        <v>14401</v>
      </c>
      <c r="P45" s="3"/>
      <c r="Q45" s="3">
        <v>298427</v>
      </c>
      <c r="R45" s="3"/>
      <c r="S45" s="3">
        <v>15068</v>
      </c>
      <c r="T45" s="3"/>
      <c r="U45" s="3">
        <v>18519</v>
      </c>
      <c r="V45" s="3"/>
      <c r="W45" s="8">
        <f t="shared" si="2"/>
        <v>27094046</v>
      </c>
      <c r="X45" s="3"/>
      <c r="Y45" s="3">
        <v>0</v>
      </c>
      <c r="Z45" s="3"/>
      <c r="AA45" s="3"/>
      <c r="AB45" s="3"/>
      <c r="AC45" s="3">
        <v>258558</v>
      </c>
      <c r="AD45" s="3"/>
      <c r="AE45" s="3">
        <v>0</v>
      </c>
      <c r="AF45" s="3"/>
      <c r="AG45" s="3" t="s">
        <v>322</v>
      </c>
      <c r="AH45" s="103"/>
      <c r="AI45" s="103" t="s">
        <v>204</v>
      </c>
      <c r="AJ45" s="3"/>
      <c r="AK45" s="3">
        <v>0</v>
      </c>
      <c r="AL45" s="3"/>
      <c r="AM45" s="3">
        <v>0</v>
      </c>
      <c r="AN45" s="3"/>
      <c r="AO45" s="3">
        <v>0</v>
      </c>
      <c r="AP45" s="3"/>
      <c r="AQ45" s="3">
        <v>0</v>
      </c>
      <c r="AR45" s="3"/>
      <c r="AS45" s="3">
        <v>0</v>
      </c>
      <c r="AT45" s="3"/>
      <c r="AU45" s="3">
        <f t="shared" si="3"/>
        <v>258558</v>
      </c>
      <c r="AV45" s="3"/>
      <c r="AW45" s="3">
        <f t="shared" si="4"/>
        <v>27352604</v>
      </c>
    </row>
    <row r="46" spans="1:49" s="102" customFormat="1">
      <c r="A46" s="3" t="s">
        <v>363</v>
      </c>
      <c r="B46" s="103"/>
      <c r="C46" s="103" t="s">
        <v>190</v>
      </c>
      <c r="E46" s="103">
        <v>51433</v>
      </c>
      <c r="G46" s="3">
        <v>5022037</v>
      </c>
      <c r="H46" s="3"/>
      <c r="I46" s="3">
        <v>10382916</v>
      </c>
      <c r="J46" s="3"/>
      <c r="K46" s="3">
        <v>20928</v>
      </c>
      <c r="L46" s="3"/>
      <c r="M46" s="3">
        <f>5484+127727</f>
        <v>133211</v>
      </c>
      <c r="N46" s="3"/>
      <c r="O46" s="3">
        <v>0</v>
      </c>
      <c r="P46" s="3"/>
      <c r="Q46" s="3">
        <v>4876</v>
      </c>
      <c r="R46" s="3"/>
      <c r="S46" s="3">
        <v>5700</v>
      </c>
      <c r="T46" s="3"/>
      <c r="U46" s="3">
        <v>149429</v>
      </c>
      <c r="V46" s="3"/>
      <c r="W46" s="8">
        <f t="shared" si="2"/>
        <v>15719097</v>
      </c>
      <c r="X46" s="3"/>
      <c r="Y46" s="3">
        <v>0</v>
      </c>
      <c r="Z46" s="3"/>
      <c r="AA46" s="3"/>
      <c r="AB46" s="3"/>
      <c r="AC46" s="3">
        <v>0</v>
      </c>
      <c r="AD46" s="3"/>
      <c r="AE46" s="3">
        <v>0</v>
      </c>
      <c r="AF46" s="3"/>
      <c r="AG46" s="3" t="s">
        <v>363</v>
      </c>
      <c r="AH46" s="103"/>
      <c r="AI46" s="103" t="s">
        <v>190</v>
      </c>
      <c r="AJ46" s="3"/>
      <c r="AK46" s="3">
        <v>0</v>
      </c>
      <c r="AL46" s="3"/>
      <c r="AM46" s="3">
        <v>31000</v>
      </c>
      <c r="AN46" s="3"/>
      <c r="AO46" s="3">
        <v>0</v>
      </c>
      <c r="AP46" s="3"/>
      <c r="AQ46" s="3">
        <v>0</v>
      </c>
      <c r="AR46" s="3"/>
      <c r="AS46" s="3">
        <v>0</v>
      </c>
      <c r="AT46" s="3"/>
      <c r="AU46" s="3">
        <f t="shared" si="3"/>
        <v>31000</v>
      </c>
      <c r="AV46" s="3"/>
      <c r="AW46" s="3">
        <f t="shared" si="4"/>
        <v>15750097</v>
      </c>
    </row>
    <row r="47" spans="1:49" s="102" customFormat="1">
      <c r="A47" s="3" t="s">
        <v>247</v>
      </c>
      <c r="B47" s="103"/>
      <c r="C47" s="103" t="s">
        <v>218</v>
      </c>
      <c r="E47" s="103">
        <v>51375</v>
      </c>
      <c r="G47" s="3">
        <v>744025</v>
      </c>
      <c r="H47" s="3"/>
      <c r="I47" s="3">
        <v>4683640</v>
      </c>
      <c r="J47" s="3"/>
      <c r="K47" s="3">
        <v>0</v>
      </c>
      <c r="L47" s="3"/>
      <c r="M47" s="3">
        <f>99952+28760+126163</f>
        <v>254875</v>
      </c>
      <c r="N47" s="3"/>
      <c r="O47" s="3">
        <v>0</v>
      </c>
      <c r="P47" s="3"/>
      <c r="Q47" s="3">
        <v>226</v>
      </c>
      <c r="R47" s="3"/>
      <c r="S47" s="3">
        <v>5155</v>
      </c>
      <c r="T47" s="3"/>
      <c r="U47" s="3">
        <v>37798</v>
      </c>
      <c r="V47" s="3"/>
      <c r="W47" s="8">
        <f t="shared" si="2"/>
        <v>5725719</v>
      </c>
      <c r="X47" s="3"/>
      <c r="Y47" s="3">
        <v>0</v>
      </c>
      <c r="Z47" s="3"/>
      <c r="AA47" s="3"/>
      <c r="AB47" s="3"/>
      <c r="AC47" s="3">
        <v>0</v>
      </c>
      <c r="AD47" s="3"/>
      <c r="AE47" s="3">
        <v>0</v>
      </c>
      <c r="AF47" s="3"/>
      <c r="AG47" s="3" t="s">
        <v>247</v>
      </c>
      <c r="AH47" s="103"/>
      <c r="AI47" s="103" t="s">
        <v>218</v>
      </c>
      <c r="AJ47" s="3"/>
      <c r="AK47" s="3">
        <v>0</v>
      </c>
      <c r="AL47" s="3"/>
      <c r="AM47" s="3">
        <v>0</v>
      </c>
      <c r="AN47" s="3"/>
      <c r="AO47" s="3">
        <v>0</v>
      </c>
      <c r="AP47" s="3"/>
      <c r="AQ47" s="3">
        <v>0</v>
      </c>
      <c r="AR47" s="3"/>
      <c r="AS47" s="3">
        <v>0</v>
      </c>
      <c r="AT47" s="3"/>
      <c r="AU47" s="3">
        <f t="shared" si="3"/>
        <v>0</v>
      </c>
      <c r="AV47" s="3"/>
      <c r="AW47" s="3">
        <f t="shared" si="4"/>
        <v>5725719</v>
      </c>
    </row>
    <row r="48" spans="1:49" s="102" customFormat="1">
      <c r="A48" s="3" t="s">
        <v>364</v>
      </c>
      <c r="B48" s="103"/>
      <c r="C48" s="103" t="s">
        <v>189</v>
      </c>
      <c r="E48" s="103">
        <v>51417</v>
      </c>
      <c r="G48" s="3">
        <v>4208001</v>
      </c>
      <c r="H48" s="3"/>
      <c r="I48" s="3">
        <v>10406017</v>
      </c>
      <c r="J48" s="3"/>
      <c r="K48" s="3">
        <v>59138</v>
      </c>
      <c r="L48" s="3"/>
      <c r="M48" s="3">
        <f>184774+159724</f>
        <v>344498</v>
      </c>
      <c r="N48" s="3"/>
      <c r="O48" s="3">
        <v>16132</v>
      </c>
      <c r="P48" s="3"/>
      <c r="Q48" s="3">
        <v>0</v>
      </c>
      <c r="R48" s="3"/>
      <c r="S48" s="3">
        <v>6348</v>
      </c>
      <c r="T48" s="3"/>
      <c r="U48" s="3">
        <v>195544</v>
      </c>
      <c r="V48" s="3"/>
      <c r="W48" s="8">
        <f t="shared" si="2"/>
        <v>15235678</v>
      </c>
      <c r="X48" s="3"/>
      <c r="Y48" s="3">
        <v>0</v>
      </c>
      <c r="Z48" s="3"/>
      <c r="AA48" s="3"/>
      <c r="AB48" s="3"/>
      <c r="AC48" s="3">
        <v>0</v>
      </c>
      <c r="AD48" s="3"/>
      <c r="AE48" s="3">
        <v>0</v>
      </c>
      <c r="AF48" s="3"/>
      <c r="AG48" s="3" t="s">
        <v>364</v>
      </c>
      <c r="AH48" s="103"/>
      <c r="AI48" s="103" t="s">
        <v>189</v>
      </c>
      <c r="AJ48" s="3"/>
      <c r="AK48" s="3">
        <v>0</v>
      </c>
      <c r="AL48" s="3"/>
      <c r="AM48" s="3">
        <v>0</v>
      </c>
      <c r="AN48" s="3"/>
      <c r="AO48" s="3">
        <v>0</v>
      </c>
      <c r="AP48" s="3"/>
      <c r="AQ48" s="3">
        <v>0</v>
      </c>
      <c r="AR48" s="3"/>
      <c r="AS48" s="3">
        <v>0</v>
      </c>
      <c r="AT48" s="3"/>
      <c r="AU48" s="3">
        <f t="shared" si="3"/>
        <v>0</v>
      </c>
      <c r="AV48" s="3"/>
      <c r="AW48" s="3">
        <f t="shared" si="4"/>
        <v>15235678</v>
      </c>
    </row>
    <row r="49" spans="1:49" s="102" customFormat="1">
      <c r="A49" s="3" t="s">
        <v>248</v>
      </c>
      <c r="B49" s="103"/>
      <c r="C49" s="103" t="s">
        <v>157</v>
      </c>
      <c r="E49" s="103">
        <v>50948</v>
      </c>
      <c r="G49" s="3">
        <v>9120428</v>
      </c>
      <c r="H49" s="3"/>
      <c r="I49" s="3">
        <v>3949859</v>
      </c>
      <c r="J49" s="3"/>
      <c r="K49" s="3">
        <v>43686</v>
      </c>
      <c r="L49" s="3"/>
      <c r="M49" s="3">
        <f>132200+28548</f>
        <v>160748</v>
      </c>
      <c r="N49" s="3"/>
      <c r="O49" s="3">
        <v>0</v>
      </c>
      <c r="P49" s="3"/>
      <c r="Q49" s="3">
        <v>0</v>
      </c>
      <c r="R49" s="3"/>
      <c r="S49" s="3">
        <v>2391</v>
      </c>
      <c r="T49" s="3"/>
      <c r="U49" s="3">
        <v>37457</v>
      </c>
      <c r="V49" s="3"/>
      <c r="W49" s="8">
        <f t="shared" si="2"/>
        <v>13314569</v>
      </c>
      <c r="X49" s="3"/>
      <c r="Y49" s="3">
        <v>5210</v>
      </c>
      <c r="Z49" s="3"/>
      <c r="AA49" s="3"/>
      <c r="AB49" s="3"/>
      <c r="AC49" s="3">
        <v>0</v>
      </c>
      <c r="AD49" s="3"/>
      <c r="AE49" s="3">
        <v>0</v>
      </c>
      <c r="AF49" s="3"/>
      <c r="AG49" s="3" t="s">
        <v>248</v>
      </c>
      <c r="AH49" s="103"/>
      <c r="AI49" s="103" t="s">
        <v>157</v>
      </c>
      <c r="AJ49" s="3"/>
      <c r="AK49" s="3">
        <v>0</v>
      </c>
      <c r="AL49" s="3"/>
      <c r="AM49" s="3">
        <v>0</v>
      </c>
      <c r="AN49" s="3"/>
      <c r="AO49" s="3">
        <v>0</v>
      </c>
      <c r="AP49" s="3"/>
      <c r="AQ49" s="3">
        <v>0</v>
      </c>
      <c r="AR49" s="3"/>
      <c r="AS49" s="3">
        <v>0</v>
      </c>
      <c r="AT49" s="3"/>
      <c r="AU49" s="3">
        <f t="shared" si="3"/>
        <v>5210</v>
      </c>
      <c r="AV49" s="3"/>
      <c r="AW49" s="3">
        <f t="shared" si="4"/>
        <v>13319779</v>
      </c>
    </row>
    <row r="50" spans="1:49" s="102" customFormat="1">
      <c r="A50" s="3" t="s">
        <v>249</v>
      </c>
      <c r="B50" s="103"/>
      <c r="C50" s="103" t="s">
        <v>196</v>
      </c>
      <c r="E50" s="103">
        <v>63495</v>
      </c>
      <c r="G50" s="3">
        <v>2807421</v>
      </c>
      <c r="H50" s="3"/>
      <c r="I50" s="3">
        <v>2900219</v>
      </c>
      <c r="J50" s="3"/>
      <c r="K50" s="3">
        <v>0</v>
      </c>
      <c r="L50" s="3"/>
      <c r="M50" s="3">
        <f>667251+9853</f>
        <v>677104</v>
      </c>
      <c r="N50" s="3"/>
      <c r="O50" s="3">
        <v>10393</v>
      </c>
      <c r="P50" s="3"/>
      <c r="Q50" s="3">
        <v>0</v>
      </c>
      <c r="R50" s="3"/>
      <c r="S50" s="3">
        <v>0</v>
      </c>
      <c r="T50" s="3"/>
      <c r="U50" s="3">
        <v>41166</v>
      </c>
      <c r="V50" s="3"/>
      <c r="W50" s="8">
        <f t="shared" si="2"/>
        <v>6436303</v>
      </c>
      <c r="X50" s="3"/>
      <c r="Y50" s="3">
        <v>0</v>
      </c>
      <c r="Z50" s="3"/>
      <c r="AA50" s="3"/>
      <c r="AB50" s="3"/>
      <c r="AC50" s="3">
        <v>0</v>
      </c>
      <c r="AD50" s="3"/>
      <c r="AE50" s="3">
        <v>0</v>
      </c>
      <c r="AF50" s="3"/>
      <c r="AG50" s="3" t="s">
        <v>249</v>
      </c>
      <c r="AH50" s="103"/>
      <c r="AI50" s="103" t="s">
        <v>196</v>
      </c>
      <c r="AJ50" s="3"/>
      <c r="AK50" s="3">
        <v>0</v>
      </c>
      <c r="AL50" s="3"/>
      <c r="AM50" s="3">
        <v>0</v>
      </c>
      <c r="AN50" s="3"/>
      <c r="AO50" s="3">
        <v>0</v>
      </c>
      <c r="AP50" s="3"/>
      <c r="AQ50" s="3">
        <v>0</v>
      </c>
      <c r="AR50" s="3"/>
      <c r="AS50" s="3">
        <v>0</v>
      </c>
      <c r="AT50" s="3"/>
      <c r="AU50" s="3">
        <f t="shared" si="3"/>
        <v>0</v>
      </c>
      <c r="AV50" s="3"/>
      <c r="AW50" s="3">
        <f t="shared" si="4"/>
        <v>6436303</v>
      </c>
    </row>
    <row r="51" spans="1:49" s="102" customFormat="1">
      <c r="A51" s="3" t="s">
        <v>383</v>
      </c>
      <c r="B51" s="103"/>
      <c r="C51" s="103" t="s">
        <v>192</v>
      </c>
      <c r="E51" s="103">
        <v>51490</v>
      </c>
      <c r="G51" s="3">
        <v>1840168</v>
      </c>
      <c r="H51" s="3"/>
      <c r="I51" s="3">
        <v>4291170</v>
      </c>
      <c r="J51" s="3"/>
      <c r="K51" s="3">
        <v>25375</v>
      </c>
      <c r="L51" s="3"/>
      <c r="M51" s="3">
        <f>37104+4899+30487</f>
        <v>72490</v>
      </c>
      <c r="N51" s="3"/>
      <c r="O51" s="3">
        <v>43021</v>
      </c>
      <c r="P51" s="3"/>
      <c r="Q51" s="3">
        <v>0</v>
      </c>
      <c r="R51" s="3"/>
      <c r="S51" s="3">
        <v>100</v>
      </c>
      <c r="T51" s="3"/>
      <c r="U51" s="3">
        <v>126282</v>
      </c>
      <c r="V51" s="3"/>
      <c r="W51" s="8">
        <f t="shared" si="2"/>
        <v>6398606</v>
      </c>
      <c r="X51" s="3"/>
      <c r="Y51" s="3">
        <v>0</v>
      </c>
      <c r="Z51" s="3"/>
      <c r="AA51" s="3">
        <v>0</v>
      </c>
      <c r="AB51" s="3"/>
      <c r="AC51" s="3">
        <v>0</v>
      </c>
      <c r="AD51" s="3"/>
      <c r="AE51" s="3">
        <v>0</v>
      </c>
      <c r="AF51" s="3"/>
      <c r="AG51" s="3" t="s">
        <v>383</v>
      </c>
      <c r="AH51" s="103"/>
      <c r="AI51" s="103" t="s">
        <v>192</v>
      </c>
      <c r="AJ51" s="3"/>
      <c r="AK51" s="3">
        <v>0</v>
      </c>
      <c r="AL51" s="3"/>
      <c r="AM51" s="3">
        <v>0</v>
      </c>
      <c r="AN51" s="3"/>
      <c r="AO51" s="3">
        <v>0</v>
      </c>
      <c r="AP51" s="3"/>
      <c r="AQ51" s="3">
        <v>0</v>
      </c>
      <c r="AR51" s="3"/>
      <c r="AS51" s="3">
        <v>0</v>
      </c>
      <c r="AT51" s="3"/>
      <c r="AU51" s="3">
        <f t="shared" si="3"/>
        <v>0</v>
      </c>
      <c r="AV51" s="3"/>
      <c r="AW51" s="3">
        <f t="shared" si="4"/>
        <v>6398606</v>
      </c>
    </row>
    <row r="52" spans="1:49" s="102" customFormat="1">
      <c r="A52" s="3" t="s">
        <v>205</v>
      </c>
      <c r="B52" s="103"/>
      <c r="C52" s="103" t="s">
        <v>150</v>
      </c>
      <c r="E52" s="103">
        <v>50799</v>
      </c>
      <c r="G52" s="3">
        <v>1725979</v>
      </c>
      <c r="H52" s="3"/>
      <c r="I52" s="3">
        <v>3478550</v>
      </c>
      <c r="J52" s="3"/>
      <c r="K52" s="3">
        <v>81012</v>
      </c>
      <c r="L52" s="3"/>
      <c r="M52" s="3">
        <f>12426+1305+97865</f>
        <v>111596</v>
      </c>
      <c r="N52" s="3"/>
      <c r="O52" s="3">
        <v>0</v>
      </c>
      <c r="P52" s="3"/>
      <c r="Q52" s="3">
        <v>0</v>
      </c>
      <c r="R52" s="3"/>
      <c r="S52" s="3">
        <v>90</v>
      </c>
      <c r="T52" s="3"/>
      <c r="U52" s="3">
        <v>9640</v>
      </c>
      <c r="V52" s="3"/>
      <c r="W52" s="8">
        <f t="shared" si="2"/>
        <v>5406867</v>
      </c>
      <c r="X52" s="3"/>
      <c r="Y52" s="3">
        <v>0</v>
      </c>
      <c r="Z52" s="3"/>
      <c r="AA52" s="3">
        <v>0</v>
      </c>
      <c r="AB52" s="3"/>
      <c r="AC52" s="3">
        <v>0</v>
      </c>
      <c r="AD52" s="3"/>
      <c r="AE52" s="3">
        <v>0</v>
      </c>
      <c r="AF52" s="3"/>
      <c r="AG52" s="3" t="s">
        <v>205</v>
      </c>
      <c r="AH52" s="103"/>
      <c r="AI52" s="103" t="s">
        <v>150</v>
      </c>
      <c r="AJ52" s="3"/>
      <c r="AK52" s="3">
        <v>0</v>
      </c>
      <c r="AL52" s="3"/>
      <c r="AM52" s="3">
        <v>3190</v>
      </c>
      <c r="AN52" s="3"/>
      <c r="AO52" s="3">
        <v>0</v>
      </c>
      <c r="AP52" s="3"/>
      <c r="AQ52" s="3">
        <v>0</v>
      </c>
      <c r="AR52" s="3"/>
      <c r="AS52" s="3">
        <v>0</v>
      </c>
      <c r="AT52" s="3"/>
      <c r="AU52" s="3">
        <f t="shared" si="3"/>
        <v>3190</v>
      </c>
      <c r="AV52" s="3"/>
      <c r="AW52" s="3">
        <f t="shared" si="4"/>
        <v>5410057</v>
      </c>
    </row>
    <row r="53" spans="1:49" s="102" customFormat="1">
      <c r="A53" s="3" t="s">
        <v>365</v>
      </c>
      <c r="B53" s="103"/>
      <c r="C53" s="103" t="s">
        <v>152</v>
      </c>
      <c r="E53" s="103">
        <v>51532</v>
      </c>
      <c r="G53" s="3">
        <v>4897182</v>
      </c>
      <c r="H53" s="3"/>
      <c r="I53" s="3">
        <v>6368412</v>
      </c>
      <c r="J53" s="3"/>
      <c r="K53" s="3">
        <v>8307</v>
      </c>
      <c r="L53" s="3"/>
      <c r="M53" s="3">
        <f>29581+49066</f>
        <v>78647</v>
      </c>
      <c r="N53" s="3"/>
      <c r="O53" s="3">
        <v>0</v>
      </c>
      <c r="P53" s="3"/>
      <c r="Q53" s="3">
        <v>0</v>
      </c>
      <c r="R53" s="3"/>
      <c r="S53" s="3">
        <v>0</v>
      </c>
      <c r="T53" s="3"/>
      <c r="U53" s="3">
        <v>41138</v>
      </c>
      <c r="V53" s="3"/>
      <c r="W53" s="8">
        <f t="shared" si="2"/>
        <v>11393686</v>
      </c>
      <c r="X53" s="3"/>
      <c r="Y53" s="3">
        <v>0</v>
      </c>
      <c r="Z53" s="3"/>
      <c r="AA53" s="3">
        <v>0</v>
      </c>
      <c r="AB53" s="3"/>
      <c r="AC53" s="3">
        <v>188964</v>
      </c>
      <c r="AD53" s="3"/>
      <c r="AE53" s="3">
        <v>0</v>
      </c>
      <c r="AF53" s="3"/>
      <c r="AG53" s="3" t="s">
        <v>365</v>
      </c>
      <c r="AH53" s="103"/>
      <c r="AI53" s="103" t="s">
        <v>152</v>
      </c>
      <c r="AJ53" s="3"/>
      <c r="AK53" s="3">
        <v>0</v>
      </c>
      <c r="AL53" s="3"/>
      <c r="AM53" s="3">
        <v>11047</v>
      </c>
      <c r="AN53" s="3"/>
      <c r="AO53" s="3">
        <v>0</v>
      </c>
      <c r="AP53" s="3"/>
      <c r="AQ53" s="3">
        <v>0</v>
      </c>
      <c r="AR53" s="3"/>
      <c r="AS53" s="3">
        <v>0</v>
      </c>
      <c r="AT53" s="3"/>
      <c r="AU53" s="3">
        <f t="shared" si="3"/>
        <v>200011</v>
      </c>
      <c r="AV53" s="3"/>
      <c r="AW53" s="3">
        <f t="shared" si="4"/>
        <v>11593697</v>
      </c>
    </row>
    <row r="54" spans="1:49" s="102" customFormat="1">
      <c r="A54" s="3" t="s">
        <v>219</v>
      </c>
      <c r="B54" s="103"/>
      <c r="C54" s="103" t="s">
        <v>195</v>
      </c>
      <c r="E54" s="103">
        <v>62026</v>
      </c>
      <c r="G54" s="3">
        <v>2113823</v>
      </c>
      <c r="H54" s="3"/>
      <c r="I54" s="3">
        <f>2371+4709554+21236</f>
        <v>4733161</v>
      </c>
      <c r="J54" s="3"/>
      <c r="K54" s="3">
        <v>20396</v>
      </c>
      <c r="L54" s="3"/>
      <c r="M54" s="3">
        <v>3612</v>
      </c>
      <c r="N54" s="3"/>
      <c r="O54" s="3">
        <v>0</v>
      </c>
      <c r="P54" s="3"/>
      <c r="Q54" s="3">
        <v>0</v>
      </c>
      <c r="R54" s="3"/>
      <c r="S54" s="3">
        <v>0</v>
      </c>
      <c r="T54" s="3"/>
      <c r="U54" s="3">
        <v>173829</v>
      </c>
      <c r="V54" s="3"/>
      <c r="W54" s="8">
        <f t="shared" si="2"/>
        <v>7044821</v>
      </c>
      <c r="X54" s="3"/>
      <c r="Y54" s="3">
        <v>0</v>
      </c>
      <c r="Z54" s="3"/>
      <c r="AA54" s="3">
        <v>0</v>
      </c>
      <c r="AB54" s="3"/>
      <c r="AC54" s="3">
        <v>0</v>
      </c>
      <c r="AD54" s="3"/>
      <c r="AE54" s="3">
        <v>0</v>
      </c>
      <c r="AF54" s="3"/>
      <c r="AG54" s="3" t="s">
        <v>219</v>
      </c>
      <c r="AH54" s="103"/>
      <c r="AI54" s="103" t="s">
        <v>195</v>
      </c>
      <c r="AJ54" s="3"/>
      <c r="AK54" s="3">
        <v>0</v>
      </c>
      <c r="AL54" s="3"/>
      <c r="AM54" s="3">
        <v>30612</v>
      </c>
      <c r="AN54" s="3"/>
      <c r="AO54" s="3">
        <v>0</v>
      </c>
      <c r="AP54" s="3"/>
      <c r="AQ54" s="3">
        <v>0</v>
      </c>
      <c r="AR54" s="3"/>
      <c r="AS54" s="3">
        <v>0</v>
      </c>
      <c r="AT54" s="3"/>
      <c r="AU54" s="3">
        <f t="shared" si="3"/>
        <v>30612</v>
      </c>
      <c r="AV54" s="3"/>
      <c r="AW54" s="3">
        <f t="shared" si="4"/>
        <v>7075433</v>
      </c>
    </row>
    <row r="55" spans="1:49" s="102" customFormat="1">
      <c r="A55" s="3" t="s">
        <v>272</v>
      </c>
      <c r="B55" s="103"/>
      <c r="C55" s="103" t="s">
        <v>214</v>
      </c>
      <c r="E55" s="103">
        <v>63511</v>
      </c>
      <c r="G55" s="3">
        <v>8954241</v>
      </c>
      <c r="H55" s="3"/>
      <c r="I55" s="3">
        <v>3185192</v>
      </c>
      <c r="J55" s="3"/>
      <c r="K55" s="3">
        <v>35337</v>
      </c>
      <c r="L55" s="3"/>
      <c r="M55" s="3">
        <v>183903</v>
      </c>
      <c r="N55" s="3"/>
      <c r="O55" s="3">
        <v>0</v>
      </c>
      <c r="P55" s="3"/>
      <c r="Q55" s="3">
        <v>0</v>
      </c>
      <c r="R55" s="3"/>
      <c r="S55" s="3">
        <v>0</v>
      </c>
      <c r="T55" s="3"/>
      <c r="U55" s="3">
        <v>268798</v>
      </c>
      <c r="V55" s="3"/>
      <c r="W55" s="8">
        <f t="shared" si="2"/>
        <v>12627471</v>
      </c>
      <c r="X55" s="3"/>
      <c r="Y55" s="3">
        <v>0</v>
      </c>
      <c r="Z55" s="3"/>
      <c r="AA55" s="3">
        <v>0</v>
      </c>
      <c r="AB55" s="3"/>
      <c r="AC55" s="3">
        <v>0</v>
      </c>
      <c r="AD55" s="3"/>
      <c r="AE55" s="3">
        <v>0</v>
      </c>
      <c r="AF55" s="3"/>
      <c r="AG55" s="3" t="s">
        <v>272</v>
      </c>
      <c r="AH55" s="103"/>
      <c r="AI55" s="103" t="s">
        <v>214</v>
      </c>
      <c r="AJ55" s="3"/>
      <c r="AK55" s="3">
        <v>0</v>
      </c>
      <c r="AL55" s="3"/>
      <c r="AM55" s="3">
        <v>0</v>
      </c>
      <c r="AN55" s="3"/>
      <c r="AO55" s="3">
        <v>0</v>
      </c>
      <c r="AP55" s="3"/>
      <c r="AQ55" s="3">
        <v>0</v>
      </c>
      <c r="AR55" s="3"/>
      <c r="AS55" s="3">
        <v>0</v>
      </c>
      <c r="AT55" s="3"/>
      <c r="AU55" s="3">
        <f t="shared" si="3"/>
        <v>0</v>
      </c>
      <c r="AV55" s="3"/>
      <c r="AW55" s="3">
        <f t="shared" si="4"/>
        <v>12627471</v>
      </c>
    </row>
    <row r="56" spans="1:49" s="102" customFormat="1">
      <c r="A56" s="3" t="s">
        <v>285</v>
      </c>
      <c r="B56" s="103"/>
      <c r="C56" s="103" t="s">
        <v>145</v>
      </c>
      <c r="E56" s="103">
        <v>51607</v>
      </c>
      <c r="G56" s="3">
        <v>3183485</v>
      </c>
      <c r="H56" s="3"/>
      <c r="I56" s="3">
        <v>3806056</v>
      </c>
      <c r="J56" s="3"/>
      <c r="K56" s="3">
        <v>5861</v>
      </c>
      <c r="L56" s="3"/>
      <c r="M56" s="3">
        <v>0</v>
      </c>
      <c r="N56" s="3"/>
      <c r="O56" s="3">
        <v>0</v>
      </c>
      <c r="P56" s="3"/>
      <c r="Q56" s="3">
        <v>0</v>
      </c>
      <c r="R56" s="3"/>
      <c r="S56" s="3">
        <v>0</v>
      </c>
      <c r="T56" s="3"/>
      <c r="U56" s="3">
        <v>7207</v>
      </c>
      <c r="V56" s="3"/>
      <c r="W56" s="8">
        <f t="shared" si="2"/>
        <v>7002609</v>
      </c>
      <c r="X56" s="3"/>
      <c r="Y56" s="3">
        <v>0</v>
      </c>
      <c r="Z56" s="3"/>
      <c r="AA56" s="3">
        <v>0</v>
      </c>
      <c r="AB56" s="3"/>
      <c r="AC56" s="3">
        <v>0</v>
      </c>
      <c r="AD56" s="3"/>
      <c r="AE56" s="3">
        <v>0</v>
      </c>
      <c r="AF56" s="3"/>
      <c r="AG56" s="3" t="s">
        <v>285</v>
      </c>
      <c r="AH56" s="103"/>
      <c r="AI56" s="103" t="s">
        <v>145</v>
      </c>
      <c r="AJ56" s="3"/>
      <c r="AK56" s="3">
        <v>0</v>
      </c>
      <c r="AL56" s="3"/>
      <c r="AM56" s="3">
        <v>0</v>
      </c>
      <c r="AN56" s="3"/>
      <c r="AO56" s="3">
        <v>0</v>
      </c>
      <c r="AP56" s="3"/>
      <c r="AQ56" s="3">
        <v>0</v>
      </c>
      <c r="AR56" s="3"/>
      <c r="AS56" s="3">
        <v>0</v>
      </c>
      <c r="AT56" s="3"/>
      <c r="AU56" s="3">
        <f t="shared" si="3"/>
        <v>0</v>
      </c>
      <c r="AV56" s="3"/>
      <c r="AW56" s="3">
        <f t="shared" si="4"/>
        <v>7002609</v>
      </c>
    </row>
    <row r="57" spans="1:49" s="102" customFormat="1">
      <c r="A57" s="3" t="s">
        <v>215</v>
      </c>
      <c r="B57" s="103"/>
      <c r="C57" s="103" t="s">
        <v>216</v>
      </c>
      <c r="E57" s="103">
        <v>65268</v>
      </c>
      <c r="G57" s="3">
        <v>3787810</v>
      </c>
      <c r="H57" s="3"/>
      <c r="I57" s="3">
        <v>6368293</v>
      </c>
      <c r="J57" s="3"/>
      <c r="K57" s="3">
        <v>1837</v>
      </c>
      <c r="L57" s="3"/>
      <c r="M57" s="3">
        <f>1407+31699</f>
        <v>33106</v>
      </c>
      <c r="N57" s="3"/>
      <c r="O57" s="3">
        <v>0</v>
      </c>
      <c r="P57" s="3"/>
      <c r="Q57" s="3">
        <v>9490</v>
      </c>
      <c r="R57" s="3"/>
      <c r="S57" s="3">
        <v>1450</v>
      </c>
      <c r="T57" s="3"/>
      <c r="U57" s="3">
        <v>869353</v>
      </c>
      <c r="V57" s="3"/>
      <c r="W57" s="8">
        <f t="shared" si="2"/>
        <v>11071339</v>
      </c>
      <c r="X57" s="3"/>
      <c r="Y57" s="3">
        <v>0</v>
      </c>
      <c r="Z57" s="3"/>
      <c r="AA57" s="3">
        <v>0</v>
      </c>
      <c r="AB57" s="3"/>
      <c r="AC57" s="3">
        <v>0</v>
      </c>
      <c r="AD57" s="3"/>
      <c r="AE57" s="3">
        <v>0</v>
      </c>
      <c r="AF57" s="3"/>
      <c r="AG57" s="3" t="s">
        <v>215</v>
      </c>
      <c r="AH57" s="103"/>
      <c r="AI57" s="103" t="s">
        <v>216</v>
      </c>
      <c r="AJ57" s="3"/>
      <c r="AK57" s="3">
        <v>0</v>
      </c>
      <c r="AL57" s="3"/>
      <c r="AM57" s="3">
        <v>0</v>
      </c>
      <c r="AN57" s="3"/>
      <c r="AO57" s="3">
        <v>0</v>
      </c>
      <c r="AP57" s="3"/>
      <c r="AQ57" s="3">
        <v>374090</v>
      </c>
      <c r="AR57" s="3"/>
      <c r="AS57" s="3">
        <v>0</v>
      </c>
      <c r="AT57" s="3"/>
      <c r="AU57" s="3">
        <f t="shared" si="3"/>
        <v>374090</v>
      </c>
      <c r="AV57" s="3"/>
      <c r="AW57" s="3">
        <f t="shared" si="4"/>
        <v>11445429</v>
      </c>
    </row>
    <row r="58" spans="1:49" s="102" customFormat="1">
      <c r="A58" s="3" t="s">
        <v>366</v>
      </c>
      <c r="B58" s="103"/>
      <c r="C58" s="103" t="s">
        <v>197</v>
      </c>
      <c r="E58" s="103">
        <v>51631</v>
      </c>
      <c r="G58" s="3">
        <v>5013101</v>
      </c>
      <c r="H58" s="3"/>
      <c r="I58" s="3">
        <v>7283440</v>
      </c>
      <c r="J58" s="3"/>
      <c r="K58" s="3">
        <v>28461</v>
      </c>
      <c r="L58" s="3"/>
      <c r="M58" s="3">
        <f>28774+196780+115345</f>
        <v>340899</v>
      </c>
      <c r="N58" s="3"/>
      <c r="O58" s="3">
        <v>10199</v>
      </c>
      <c r="P58" s="3"/>
      <c r="Q58" s="3">
        <v>0</v>
      </c>
      <c r="R58" s="3"/>
      <c r="S58" s="3">
        <v>720</v>
      </c>
      <c r="T58" s="3"/>
      <c r="U58" s="3">
        <v>78532</v>
      </c>
      <c r="V58" s="3"/>
      <c r="W58" s="8">
        <f t="shared" si="2"/>
        <v>12755352</v>
      </c>
      <c r="X58" s="3"/>
      <c r="Y58" s="3">
        <v>0</v>
      </c>
      <c r="Z58" s="3"/>
      <c r="AA58" s="3">
        <v>0</v>
      </c>
      <c r="AB58" s="3"/>
      <c r="AC58" s="3">
        <v>0</v>
      </c>
      <c r="AD58" s="3"/>
      <c r="AE58" s="3">
        <v>0</v>
      </c>
      <c r="AF58" s="3"/>
      <c r="AG58" s="3" t="s">
        <v>366</v>
      </c>
      <c r="AH58" s="103"/>
      <c r="AI58" s="103" t="s">
        <v>197</v>
      </c>
      <c r="AJ58" s="3"/>
      <c r="AK58" s="3">
        <v>0</v>
      </c>
      <c r="AL58" s="3"/>
      <c r="AM58" s="3">
        <v>619</v>
      </c>
      <c r="AN58" s="3"/>
      <c r="AO58" s="3">
        <v>0</v>
      </c>
      <c r="AP58" s="3"/>
      <c r="AQ58" s="3">
        <v>0</v>
      </c>
      <c r="AR58" s="3"/>
      <c r="AS58" s="3">
        <v>0</v>
      </c>
      <c r="AT58" s="3"/>
      <c r="AU58" s="3">
        <f t="shared" si="3"/>
        <v>619</v>
      </c>
      <c r="AV58" s="3"/>
      <c r="AW58" s="3">
        <f t="shared" si="4"/>
        <v>12755971</v>
      </c>
    </row>
    <row r="59" spans="1:49" s="102" customFormat="1">
      <c r="A59" s="3" t="s">
        <v>206</v>
      </c>
      <c r="B59" s="103"/>
      <c r="C59" s="103" t="s">
        <v>154</v>
      </c>
      <c r="E59" s="103">
        <v>62802</v>
      </c>
      <c r="G59" s="3">
        <v>3870847</v>
      </c>
      <c r="H59" s="3"/>
      <c r="I59" s="3">
        <v>3731288</v>
      </c>
      <c r="J59" s="3"/>
      <c r="K59" s="3">
        <v>54455</v>
      </c>
      <c r="L59" s="3"/>
      <c r="M59" s="3">
        <f>178680+133277</f>
        <v>311957</v>
      </c>
      <c r="N59" s="3"/>
      <c r="O59" s="3">
        <v>0</v>
      </c>
      <c r="P59" s="3"/>
      <c r="Q59" s="3">
        <v>0</v>
      </c>
      <c r="R59" s="3"/>
      <c r="S59" s="3">
        <v>0</v>
      </c>
      <c r="T59" s="3"/>
      <c r="U59" s="3">
        <v>19065</v>
      </c>
      <c r="V59" s="3"/>
      <c r="W59" s="8">
        <f t="shared" si="2"/>
        <v>7987612</v>
      </c>
      <c r="X59" s="3"/>
      <c r="Y59" s="3">
        <v>0</v>
      </c>
      <c r="Z59" s="3"/>
      <c r="AA59" s="3">
        <v>0</v>
      </c>
      <c r="AB59" s="3"/>
      <c r="AC59" s="3">
        <v>0</v>
      </c>
      <c r="AD59" s="3"/>
      <c r="AE59" s="3">
        <v>0</v>
      </c>
      <c r="AF59" s="3"/>
      <c r="AG59" s="3" t="s">
        <v>206</v>
      </c>
      <c r="AH59" s="103"/>
      <c r="AI59" s="103" t="s">
        <v>154</v>
      </c>
      <c r="AJ59" s="3"/>
      <c r="AK59" s="3">
        <v>0</v>
      </c>
      <c r="AL59" s="3"/>
      <c r="AM59" s="3">
        <v>705</v>
      </c>
      <c r="AN59" s="3"/>
      <c r="AO59" s="3">
        <v>0</v>
      </c>
      <c r="AP59" s="3"/>
      <c r="AQ59" s="3">
        <v>0</v>
      </c>
      <c r="AR59" s="3"/>
      <c r="AS59" s="3">
        <v>0</v>
      </c>
      <c r="AT59" s="3"/>
      <c r="AU59" s="3">
        <f t="shared" si="3"/>
        <v>705</v>
      </c>
      <c r="AV59" s="3"/>
      <c r="AW59" s="3">
        <f t="shared" si="4"/>
        <v>7988317</v>
      </c>
    </row>
    <row r="60" spans="1:49" s="102" customFormat="1">
      <c r="A60" s="3" t="s">
        <v>354</v>
      </c>
      <c r="B60" s="103"/>
      <c r="C60" s="103" t="s">
        <v>180</v>
      </c>
      <c r="E60" s="103">
        <v>62125</v>
      </c>
      <c r="G60" s="3">
        <v>5207050</v>
      </c>
      <c r="H60" s="3"/>
      <c r="I60" s="3">
        <v>10883460</v>
      </c>
      <c r="J60" s="3"/>
      <c r="K60" s="3">
        <v>9535</v>
      </c>
      <c r="L60" s="3"/>
      <c r="M60" s="3">
        <f>19560+1912+85221</f>
        <v>106693</v>
      </c>
      <c r="N60" s="3"/>
      <c r="O60" s="3">
        <v>0</v>
      </c>
      <c r="P60" s="3"/>
      <c r="Q60" s="3">
        <v>0</v>
      </c>
      <c r="R60" s="3"/>
      <c r="S60" s="3">
        <v>12560</v>
      </c>
      <c r="T60" s="3"/>
      <c r="U60" s="3">
        <v>77620</v>
      </c>
      <c r="V60" s="3"/>
      <c r="W60" s="8">
        <f t="shared" si="2"/>
        <v>16296918</v>
      </c>
      <c r="X60" s="3"/>
      <c r="Y60" s="3">
        <v>0</v>
      </c>
      <c r="Z60" s="3"/>
      <c r="AA60" s="3">
        <v>0</v>
      </c>
      <c r="AB60" s="3"/>
      <c r="AC60" s="3">
        <v>0</v>
      </c>
      <c r="AD60" s="3"/>
      <c r="AE60" s="3">
        <v>0</v>
      </c>
      <c r="AF60" s="3"/>
      <c r="AG60" s="3" t="s">
        <v>354</v>
      </c>
      <c r="AH60" s="103"/>
      <c r="AI60" s="103" t="s">
        <v>180</v>
      </c>
      <c r="AJ60" s="3"/>
      <c r="AK60" s="3">
        <v>0</v>
      </c>
      <c r="AL60" s="3"/>
      <c r="AM60" s="3">
        <v>0</v>
      </c>
      <c r="AN60" s="3"/>
      <c r="AO60" s="3">
        <v>0</v>
      </c>
      <c r="AP60" s="3"/>
      <c r="AQ60" s="3">
        <v>0</v>
      </c>
      <c r="AR60" s="3"/>
      <c r="AS60" s="3">
        <v>0</v>
      </c>
      <c r="AT60" s="3"/>
      <c r="AU60" s="3">
        <f t="shared" si="3"/>
        <v>0</v>
      </c>
      <c r="AV60" s="3"/>
      <c r="AW60" s="3">
        <f t="shared" si="4"/>
        <v>16296918</v>
      </c>
    </row>
    <row r="61" spans="1:49" s="102" customFormat="1">
      <c r="A61" s="3" t="s">
        <v>250</v>
      </c>
      <c r="B61" s="103"/>
      <c r="C61" s="103" t="s">
        <v>191</v>
      </c>
      <c r="E61" s="103">
        <v>51458</v>
      </c>
      <c r="G61" s="3">
        <v>4021892</v>
      </c>
      <c r="H61" s="3"/>
      <c r="I61" s="3">
        <v>9115216</v>
      </c>
      <c r="J61" s="3"/>
      <c r="K61" s="3">
        <v>74938</v>
      </c>
      <c r="L61" s="3"/>
      <c r="M61" s="3">
        <f>98970+35797+89088</f>
        <v>223855</v>
      </c>
      <c r="N61" s="3"/>
      <c r="O61" s="3">
        <v>0</v>
      </c>
      <c r="P61" s="3"/>
      <c r="Q61" s="3">
        <v>0</v>
      </c>
      <c r="R61" s="3"/>
      <c r="S61" s="3">
        <v>10350</v>
      </c>
      <c r="T61" s="3"/>
      <c r="U61" s="3">
        <v>404826</v>
      </c>
      <c r="V61" s="3"/>
      <c r="W61" s="8">
        <f t="shared" si="2"/>
        <v>13851077</v>
      </c>
      <c r="X61" s="3"/>
      <c r="Y61" s="3">
        <v>0</v>
      </c>
      <c r="Z61" s="3"/>
      <c r="AA61" s="3">
        <v>0</v>
      </c>
      <c r="AB61" s="3"/>
      <c r="AC61" s="3">
        <v>73364</v>
      </c>
      <c r="AD61" s="3"/>
      <c r="AE61" s="3">
        <v>0</v>
      </c>
      <c r="AF61" s="3"/>
      <c r="AG61" s="3" t="s">
        <v>250</v>
      </c>
      <c r="AH61" s="103"/>
      <c r="AI61" s="103" t="s">
        <v>191</v>
      </c>
      <c r="AJ61" s="3"/>
      <c r="AK61" s="3">
        <v>0</v>
      </c>
      <c r="AL61" s="3"/>
      <c r="AM61" s="3">
        <v>0</v>
      </c>
      <c r="AN61" s="3"/>
      <c r="AO61" s="3">
        <v>0</v>
      </c>
      <c r="AP61" s="3"/>
      <c r="AQ61" s="3">
        <v>0</v>
      </c>
      <c r="AR61" s="3"/>
      <c r="AS61" s="3">
        <v>0</v>
      </c>
      <c r="AT61" s="3"/>
      <c r="AU61" s="3">
        <f t="shared" si="3"/>
        <v>73364</v>
      </c>
      <c r="AV61" s="3"/>
      <c r="AW61" s="3">
        <f t="shared" si="4"/>
        <v>13924441</v>
      </c>
    </row>
    <row r="62" spans="1:49" s="102" customFormat="1">
      <c r="A62" s="3" t="s">
        <v>251</v>
      </c>
      <c r="B62" s="103"/>
      <c r="C62" s="103" t="s">
        <v>200</v>
      </c>
      <c r="E62" s="103">
        <v>51672</v>
      </c>
      <c r="G62" s="3">
        <v>2545364</v>
      </c>
      <c r="H62" s="3"/>
      <c r="I62" s="3">
        <f>27657+4125799</f>
        <v>4153456</v>
      </c>
      <c r="J62" s="3"/>
      <c r="K62" s="3">
        <v>23947</v>
      </c>
      <c r="L62" s="3"/>
      <c r="M62" s="3">
        <f>512465+24162+6074+67706</f>
        <v>610407</v>
      </c>
      <c r="N62" s="3"/>
      <c r="O62" s="3">
        <v>5452</v>
      </c>
      <c r="P62" s="3"/>
      <c r="Q62" s="3">
        <v>29602</v>
      </c>
      <c r="R62" s="3"/>
      <c r="S62" s="3">
        <v>74000</v>
      </c>
      <c r="T62" s="3"/>
      <c r="U62" s="3">
        <v>19548</v>
      </c>
      <c r="V62" s="3"/>
      <c r="W62" s="8">
        <f t="shared" si="2"/>
        <v>7461776</v>
      </c>
      <c r="X62" s="3"/>
      <c r="Y62" s="3">
        <v>0</v>
      </c>
      <c r="Z62" s="3"/>
      <c r="AA62" s="3">
        <v>0</v>
      </c>
      <c r="AB62" s="3"/>
      <c r="AC62" s="3">
        <v>0</v>
      </c>
      <c r="AD62" s="3"/>
      <c r="AE62" s="3">
        <v>0</v>
      </c>
      <c r="AF62" s="3"/>
      <c r="AG62" s="3" t="s">
        <v>251</v>
      </c>
      <c r="AH62" s="103"/>
      <c r="AI62" s="103" t="s">
        <v>200</v>
      </c>
      <c r="AJ62" s="3"/>
      <c r="AK62" s="3">
        <v>0</v>
      </c>
      <c r="AL62" s="3"/>
      <c r="AM62" s="3">
        <v>0</v>
      </c>
      <c r="AN62" s="3"/>
      <c r="AO62" s="3">
        <v>0</v>
      </c>
      <c r="AP62" s="3"/>
      <c r="AQ62" s="3">
        <v>0</v>
      </c>
      <c r="AR62" s="3"/>
      <c r="AS62" s="3">
        <v>0</v>
      </c>
      <c r="AT62" s="3"/>
      <c r="AU62" s="3">
        <f t="shared" si="3"/>
        <v>0</v>
      </c>
      <c r="AV62" s="3"/>
      <c r="AW62" s="3">
        <f t="shared" si="4"/>
        <v>7461776</v>
      </c>
    </row>
    <row r="63" spans="1:49" s="102" customFormat="1">
      <c r="A63" s="3" t="s">
        <v>385</v>
      </c>
      <c r="B63" s="103"/>
      <c r="C63" s="103" t="s">
        <v>201</v>
      </c>
      <c r="E63" s="103">
        <v>51474</v>
      </c>
      <c r="G63" s="3">
        <v>9334957</v>
      </c>
      <c r="H63" s="3"/>
      <c r="I63" s="3">
        <v>5859104</v>
      </c>
      <c r="J63" s="3"/>
      <c r="K63" s="3">
        <v>102765</v>
      </c>
      <c r="L63" s="3"/>
      <c r="M63" s="3">
        <f>558019+34614</f>
        <v>592633</v>
      </c>
      <c r="N63" s="3"/>
      <c r="O63" s="3">
        <v>0</v>
      </c>
      <c r="P63" s="3"/>
      <c r="Q63" s="3">
        <v>119390</v>
      </c>
      <c r="R63" s="3"/>
      <c r="S63" s="3">
        <v>13408</v>
      </c>
      <c r="T63" s="3"/>
      <c r="U63" s="3">
        <v>188667</v>
      </c>
      <c r="V63" s="3"/>
      <c r="W63" s="8">
        <f t="shared" si="2"/>
        <v>16210924</v>
      </c>
      <c r="X63" s="3"/>
      <c r="Y63" s="3">
        <v>0</v>
      </c>
      <c r="Z63" s="3"/>
      <c r="AA63" s="3">
        <v>0</v>
      </c>
      <c r="AB63" s="3"/>
      <c r="AC63" s="3">
        <v>0</v>
      </c>
      <c r="AD63" s="3"/>
      <c r="AE63" s="3">
        <v>0</v>
      </c>
      <c r="AF63" s="3"/>
      <c r="AG63" s="3" t="s">
        <v>385</v>
      </c>
      <c r="AH63" s="103"/>
      <c r="AI63" s="103" t="s">
        <v>201</v>
      </c>
      <c r="AJ63" s="3"/>
      <c r="AK63" s="3">
        <v>0</v>
      </c>
      <c r="AL63" s="3"/>
      <c r="AM63" s="3">
        <v>2824</v>
      </c>
      <c r="AN63" s="3"/>
      <c r="AO63" s="3">
        <v>0</v>
      </c>
      <c r="AP63" s="3"/>
      <c r="AQ63" s="3">
        <v>0</v>
      </c>
      <c r="AR63" s="3"/>
      <c r="AS63" s="3">
        <v>0</v>
      </c>
      <c r="AT63" s="3"/>
      <c r="AU63" s="3">
        <f t="shared" si="3"/>
        <v>2824</v>
      </c>
      <c r="AV63" s="3"/>
      <c r="AW63" s="3">
        <f t="shared" si="4"/>
        <v>16213748</v>
      </c>
    </row>
    <row r="64" spans="1:49" s="102" customFormat="1">
      <c r="A64" s="3" t="s">
        <v>264</v>
      </c>
      <c r="B64" s="103"/>
      <c r="C64" s="103" t="s">
        <v>202</v>
      </c>
      <c r="E64" s="103">
        <v>51698</v>
      </c>
      <c r="G64" s="3">
        <v>1944458</v>
      </c>
      <c r="H64" s="3"/>
      <c r="I64" s="3">
        <v>3328635</v>
      </c>
      <c r="J64" s="3"/>
      <c r="K64" s="3">
        <v>161715</v>
      </c>
      <c r="L64" s="3"/>
      <c r="M64" s="3">
        <f>28628+72234</f>
        <v>100862</v>
      </c>
      <c r="N64" s="3"/>
      <c r="O64" s="3">
        <v>0</v>
      </c>
      <c r="P64" s="3"/>
      <c r="Q64" s="3">
        <v>33735</v>
      </c>
      <c r="R64" s="3"/>
      <c r="S64" s="3">
        <v>0</v>
      </c>
      <c r="T64" s="3"/>
      <c r="U64" s="3">
        <v>31263</v>
      </c>
      <c r="V64" s="3"/>
      <c r="W64" s="8">
        <f t="shared" si="2"/>
        <v>5600668</v>
      </c>
      <c r="X64" s="3"/>
      <c r="Y64" s="3">
        <v>0</v>
      </c>
      <c r="Z64" s="3"/>
      <c r="AA64" s="3">
        <v>0</v>
      </c>
      <c r="AB64" s="3"/>
      <c r="AC64" s="3">
        <v>18370</v>
      </c>
      <c r="AD64" s="3"/>
      <c r="AE64" s="3">
        <v>0</v>
      </c>
      <c r="AF64" s="3"/>
      <c r="AG64" s="3" t="s">
        <v>264</v>
      </c>
      <c r="AH64" s="103"/>
      <c r="AI64" s="103" t="s">
        <v>202</v>
      </c>
      <c r="AJ64" s="3"/>
      <c r="AK64" s="3">
        <v>0</v>
      </c>
      <c r="AL64" s="3"/>
      <c r="AM64" s="3">
        <v>11322</v>
      </c>
      <c r="AN64" s="3"/>
      <c r="AO64" s="3">
        <v>0</v>
      </c>
      <c r="AP64" s="3"/>
      <c r="AQ64" s="3">
        <v>0</v>
      </c>
      <c r="AR64" s="3"/>
      <c r="AS64" s="3">
        <v>0</v>
      </c>
      <c r="AT64" s="3"/>
      <c r="AU64" s="3">
        <f t="shared" si="3"/>
        <v>29692</v>
      </c>
      <c r="AV64" s="3"/>
      <c r="AW64" s="3">
        <f t="shared" si="4"/>
        <v>5630360</v>
      </c>
    </row>
    <row r="65" spans="1:49" s="102" customFormat="1">
      <c r="A65" s="3" t="s">
        <v>352</v>
      </c>
      <c r="B65" s="103"/>
      <c r="C65" s="103" t="s">
        <v>203</v>
      </c>
      <c r="E65" s="103">
        <v>51714</v>
      </c>
      <c r="G65" s="3">
        <v>3991436</v>
      </c>
      <c r="H65" s="3"/>
      <c r="I65" s="3">
        <v>6754740</v>
      </c>
      <c r="J65" s="3"/>
      <c r="K65" s="3">
        <v>12733</v>
      </c>
      <c r="L65" s="3"/>
      <c r="M65" s="3">
        <f>249995+5600+96244</f>
        <v>351839</v>
      </c>
      <c r="N65" s="3"/>
      <c r="O65" s="3">
        <v>0</v>
      </c>
      <c r="P65" s="3"/>
      <c r="Q65" s="3">
        <v>1335</v>
      </c>
      <c r="R65" s="3"/>
      <c r="S65" s="3">
        <v>114753</v>
      </c>
      <c r="T65" s="3"/>
      <c r="U65" s="3">
        <v>2992</v>
      </c>
      <c r="V65" s="3"/>
      <c r="W65" s="8">
        <f t="shared" si="2"/>
        <v>11229828</v>
      </c>
      <c r="X65" s="3"/>
      <c r="Y65" s="3">
        <v>0</v>
      </c>
      <c r="Z65" s="3"/>
      <c r="AA65" s="3">
        <v>0</v>
      </c>
      <c r="AB65" s="3"/>
      <c r="AC65" s="3">
        <v>0</v>
      </c>
      <c r="AD65" s="3"/>
      <c r="AE65" s="3">
        <v>0</v>
      </c>
      <c r="AF65" s="3"/>
      <c r="AG65" s="3" t="s">
        <v>352</v>
      </c>
      <c r="AH65" s="103"/>
      <c r="AI65" s="103" t="s">
        <v>203</v>
      </c>
      <c r="AJ65" s="3"/>
      <c r="AK65" s="3">
        <v>0</v>
      </c>
      <c r="AL65" s="3"/>
      <c r="AM65" s="3">
        <v>10010</v>
      </c>
      <c r="AN65" s="3"/>
      <c r="AO65" s="3">
        <v>0</v>
      </c>
      <c r="AP65" s="3"/>
      <c r="AQ65" s="3">
        <v>0</v>
      </c>
      <c r="AR65" s="3"/>
      <c r="AS65" s="3">
        <v>0</v>
      </c>
      <c r="AT65" s="3"/>
      <c r="AU65" s="3">
        <f t="shared" si="3"/>
        <v>10010</v>
      </c>
      <c r="AV65" s="3"/>
      <c r="AW65" s="3">
        <f t="shared" si="4"/>
        <v>11239838</v>
      </c>
    </row>
    <row r="66" spans="1:49">
      <c r="A66" s="121"/>
      <c r="B66" s="121"/>
      <c r="C66" s="121"/>
      <c r="D66" s="121"/>
      <c r="E66" s="121"/>
      <c r="F66" s="121"/>
      <c r="G66" s="121"/>
      <c r="H66" s="121"/>
      <c r="AA66" s="33" t="s">
        <v>254</v>
      </c>
      <c r="AB66" s="33"/>
      <c r="AC66" s="30"/>
      <c r="AD66" s="33"/>
      <c r="AM66" s="30"/>
      <c r="AN66" s="30"/>
      <c r="AO66" s="30"/>
      <c r="AP66" s="30"/>
      <c r="AQ66" s="30"/>
      <c r="AR66" s="30"/>
      <c r="AS66" s="30"/>
      <c r="AT66" s="30"/>
      <c r="AU66" s="3"/>
      <c r="AV66" s="30"/>
    </row>
    <row r="67" spans="1:49">
      <c r="A67" s="3"/>
      <c r="B67" s="15"/>
      <c r="C67" s="3"/>
      <c r="E67" s="15"/>
      <c r="AC67" s="30"/>
      <c r="AE67" s="16"/>
      <c r="AG67" s="3"/>
      <c r="AH67" s="15"/>
      <c r="AI67" s="3"/>
      <c r="AM67" s="30"/>
      <c r="AN67" s="30"/>
      <c r="AO67" s="30"/>
      <c r="AP67" s="30"/>
      <c r="AQ67" s="30"/>
      <c r="AR67" s="30"/>
      <c r="AS67" s="30"/>
      <c r="AT67" s="30"/>
      <c r="AU67" s="3"/>
      <c r="AV67" s="30"/>
      <c r="AW67" s="16"/>
    </row>
    <row r="68" spans="1:49">
      <c r="A68" s="34" t="s">
        <v>253</v>
      </c>
      <c r="B68" s="15"/>
      <c r="C68" s="15"/>
      <c r="E68" s="15"/>
      <c r="AC68" s="30"/>
      <c r="AG68" s="34" t="s">
        <v>253</v>
      </c>
      <c r="AH68" s="15"/>
      <c r="AI68" s="15"/>
      <c r="AM68" s="30"/>
      <c r="AN68" s="30"/>
      <c r="AO68" s="30"/>
      <c r="AP68" s="30"/>
      <c r="AQ68" s="30"/>
      <c r="AR68" s="30"/>
      <c r="AS68" s="30"/>
      <c r="AT68" s="30"/>
      <c r="AU68" s="3"/>
      <c r="AV68" s="30"/>
      <c r="AW68" s="30"/>
    </row>
    <row r="69" spans="1:49">
      <c r="A69" s="34"/>
      <c r="B69" s="15"/>
      <c r="C69" s="15"/>
      <c r="E69" s="15"/>
      <c r="AC69" s="30"/>
      <c r="AG69" s="34"/>
      <c r="AH69" s="15"/>
      <c r="AI69" s="15"/>
      <c r="AM69" s="30"/>
      <c r="AN69" s="30"/>
      <c r="AO69" s="30"/>
      <c r="AP69" s="30"/>
      <c r="AQ69" s="30"/>
      <c r="AR69" s="30"/>
      <c r="AS69" s="30"/>
      <c r="AT69" s="30"/>
      <c r="AU69" s="3"/>
      <c r="AV69" s="30"/>
      <c r="AW69" s="30"/>
    </row>
    <row r="70" spans="1:49" s="65" customFormat="1" hidden="1">
      <c r="A70" s="58" t="s">
        <v>327</v>
      </c>
      <c r="B70" s="58"/>
      <c r="C70" s="58" t="s">
        <v>260</v>
      </c>
      <c r="E70" s="75">
        <v>45740</v>
      </c>
      <c r="G70" s="61">
        <v>0</v>
      </c>
      <c r="H70" s="61"/>
      <c r="I70" s="61">
        <v>0</v>
      </c>
      <c r="J70" s="61"/>
      <c r="K70" s="61">
        <v>0</v>
      </c>
      <c r="L70" s="61"/>
      <c r="M70" s="61">
        <v>0</v>
      </c>
      <c r="N70" s="61"/>
      <c r="O70" s="61">
        <v>0</v>
      </c>
      <c r="P70" s="61"/>
      <c r="Q70" s="61">
        <v>0</v>
      </c>
      <c r="R70" s="61"/>
      <c r="S70" s="61">
        <v>0</v>
      </c>
      <c r="T70" s="61"/>
      <c r="U70" s="61">
        <v>0</v>
      </c>
      <c r="V70" s="61"/>
      <c r="W70" s="64">
        <f>SUM(G70:V70)</f>
        <v>0</v>
      </c>
      <c r="X70" s="61"/>
      <c r="Y70" s="61">
        <v>0</v>
      </c>
      <c r="Z70" s="61"/>
      <c r="AA70" s="61"/>
      <c r="AB70" s="61"/>
      <c r="AC70" s="61">
        <v>0</v>
      </c>
      <c r="AD70" s="61"/>
      <c r="AE70" s="61">
        <v>0</v>
      </c>
      <c r="AF70" s="61"/>
      <c r="AG70" s="58" t="s">
        <v>327</v>
      </c>
      <c r="AH70" s="58"/>
      <c r="AI70" s="58" t="s">
        <v>260</v>
      </c>
      <c r="AJ70" s="61"/>
      <c r="AK70" s="61"/>
      <c r="AL70" s="61"/>
      <c r="AM70" s="61">
        <v>0</v>
      </c>
      <c r="AN70" s="58"/>
      <c r="AO70" s="58"/>
      <c r="AP70" s="58"/>
      <c r="AQ70" s="61">
        <v>0</v>
      </c>
      <c r="AR70" s="58"/>
      <c r="AS70" s="61">
        <v>0</v>
      </c>
      <c r="AT70" s="58"/>
      <c r="AU70" s="58">
        <f t="shared" ref="AU70:AU93" si="5">SUM(Y70:AS70)</f>
        <v>0</v>
      </c>
      <c r="AV70" s="58"/>
      <c r="AW70" s="58">
        <f t="shared" ref="AW70:AW93" si="6">+AU70+W70</f>
        <v>0</v>
      </c>
    </row>
    <row r="71" spans="1:49" s="65" customFormat="1" hidden="1">
      <c r="A71" s="58" t="s">
        <v>328</v>
      </c>
      <c r="B71" s="58"/>
      <c r="C71" s="58" t="s">
        <v>144</v>
      </c>
      <c r="E71" s="75">
        <v>45849</v>
      </c>
      <c r="G71" s="58">
        <v>0</v>
      </c>
      <c r="H71" s="58"/>
      <c r="I71" s="58">
        <v>0</v>
      </c>
      <c r="J71" s="58"/>
      <c r="K71" s="58">
        <v>0</v>
      </c>
      <c r="L71" s="58"/>
      <c r="M71" s="58">
        <v>0</v>
      </c>
      <c r="N71" s="58"/>
      <c r="O71" s="58">
        <v>0</v>
      </c>
      <c r="P71" s="58"/>
      <c r="Q71" s="58">
        <v>0</v>
      </c>
      <c r="R71" s="58"/>
      <c r="S71" s="58">
        <v>0</v>
      </c>
      <c r="T71" s="58"/>
      <c r="U71" s="58">
        <v>0</v>
      </c>
      <c r="V71" s="58"/>
      <c r="W71" s="63">
        <f>SUM(G71:V71)</f>
        <v>0</v>
      </c>
      <c r="X71" s="58"/>
      <c r="Y71" s="58">
        <v>0</v>
      </c>
      <c r="Z71" s="58"/>
      <c r="AA71" s="58"/>
      <c r="AB71" s="58"/>
      <c r="AC71" s="58">
        <v>0</v>
      </c>
      <c r="AD71" s="58"/>
      <c r="AE71" s="58">
        <v>0</v>
      </c>
      <c r="AF71" s="58"/>
      <c r="AG71" s="58" t="s">
        <v>328</v>
      </c>
      <c r="AH71" s="58"/>
      <c r="AI71" s="58" t="s">
        <v>144</v>
      </c>
      <c r="AJ71" s="58"/>
      <c r="AK71" s="58"/>
      <c r="AL71" s="58"/>
      <c r="AM71" s="58">
        <v>0</v>
      </c>
      <c r="AN71" s="58"/>
      <c r="AO71" s="58"/>
      <c r="AP71" s="58"/>
      <c r="AQ71" s="58">
        <v>0</v>
      </c>
      <c r="AR71" s="58"/>
      <c r="AS71" s="58">
        <v>0</v>
      </c>
      <c r="AT71" s="58"/>
      <c r="AU71" s="58">
        <f t="shared" si="5"/>
        <v>0</v>
      </c>
      <c r="AV71" s="58"/>
      <c r="AW71" s="58">
        <f t="shared" si="6"/>
        <v>0</v>
      </c>
    </row>
    <row r="72" spans="1:49" s="102" customFormat="1">
      <c r="A72" s="3" t="s">
        <v>148</v>
      </c>
      <c r="B72" s="103"/>
      <c r="C72" s="103" t="s">
        <v>145</v>
      </c>
      <c r="E72" s="103">
        <v>135145</v>
      </c>
      <c r="G72" s="19">
        <v>0</v>
      </c>
      <c r="H72" s="19"/>
      <c r="I72" s="19">
        <v>586191</v>
      </c>
      <c r="J72" s="19"/>
      <c r="K72" s="19">
        <v>6207</v>
      </c>
      <c r="L72" s="19"/>
      <c r="M72" s="19">
        <f>2653393+839438</f>
        <v>3492831</v>
      </c>
      <c r="N72" s="19"/>
      <c r="O72" s="19">
        <v>0</v>
      </c>
      <c r="P72" s="19"/>
      <c r="Q72" s="19">
        <v>0</v>
      </c>
      <c r="R72" s="19"/>
      <c r="S72" s="19">
        <v>51</v>
      </c>
      <c r="T72" s="19"/>
      <c r="U72" s="19">
        <v>97493</v>
      </c>
      <c r="V72" s="19"/>
      <c r="W72" s="112">
        <f>SUM(G72:V72)</f>
        <v>4182773</v>
      </c>
      <c r="X72" s="19"/>
      <c r="Y72" s="19">
        <v>0</v>
      </c>
      <c r="Z72" s="19"/>
      <c r="AA72" s="19">
        <v>0</v>
      </c>
      <c r="AB72" s="19"/>
      <c r="AC72" s="19">
        <v>0</v>
      </c>
      <c r="AD72" s="19"/>
      <c r="AE72" s="19">
        <v>0</v>
      </c>
      <c r="AF72" s="19"/>
      <c r="AG72" s="3" t="s">
        <v>148</v>
      </c>
      <c r="AH72" s="103"/>
      <c r="AI72" s="103" t="s">
        <v>145</v>
      </c>
      <c r="AJ72" s="19"/>
      <c r="AK72" s="19">
        <v>0</v>
      </c>
      <c r="AL72" s="19"/>
      <c r="AM72" s="19">
        <v>0</v>
      </c>
      <c r="AN72" s="19"/>
      <c r="AO72" s="19">
        <v>0</v>
      </c>
      <c r="AP72" s="19"/>
      <c r="AQ72" s="19">
        <v>0</v>
      </c>
      <c r="AR72" s="19"/>
      <c r="AS72" s="19">
        <v>0</v>
      </c>
      <c r="AT72" s="19"/>
      <c r="AU72" s="19">
        <f t="shared" si="5"/>
        <v>0</v>
      </c>
      <c r="AV72" s="19"/>
      <c r="AW72" s="19">
        <f t="shared" si="6"/>
        <v>4182773</v>
      </c>
    </row>
    <row r="73" spans="1:49" s="65" customFormat="1" hidden="1">
      <c r="A73" s="58" t="s">
        <v>329</v>
      </c>
      <c r="B73" s="58"/>
      <c r="C73" s="58" t="s">
        <v>261</v>
      </c>
      <c r="E73" s="59">
        <v>45930</v>
      </c>
      <c r="G73" s="58">
        <v>0</v>
      </c>
      <c r="H73" s="58"/>
      <c r="I73" s="58">
        <v>0</v>
      </c>
      <c r="J73" s="58"/>
      <c r="K73" s="58">
        <v>0</v>
      </c>
      <c r="L73" s="58"/>
      <c r="M73" s="58">
        <v>0</v>
      </c>
      <c r="N73" s="58"/>
      <c r="O73" s="58">
        <v>0</v>
      </c>
      <c r="P73" s="58"/>
      <c r="Q73" s="58">
        <v>0</v>
      </c>
      <c r="R73" s="58"/>
      <c r="S73" s="58">
        <v>0</v>
      </c>
      <c r="T73" s="58"/>
      <c r="U73" s="58">
        <v>0</v>
      </c>
      <c r="V73" s="58"/>
      <c r="W73" s="63">
        <f>SUM(G73:V73)</f>
        <v>0</v>
      </c>
      <c r="X73" s="58"/>
      <c r="Y73" s="58">
        <v>0</v>
      </c>
      <c r="Z73" s="58"/>
      <c r="AA73" s="58"/>
      <c r="AB73" s="58"/>
      <c r="AC73" s="58">
        <v>0</v>
      </c>
      <c r="AD73" s="58"/>
      <c r="AE73" s="58">
        <v>0</v>
      </c>
      <c r="AF73" s="58"/>
      <c r="AG73" s="58" t="s">
        <v>329</v>
      </c>
      <c r="AH73" s="58"/>
      <c r="AI73" s="58" t="s">
        <v>261</v>
      </c>
      <c r="AJ73" s="58"/>
      <c r="AK73" s="58"/>
      <c r="AL73" s="58"/>
      <c r="AM73" s="58">
        <v>0</v>
      </c>
      <c r="AN73" s="58"/>
      <c r="AO73" s="58"/>
      <c r="AP73" s="58"/>
      <c r="AQ73" s="58">
        <v>0</v>
      </c>
      <c r="AR73" s="58"/>
      <c r="AS73" s="58">
        <v>0</v>
      </c>
      <c r="AT73" s="58"/>
      <c r="AU73" s="58">
        <f t="shared" si="5"/>
        <v>0</v>
      </c>
      <c r="AV73" s="58"/>
      <c r="AW73" s="58">
        <f t="shared" si="6"/>
        <v>0</v>
      </c>
    </row>
    <row r="74" spans="1:49" s="102" customFormat="1">
      <c r="A74" s="103" t="s">
        <v>286</v>
      </c>
      <c r="B74" s="103"/>
      <c r="C74" s="103" t="s">
        <v>150</v>
      </c>
      <c r="E74" s="103">
        <v>46029</v>
      </c>
      <c r="G74" s="3">
        <v>0</v>
      </c>
      <c r="H74" s="3"/>
      <c r="I74" s="3">
        <v>671245</v>
      </c>
      <c r="J74" s="3"/>
      <c r="K74" s="3">
        <v>6562</v>
      </c>
      <c r="L74" s="3"/>
      <c r="M74" s="3">
        <f>109841+3409497</f>
        <v>3519338</v>
      </c>
      <c r="N74" s="3"/>
      <c r="O74" s="3">
        <v>0</v>
      </c>
      <c r="P74" s="3"/>
      <c r="Q74" s="3">
        <v>0</v>
      </c>
      <c r="R74" s="3"/>
      <c r="S74" s="3">
        <v>0</v>
      </c>
      <c r="T74" s="3"/>
      <c r="U74" s="3">
        <v>0</v>
      </c>
      <c r="V74" s="3"/>
      <c r="W74" s="8">
        <f>SUM(G74:V74)</f>
        <v>4197145</v>
      </c>
      <c r="X74" s="3"/>
      <c r="Y74" s="3">
        <v>0</v>
      </c>
      <c r="Z74" s="3"/>
      <c r="AA74" s="3">
        <v>0</v>
      </c>
      <c r="AB74" s="3"/>
      <c r="AC74" s="3">
        <v>0</v>
      </c>
      <c r="AD74" s="3"/>
      <c r="AE74" s="3">
        <v>0</v>
      </c>
      <c r="AF74" s="3"/>
      <c r="AG74" s="103" t="s">
        <v>286</v>
      </c>
      <c r="AH74" s="103"/>
      <c r="AI74" s="103" t="s">
        <v>150</v>
      </c>
      <c r="AJ74" s="3"/>
      <c r="AK74" s="3">
        <v>0</v>
      </c>
      <c r="AL74" s="3"/>
      <c r="AM74" s="3">
        <v>0</v>
      </c>
      <c r="AN74" s="3"/>
      <c r="AO74" s="3">
        <v>0</v>
      </c>
      <c r="AP74" s="3"/>
      <c r="AQ74" s="3">
        <v>0</v>
      </c>
      <c r="AR74" s="3"/>
      <c r="AS74" s="3">
        <v>0</v>
      </c>
      <c r="AT74" s="3"/>
      <c r="AU74" s="3">
        <f t="shared" si="5"/>
        <v>0</v>
      </c>
      <c r="AV74" s="3"/>
      <c r="AW74" s="3">
        <f t="shared" si="6"/>
        <v>4197145</v>
      </c>
    </row>
    <row r="75" spans="1:49" s="102" customFormat="1">
      <c r="A75" s="103" t="s">
        <v>287</v>
      </c>
      <c r="B75" s="103"/>
      <c r="C75" s="103" t="s">
        <v>147</v>
      </c>
      <c r="E75" s="103">
        <v>46086</v>
      </c>
      <c r="G75" s="3">
        <v>0</v>
      </c>
      <c r="H75" s="3"/>
      <c r="I75" s="3">
        <v>2397984</v>
      </c>
      <c r="J75" s="3"/>
      <c r="K75" s="3">
        <v>1107</v>
      </c>
      <c r="L75" s="3"/>
      <c r="M75" s="3">
        <v>14755227</v>
      </c>
      <c r="N75" s="3"/>
      <c r="O75" s="3">
        <v>0</v>
      </c>
      <c r="P75" s="3"/>
      <c r="Q75" s="3">
        <v>0</v>
      </c>
      <c r="R75" s="3"/>
      <c r="S75" s="3">
        <v>0</v>
      </c>
      <c r="T75" s="3"/>
      <c r="U75" s="3">
        <f>712854</f>
        <v>712854</v>
      </c>
      <c r="V75" s="3"/>
      <c r="W75" s="8">
        <f t="shared" ref="W75:W131" si="7">SUM(G75:V75)</f>
        <v>17867172</v>
      </c>
      <c r="X75" s="3"/>
      <c r="Y75" s="3">
        <v>0</v>
      </c>
      <c r="Z75" s="3"/>
      <c r="AA75" s="3">
        <v>0</v>
      </c>
      <c r="AB75" s="3"/>
      <c r="AC75" s="3">
        <v>0</v>
      </c>
      <c r="AD75" s="3"/>
      <c r="AE75" s="3">
        <v>0</v>
      </c>
      <c r="AF75" s="3"/>
      <c r="AG75" s="103" t="s">
        <v>287</v>
      </c>
      <c r="AH75" s="103"/>
      <c r="AI75" s="103" t="s">
        <v>147</v>
      </c>
      <c r="AJ75" s="3"/>
      <c r="AK75" s="3">
        <v>0</v>
      </c>
      <c r="AL75" s="3"/>
      <c r="AM75" s="3">
        <v>0</v>
      </c>
      <c r="AN75" s="3"/>
      <c r="AO75" s="3">
        <v>0</v>
      </c>
      <c r="AP75" s="3"/>
      <c r="AQ75" s="3">
        <v>0</v>
      </c>
      <c r="AR75" s="3"/>
      <c r="AS75" s="3">
        <v>0</v>
      </c>
      <c r="AT75" s="3"/>
      <c r="AU75" s="3">
        <f t="shared" si="5"/>
        <v>0</v>
      </c>
      <c r="AV75" s="3"/>
      <c r="AW75" s="3">
        <f t="shared" si="6"/>
        <v>17867172</v>
      </c>
    </row>
    <row r="76" spans="1:49" s="102" customFormat="1">
      <c r="A76" s="103" t="s">
        <v>288</v>
      </c>
      <c r="B76" s="103"/>
      <c r="C76" s="103" t="s">
        <v>152</v>
      </c>
      <c r="E76" s="103">
        <v>46227</v>
      </c>
      <c r="G76" s="3">
        <v>0</v>
      </c>
      <c r="H76" s="3"/>
      <c r="I76" s="3">
        <v>1461243</v>
      </c>
      <c r="J76" s="3"/>
      <c r="K76" s="3">
        <v>1489</v>
      </c>
      <c r="L76" s="3"/>
      <c r="M76" s="3">
        <f>355684+3640888</f>
        <v>3996572</v>
      </c>
      <c r="N76" s="3"/>
      <c r="O76" s="3">
        <v>0</v>
      </c>
      <c r="P76" s="3"/>
      <c r="Q76" s="3">
        <v>0</v>
      </c>
      <c r="R76" s="3"/>
      <c r="S76" s="3">
        <v>0</v>
      </c>
      <c r="T76" s="3"/>
      <c r="U76" s="3">
        <v>269862</v>
      </c>
      <c r="V76" s="3"/>
      <c r="W76" s="8">
        <f t="shared" si="7"/>
        <v>5729166</v>
      </c>
      <c r="X76" s="3"/>
      <c r="Y76" s="3">
        <v>0</v>
      </c>
      <c r="Z76" s="3"/>
      <c r="AA76" s="3">
        <v>0</v>
      </c>
      <c r="AB76" s="3"/>
      <c r="AC76" s="3">
        <v>0</v>
      </c>
      <c r="AD76" s="3"/>
      <c r="AE76" s="3">
        <v>0</v>
      </c>
      <c r="AF76" s="3"/>
      <c r="AG76" s="103" t="s">
        <v>288</v>
      </c>
      <c r="AH76" s="103"/>
      <c r="AI76" s="103" t="s">
        <v>152</v>
      </c>
      <c r="AJ76" s="3"/>
      <c r="AK76" s="3">
        <v>0</v>
      </c>
      <c r="AL76" s="3"/>
      <c r="AM76" s="3">
        <v>0</v>
      </c>
      <c r="AN76" s="3"/>
      <c r="AO76" s="3">
        <v>0</v>
      </c>
      <c r="AP76" s="3"/>
      <c r="AQ76" s="3">
        <v>0</v>
      </c>
      <c r="AR76" s="3"/>
      <c r="AS76" s="3">
        <v>0</v>
      </c>
      <c r="AT76" s="3"/>
      <c r="AU76" s="3">
        <f t="shared" si="5"/>
        <v>0</v>
      </c>
      <c r="AV76" s="3"/>
      <c r="AW76" s="3">
        <f t="shared" si="6"/>
        <v>5729166</v>
      </c>
    </row>
    <row r="77" spans="1:49" s="102" customFormat="1">
      <c r="A77" s="3" t="s">
        <v>153</v>
      </c>
      <c r="B77" s="103"/>
      <c r="C77" s="103" t="s">
        <v>154</v>
      </c>
      <c r="E77" s="103">
        <v>46292</v>
      </c>
      <c r="G77" s="3">
        <v>0</v>
      </c>
      <c r="H77" s="3"/>
      <c r="I77" s="3">
        <v>1536864</v>
      </c>
      <c r="J77" s="3"/>
      <c r="K77" s="3">
        <v>2529</v>
      </c>
      <c r="L77" s="3"/>
      <c r="M77" s="3">
        <f>14718460+203471</f>
        <v>14921931</v>
      </c>
      <c r="N77" s="3"/>
      <c r="O77" s="3">
        <v>0</v>
      </c>
      <c r="P77" s="3"/>
      <c r="Q77" s="3">
        <v>0</v>
      </c>
      <c r="R77" s="3"/>
      <c r="S77" s="3">
        <v>6965</v>
      </c>
      <c r="T77" s="3"/>
      <c r="U77" s="3">
        <f>550894+82802</f>
        <v>633696</v>
      </c>
      <c r="V77" s="3"/>
      <c r="W77" s="8">
        <f t="shared" si="7"/>
        <v>17101985</v>
      </c>
      <c r="X77" s="3"/>
      <c r="Y77" s="3">
        <v>0</v>
      </c>
      <c r="Z77" s="3"/>
      <c r="AA77" s="3">
        <v>0</v>
      </c>
      <c r="AB77" s="3"/>
      <c r="AC77" s="3">
        <v>0</v>
      </c>
      <c r="AD77" s="3"/>
      <c r="AE77" s="3">
        <v>0</v>
      </c>
      <c r="AF77" s="3"/>
      <c r="AG77" s="3" t="s">
        <v>153</v>
      </c>
      <c r="AH77" s="103"/>
      <c r="AI77" s="103" t="s">
        <v>154</v>
      </c>
      <c r="AJ77" s="3"/>
      <c r="AK77" s="3">
        <v>0</v>
      </c>
      <c r="AL77" s="3"/>
      <c r="AM77" s="3">
        <v>0</v>
      </c>
      <c r="AN77" s="3"/>
      <c r="AO77" s="3">
        <v>0</v>
      </c>
      <c r="AP77" s="3"/>
      <c r="AQ77" s="3">
        <v>0</v>
      </c>
      <c r="AR77" s="3"/>
      <c r="AS77" s="3">
        <v>0</v>
      </c>
      <c r="AT77" s="3"/>
      <c r="AU77" s="3">
        <f t="shared" si="5"/>
        <v>0</v>
      </c>
      <c r="AV77" s="3"/>
      <c r="AW77" s="3">
        <f t="shared" si="6"/>
        <v>17101985</v>
      </c>
    </row>
    <row r="78" spans="1:49" s="92" customFormat="1" hidden="1">
      <c r="A78" s="89" t="s">
        <v>276</v>
      </c>
      <c r="B78" s="89"/>
      <c r="C78" s="89" t="s">
        <v>155</v>
      </c>
      <c r="E78" s="89">
        <v>46375</v>
      </c>
      <c r="G78" s="88">
        <v>0</v>
      </c>
      <c r="H78" s="88"/>
      <c r="I78" s="88">
        <v>0</v>
      </c>
      <c r="J78" s="88"/>
      <c r="K78" s="88">
        <v>0</v>
      </c>
      <c r="L78" s="88"/>
      <c r="M78" s="88">
        <v>0</v>
      </c>
      <c r="N78" s="88"/>
      <c r="O78" s="88">
        <v>0</v>
      </c>
      <c r="P78" s="88"/>
      <c r="Q78" s="88">
        <v>0</v>
      </c>
      <c r="R78" s="88"/>
      <c r="S78" s="88">
        <v>0</v>
      </c>
      <c r="T78" s="88"/>
      <c r="U78" s="88">
        <v>0</v>
      </c>
      <c r="V78" s="88"/>
      <c r="W78" s="95">
        <f t="shared" si="7"/>
        <v>0</v>
      </c>
      <c r="X78" s="88"/>
      <c r="Y78" s="88">
        <v>0</v>
      </c>
      <c r="Z78" s="88"/>
      <c r="AA78" s="88"/>
      <c r="AB78" s="88"/>
      <c r="AC78" s="88">
        <v>0</v>
      </c>
      <c r="AD78" s="88"/>
      <c r="AE78" s="88">
        <v>0</v>
      </c>
      <c r="AF78" s="88"/>
      <c r="AG78" s="89" t="s">
        <v>276</v>
      </c>
      <c r="AH78" s="89"/>
      <c r="AI78" s="89" t="s">
        <v>155</v>
      </c>
      <c r="AJ78" s="88"/>
      <c r="AK78" s="88"/>
      <c r="AL78" s="88"/>
      <c r="AM78" s="88">
        <v>0</v>
      </c>
      <c r="AN78" s="88"/>
      <c r="AO78" s="88"/>
      <c r="AP78" s="88"/>
      <c r="AQ78" s="88">
        <v>0</v>
      </c>
      <c r="AR78" s="88"/>
      <c r="AS78" s="88">
        <v>0</v>
      </c>
      <c r="AT78" s="88"/>
      <c r="AU78" s="88">
        <f t="shared" si="5"/>
        <v>0</v>
      </c>
      <c r="AV78" s="88"/>
      <c r="AW78" s="88">
        <f t="shared" si="6"/>
        <v>0</v>
      </c>
    </row>
    <row r="79" spans="1:49" s="102" customFormat="1">
      <c r="A79" s="103" t="s">
        <v>304</v>
      </c>
      <c r="B79" s="103"/>
      <c r="C79" s="103" t="s">
        <v>156</v>
      </c>
      <c r="E79" s="103">
        <v>46417</v>
      </c>
      <c r="G79" s="3">
        <v>0</v>
      </c>
      <c r="H79" s="3"/>
      <c r="I79" s="3">
        <f>1625+1359614+22856</f>
        <v>1384095</v>
      </c>
      <c r="J79" s="3"/>
      <c r="K79" s="3">
        <v>46</v>
      </c>
      <c r="L79" s="3"/>
      <c r="M79" s="3">
        <f>7883439+1800</f>
        <v>7885239</v>
      </c>
      <c r="N79" s="3"/>
      <c r="O79" s="3">
        <v>1219</v>
      </c>
      <c r="P79" s="3"/>
      <c r="Q79" s="3">
        <v>0</v>
      </c>
      <c r="R79" s="3"/>
      <c r="S79" s="3">
        <v>2964</v>
      </c>
      <c r="T79" s="3"/>
      <c r="U79" s="3">
        <f>691387+3309</f>
        <v>694696</v>
      </c>
      <c r="V79" s="3"/>
      <c r="W79" s="8">
        <f t="shared" si="7"/>
        <v>9968259</v>
      </c>
      <c r="X79" s="3"/>
      <c r="Y79" s="3">
        <v>0</v>
      </c>
      <c r="Z79" s="3"/>
      <c r="AA79" s="3">
        <v>0</v>
      </c>
      <c r="AB79" s="3"/>
      <c r="AC79" s="3">
        <v>0</v>
      </c>
      <c r="AD79" s="3"/>
      <c r="AE79" s="3">
        <v>0</v>
      </c>
      <c r="AF79" s="3"/>
      <c r="AG79" s="103" t="s">
        <v>304</v>
      </c>
      <c r="AH79" s="103"/>
      <c r="AI79" s="103" t="s">
        <v>156</v>
      </c>
      <c r="AJ79" s="3"/>
      <c r="AK79" s="3">
        <v>0</v>
      </c>
      <c r="AL79" s="3"/>
      <c r="AM79" s="3">
        <v>0</v>
      </c>
      <c r="AN79" s="3"/>
      <c r="AO79" s="3">
        <v>0</v>
      </c>
      <c r="AP79" s="3"/>
      <c r="AQ79" s="3">
        <v>0</v>
      </c>
      <c r="AR79" s="3"/>
      <c r="AS79" s="3">
        <v>0</v>
      </c>
      <c r="AT79" s="3"/>
      <c r="AU79" s="3">
        <f t="shared" si="5"/>
        <v>0</v>
      </c>
      <c r="AV79" s="3"/>
      <c r="AW79" s="3">
        <f t="shared" si="6"/>
        <v>9968259</v>
      </c>
    </row>
    <row r="80" spans="1:49" s="102" customFormat="1">
      <c r="A80" s="3" t="s">
        <v>306</v>
      </c>
      <c r="B80" s="103"/>
      <c r="C80" s="103" t="s">
        <v>157</v>
      </c>
      <c r="E80" s="103">
        <v>46532</v>
      </c>
      <c r="G80" s="3">
        <v>0</v>
      </c>
      <c r="H80" s="3"/>
      <c r="I80" s="3">
        <v>5656876</v>
      </c>
      <c r="J80" s="3"/>
      <c r="K80" s="3">
        <v>44275</v>
      </c>
      <c r="L80" s="3"/>
      <c r="M80" s="3">
        <f>31349238+714863+12427357</f>
        <v>44491458</v>
      </c>
      <c r="N80" s="3"/>
      <c r="O80" s="3">
        <v>25</v>
      </c>
      <c r="P80" s="3"/>
      <c r="Q80" s="3">
        <v>0</v>
      </c>
      <c r="R80" s="3"/>
      <c r="S80" s="3">
        <v>67456</v>
      </c>
      <c r="T80" s="3"/>
      <c r="U80" s="3">
        <v>1214306</v>
      </c>
      <c r="V80" s="3"/>
      <c r="W80" s="8">
        <f t="shared" si="7"/>
        <v>51474396</v>
      </c>
      <c r="X80" s="3"/>
      <c r="Y80" s="3">
        <v>0</v>
      </c>
      <c r="Z80" s="3"/>
      <c r="AA80" s="3">
        <v>0</v>
      </c>
      <c r="AB80" s="3"/>
      <c r="AC80" s="3">
        <v>0</v>
      </c>
      <c r="AD80" s="3"/>
      <c r="AE80" s="3">
        <v>0</v>
      </c>
      <c r="AF80" s="3"/>
      <c r="AG80" s="3" t="s">
        <v>306</v>
      </c>
      <c r="AH80" s="103"/>
      <c r="AI80" s="103" t="s">
        <v>157</v>
      </c>
      <c r="AJ80" s="3"/>
      <c r="AK80" s="3">
        <v>0</v>
      </c>
      <c r="AL80" s="3"/>
      <c r="AM80" s="3">
        <v>0</v>
      </c>
      <c r="AN80" s="3"/>
      <c r="AO80" s="3">
        <v>0</v>
      </c>
      <c r="AP80" s="3"/>
      <c r="AQ80" s="3">
        <v>0</v>
      </c>
      <c r="AR80" s="3"/>
      <c r="AS80" s="3">
        <v>0</v>
      </c>
      <c r="AT80" s="3"/>
      <c r="AU80" s="3">
        <f t="shared" si="5"/>
        <v>0</v>
      </c>
      <c r="AV80" s="3"/>
      <c r="AW80" s="3">
        <f t="shared" si="6"/>
        <v>51474396</v>
      </c>
    </row>
    <row r="81" spans="1:49" s="65" customFormat="1" hidden="1">
      <c r="A81" s="58" t="s">
        <v>309</v>
      </c>
      <c r="B81" s="59"/>
      <c r="C81" s="59" t="s">
        <v>158</v>
      </c>
      <c r="E81" s="59">
        <v>46615</v>
      </c>
      <c r="G81" s="58">
        <v>0</v>
      </c>
      <c r="H81" s="58"/>
      <c r="I81" s="58">
        <v>0</v>
      </c>
      <c r="J81" s="58"/>
      <c r="K81" s="58">
        <v>0</v>
      </c>
      <c r="L81" s="58"/>
      <c r="M81" s="58">
        <v>0</v>
      </c>
      <c r="N81" s="58"/>
      <c r="O81" s="58">
        <v>0</v>
      </c>
      <c r="P81" s="58"/>
      <c r="Q81" s="58">
        <v>0</v>
      </c>
      <c r="R81" s="58"/>
      <c r="S81" s="58">
        <v>0</v>
      </c>
      <c r="T81" s="58"/>
      <c r="U81" s="58">
        <v>0</v>
      </c>
      <c r="V81" s="58"/>
      <c r="W81" s="63">
        <f t="shared" si="7"/>
        <v>0</v>
      </c>
      <c r="X81" s="58"/>
      <c r="Y81" s="58">
        <v>0</v>
      </c>
      <c r="Z81" s="58"/>
      <c r="AA81" s="58"/>
      <c r="AB81" s="58"/>
      <c r="AC81" s="58">
        <v>0</v>
      </c>
      <c r="AD81" s="58"/>
      <c r="AE81" s="58">
        <v>0</v>
      </c>
      <c r="AF81" s="58"/>
      <c r="AG81" s="58" t="s">
        <v>309</v>
      </c>
      <c r="AH81" s="59"/>
      <c r="AI81" s="59" t="s">
        <v>158</v>
      </c>
      <c r="AJ81" s="58"/>
      <c r="AK81" s="58"/>
      <c r="AL81" s="58"/>
      <c r="AM81" s="58">
        <v>0</v>
      </c>
      <c r="AN81" s="58"/>
      <c r="AO81" s="58"/>
      <c r="AP81" s="58"/>
      <c r="AQ81" s="58">
        <v>0</v>
      </c>
      <c r="AR81" s="58"/>
      <c r="AS81" s="58">
        <v>0</v>
      </c>
      <c r="AT81" s="58"/>
      <c r="AU81" s="58">
        <f t="shared" si="5"/>
        <v>0</v>
      </c>
      <c r="AV81" s="58"/>
      <c r="AW81" s="58">
        <f t="shared" si="6"/>
        <v>0</v>
      </c>
    </row>
    <row r="82" spans="1:49" s="92" customFormat="1" hidden="1">
      <c r="A82" s="88" t="s">
        <v>305</v>
      </c>
      <c r="B82" s="89"/>
      <c r="C82" s="89" t="s">
        <v>159</v>
      </c>
      <c r="E82" s="89">
        <v>46730</v>
      </c>
      <c r="G82" s="88">
        <v>0</v>
      </c>
      <c r="H82" s="88"/>
      <c r="I82" s="88">
        <v>0</v>
      </c>
      <c r="J82" s="88"/>
      <c r="K82" s="88">
        <v>0</v>
      </c>
      <c r="L82" s="88"/>
      <c r="M82" s="88">
        <v>0</v>
      </c>
      <c r="N82" s="88"/>
      <c r="O82" s="88">
        <v>0</v>
      </c>
      <c r="P82" s="88"/>
      <c r="Q82" s="88">
        <v>0</v>
      </c>
      <c r="R82" s="88"/>
      <c r="S82" s="88">
        <v>0</v>
      </c>
      <c r="T82" s="88"/>
      <c r="U82" s="88">
        <v>0</v>
      </c>
      <c r="V82" s="88"/>
      <c r="W82" s="95">
        <f t="shared" si="7"/>
        <v>0</v>
      </c>
      <c r="X82" s="88"/>
      <c r="Y82" s="88">
        <v>0</v>
      </c>
      <c r="Z82" s="88"/>
      <c r="AA82" s="88"/>
      <c r="AB82" s="88"/>
      <c r="AC82" s="88">
        <v>0</v>
      </c>
      <c r="AD82" s="88"/>
      <c r="AE82" s="88">
        <v>0</v>
      </c>
      <c r="AF82" s="88"/>
      <c r="AG82" s="88" t="s">
        <v>305</v>
      </c>
      <c r="AH82" s="89"/>
      <c r="AI82" s="89" t="s">
        <v>159</v>
      </c>
      <c r="AJ82" s="88"/>
      <c r="AK82" s="88"/>
      <c r="AL82" s="88"/>
      <c r="AM82" s="88">
        <v>0</v>
      </c>
      <c r="AN82" s="88"/>
      <c r="AO82" s="88"/>
      <c r="AP82" s="88"/>
      <c r="AQ82" s="88">
        <v>0</v>
      </c>
      <c r="AR82" s="88"/>
      <c r="AS82" s="88">
        <v>0</v>
      </c>
      <c r="AT82" s="88"/>
      <c r="AU82" s="88">
        <f t="shared" si="5"/>
        <v>0</v>
      </c>
      <c r="AV82" s="88"/>
      <c r="AW82" s="88">
        <f t="shared" si="6"/>
        <v>0</v>
      </c>
    </row>
    <row r="83" spans="1:49" s="102" customFormat="1">
      <c r="A83" s="3" t="s">
        <v>303</v>
      </c>
      <c r="B83" s="103"/>
      <c r="C83" s="3" t="s">
        <v>198</v>
      </c>
      <c r="E83" s="103">
        <v>50260</v>
      </c>
      <c r="G83" s="3">
        <v>0</v>
      </c>
      <c r="H83" s="3"/>
      <c r="I83" s="3">
        <f>1546879+11567</f>
        <v>1558446</v>
      </c>
      <c r="J83" s="3"/>
      <c r="K83" s="3">
        <v>1526</v>
      </c>
      <c r="L83" s="3"/>
      <c r="M83" s="3">
        <v>2231230</v>
      </c>
      <c r="N83" s="3"/>
      <c r="O83" s="3">
        <v>0</v>
      </c>
      <c r="P83" s="3"/>
      <c r="Q83" s="3">
        <v>0</v>
      </c>
      <c r="R83" s="3"/>
      <c r="S83" s="3">
        <v>0</v>
      </c>
      <c r="T83" s="3"/>
      <c r="U83" s="3">
        <f>6081805+17488</f>
        <v>6099293</v>
      </c>
      <c r="V83" s="3"/>
      <c r="W83" s="8">
        <f t="shared" si="7"/>
        <v>9890495</v>
      </c>
      <c r="X83" s="3"/>
      <c r="Y83" s="3">
        <v>0</v>
      </c>
      <c r="Z83" s="3"/>
      <c r="AA83" s="3">
        <v>0</v>
      </c>
      <c r="AB83" s="3"/>
      <c r="AC83" s="3">
        <v>170429</v>
      </c>
      <c r="AD83" s="3"/>
      <c r="AE83" s="3">
        <v>0</v>
      </c>
      <c r="AF83" s="3"/>
      <c r="AG83" s="3" t="s">
        <v>303</v>
      </c>
      <c r="AH83" s="103"/>
      <c r="AI83" s="3" t="s">
        <v>198</v>
      </c>
      <c r="AJ83" s="3"/>
      <c r="AK83" s="3">
        <v>0</v>
      </c>
      <c r="AL83" s="3"/>
      <c r="AM83" s="3">
        <v>0</v>
      </c>
      <c r="AN83" s="3"/>
      <c r="AO83" s="3">
        <v>0</v>
      </c>
      <c r="AP83" s="3"/>
      <c r="AQ83" s="3">
        <v>0</v>
      </c>
      <c r="AR83" s="3"/>
      <c r="AS83" s="3">
        <v>0</v>
      </c>
      <c r="AT83" s="3"/>
      <c r="AU83" s="3">
        <f t="shared" si="5"/>
        <v>170429</v>
      </c>
      <c r="AV83" s="3"/>
      <c r="AW83" s="3">
        <f t="shared" si="6"/>
        <v>10060924</v>
      </c>
    </row>
    <row r="84" spans="1:49" s="102" customFormat="1">
      <c r="A84" s="3" t="s">
        <v>312</v>
      </c>
      <c r="B84" s="103"/>
      <c r="C84" s="103" t="s">
        <v>162</v>
      </c>
      <c r="E84" s="103">
        <v>46938</v>
      </c>
      <c r="G84" s="3">
        <v>0</v>
      </c>
      <c r="H84" s="3"/>
      <c r="I84" s="3">
        <f>5361675+2880585</f>
        <v>8242260</v>
      </c>
      <c r="J84" s="3"/>
      <c r="K84" s="3">
        <v>21939</v>
      </c>
      <c r="L84" s="3"/>
      <c r="M84" s="3">
        <f>11986892+50006011+181439</f>
        <v>62174342</v>
      </c>
      <c r="N84" s="3"/>
      <c r="O84" s="3">
        <v>0</v>
      </c>
      <c r="P84" s="3"/>
      <c r="Q84" s="3">
        <v>0</v>
      </c>
      <c r="R84" s="3"/>
      <c r="S84" s="3">
        <v>0</v>
      </c>
      <c r="T84" s="3"/>
      <c r="U84" s="3">
        <v>172741</v>
      </c>
      <c r="V84" s="3"/>
      <c r="W84" s="8">
        <f>SUM(G84:V84)</f>
        <v>70611282</v>
      </c>
      <c r="X84" s="3"/>
      <c r="Y84" s="3">
        <v>70252</v>
      </c>
      <c r="Z84" s="3"/>
      <c r="AA84" s="3">
        <v>0</v>
      </c>
      <c r="AB84" s="3"/>
      <c r="AC84" s="3">
        <v>0</v>
      </c>
      <c r="AD84" s="3"/>
      <c r="AE84" s="3">
        <v>0</v>
      </c>
      <c r="AF84" s="3"/>
      <c r="AG84" s="3" t="s">
        <v>312</v>
      </c>
      <c r="AH84" s="103"/>
      <c r="AI84" s="103" t="s">
        <v>162</v>
      </c>
      <c r="AJ84" s="3"/>
      <c r="AK84" s="3">
        <v>0</v>
      </c>
      <c r="AL84" s="3"/>
      <c r="AM84" s="3">
        <v>0</v>
      </c>
      <c r="AN84" s="3"/>
      <c r="AO84" s="3">
        <v>0</v>
      </c>
      <c r="AP84" s="3"/>
      <c r="AQ84" s="3">
        <v>0</v>
      </c>
      <c r="AR84" s="3"/>
      <c r="AS84" s="3">
        <v>0</v>
      </c>
      <c r="AT84" s="3"/>
      <c r="AU84" s="3">
        <f t="shared" si="5"/>
        <v>70252</v>
      </c>
      <c r="AV84" s="3"/>
      <c r="AW84" s="3">
        <f t="shared" si="6"/>
        <v>70681534</v>
      </c>
    </row>
    <row r="85" spans="1:49" s="92" customFormat="1" hidden="1">
      <c r="A85" s="89" t="s">
        <v>274</v>
      </c>
      <c r="B85" s="89"/>
      <c r="C85" s="89" t="s">
        <v>160</v>
      </c>
      <c r="E85" s="89">
        <v>125690</v>
      </c>
      <c r="G85" s="88">
        <v>0</v>
      </c>
      <c r="H85" s="88"/>
      <c r="I85" s="88">
        <v>0</v>
      </c>
      <c r="J85" s="88"/>
      <c r="K85" s="88">
        <v>0</v>
      </c>
      <c r="L85" s="88"/>
      <c r="M85" s="88">
        <v>0</v>
      </c>
      <c r="N85" s="88"/>
      <c r="O85" s="88">
        <v>0</v>
      </c>
      <c r="P85" s="88"/>
      <c r="Q85" s="88">
        <v>0</v>
      </c>
      <c r="R85" s="88"/>
      <c r="S85" s="88">
        <v>0</v>
      </c>
      <c r="T85" s="88"/>
      <c r="U85" s="88">
        <v>0</v>
      </c>
      <c r="V85" s="88"/>
      <c r="W85" s="95">
        <f t="shared" si="7"/>
        <v>0</v>
      </c>
      <c r="X85" s="88"/>
      <c r="Y85" s="88">
        <v>0</v>
      </c>
      <c r="Z85" s="88"/>
      <c r="AA85" s="88"/>
      <c r="AB85" s="88"/>
      <c r="AC85" s="88">
        <v>0</v>
      </c>
      <c r="AD85" s="88"/>
      <c r="AE85" s="88">
        <v>0</v>
      </c>
      <c r="AF85" s="88"/>
      <c r="AG85" s="89" t="s">
        <v>274</v>
      </c>
      <c r="AH85" s="89"/>
      <c r="AI85" s="89" t="s">
        <v>160</v>
      </c>
      <c r="AJ85" s="88"/>
      <c r="AK85" s="88"/>
      <c r="AL85" s="88"/>
      <c r="AM85" s="88">
        <v>0</v>
      </c>
      <c r="AN85" s="88"/>
      <c r="AO85" s="88"/>
      <c r="AP85" s="88"/>
      <c r="AQ85" s="88">
        <v>0</v>
      </c>
      <c r="AR85" s="88"/>
      <c r="AS85" s="88">
        <v>0</v>
      </c>
      <c r="AT85" s="88"/>
      <c r="AU85" s="88">
        <f t="shared" si="5"/>
        <v>0</v>
      </c>
      <c r="AV85" s="88"/>
      <c r="AW85" s="88">
        <f t="shared" si="6"/>
        <v>0</v>
      </c>
    </row>
    <row r="86" spans="1:49" s="102" customFormat="1">
      <c r="A86" s="3" t="s">
        <v>314</v>
      </c>
      <c r="B86" s="103"/>
      <c r="C86" s="103" t="s">
        <v>161</v>
      </c>
      <c r="E86" s="103">
        <v>46839</v>
      </c>
      <c r="G86" s="3">
        <v>0</v>
      </c>
      <c r="H86" s="3"/>
      <c r="I86" s="3">
        <v>1089576</v>
      </c>
      <c r="J86" s="3"/>
      <c r="K86" s="3">
        <v>1805</v>
      </c>
      <c r="L86" s="3"/>
      <c r="M86" s="3">
        <f>6557798+539829</f>
        <v>7097627</v>
      </c>
      <c r="N86" s="3"/>
      <c r="O86" s="3">
        <v>0</v>
      </c>
      <c r="P86" s="3"/>
      <c r="Q86" s="3">
        <v>0</v>
      </c>
      <c r="R86" s="3"/>
      <c r="S86" s="3">
        <v>400</v>
      </c>
      <c r="T86" s="3"/>
      <c r="U86" s="3">
        <v>22931</v>
      </c>
      <c r="V86" s="3"/>
      <c r="W86" s="8">
        <f t="shared" si="7"/>
        <v>8212339</v>
      </c>
      <c r="X86" s="3"/>
      <c r="Y86" s="3">
        <v>0</v>
      </c>
      <c r="Z86" s="3"/>
      <c r="AA86" s="3">
        <v>0</v>
      </c>
      <c r="AB86" s="3"/>
      <c r="AC86" s="3">
        <v>0</v>
      </c>
      <c r="AD86" s="3"/>
      <c r="AE86" s="3">
        <v>0</v>
      </c>
      <c r="AF86" s="3"/>
      <c r="AG86" s="3" t="s">
        <v>314</v>
      </c>
      <c r="AH86" s="103"/>
      <c r="AI86" s="103" t="s">
        <v>161</v>
      </c>
      <c r="AJ86" s="3"/>
      <c r="AK86" s="3">
        <v>0</v>
      </c>
      <c r="AL86" s="3"/>
      <c r="AM86" s="3">
        <v>0</v>
      </c>
      <c r="AN86" s="3"/>
      <c r="AO86" s="3">
        <v>0</v>
      </c>
      <c r="AP86" s="3"/>
      <c r="AQ86" s="3">
        <v>0</v>
      </c>
      <c r="AR86" s="3"/>
      <c r="AS86" s="3">
        <v>0</v>
      </c>
      <c r="AT86" s="3"/>
      <c r="AU86" s="3">
        <f t="shared" si="5"/>
        <v>0</v>
      </c>
      <c r="AV86" s="3"/>
      <c r="AW86" s="3">
        <f t="shared" si="6"/>
        <v>8212339</v>
      </c>
    </row>
    <row r="87" spans="1:49" s="102" customFormat="1">
      <c r="A87" s="3" t="s">
        <v>164</v>
      </c>
      <c r="B87" s="103"/>
      <c r="C87" s="103" t="s">
        <v>165</v>
      </c>
      <c r="E87" s="103">
        <v>125682</v>
      </c>
      <c r="G87" s="3">
        <v>0</v>
      </c>
      <c r="H87" s="3"/>
      <c r="I87" s="3">
        <v>847185</v>
      </c>
      <c r="J87" s="3"/>
      <c r="K87" s="3">
        <v>7423</v>
      </c>
      <c r="L87" s="3"/>
      <c r="M87" s="3">
        <v>2262143</v>
      </c>
      <c r="N87" s="3"/>
      <c r="O87" s="3">
        <v>0</v>
      </c>
      <c r="P87" s="3"/>
      <c r="Q87" s="3">
        <v>0</v>
      </c>
      <c r="R87" s="3"/>
      <c r="S87" s="3">
        <v>0</v>
      </c>
      <c r="T87" s="3"/>
      <c r="U87" s="3">
        <v>8691</v>
      </c>
      <c r="V87" s="3"/>
      <c r="W87" s="8">
        <f t="shared" si="7"/>
        <v>3125442</v>
      </c>
      <c r="X87" s="3"/>
      <c r="Y87" s="3">
        <v>0</v>
      </c>
      <c r="Z87" s="3"/>
      <c r="AA87" s="3">
        <v>0</v>
      </c>
      <c r="AB87" s="3"/>
      <c r="AC87" s="3">
        <v>0</v>
      </c>
      <c r="AD87" s="3"/>
      <c r="AE87" s="3">
        <v>0</v>
      </c>
      <c r="AF87" s="3"/>
      <c r="AG87" s="3" t="s">
        <v>164</v>
      </c>
      <c r="AH87" s="103"/>
      <c r="AI87" s="103" t="s">
        <v>165</v>
      </c>
      <c r="AJ87" s="3"/>
      <c r="AK87" s="3">
        <v>0</v>
      </c>
      <c r="AL87" s="3"/>
      <c r="AM87" s="3">
        <v>0</v>
      </c>
      <c r="AN87" s="3"/>
      <c r="AO87" s="3">
        <v>0</v>
      </c>
      <c r="AP87" s="3"/>
      <c r="AQ87" s="3">
        <v>0</v>
      </c>
      <c r="AR87" s="3"/>
      <c r="AS87" s="3">
        <v>0</v>
      </c>
      <c r="AT87" s="3"/>
      <c r="AU87" s="3">
        <f t="shared" si="5"/>
        <v>0</v>
      </c>
      <c r="AV87" s="3"/>
      <c r="AW87" s="3">
        <f t="shared" si="6"/>
        <v>3125442</v>
      </c>
    </row>
    <row r="88" spans="1:49" s="102" customFormat="1">
      <c r="A88" s="107" t="s">
        <v>313</v>
      </c>
      <c r="B88" s="103"/>
      <c r="C88" s="103" t="s">
        <v>166</v>
      </c>
      <c r="E88" s="103">
        <v>47159</v>
      </c>
      <c r="G88" s="3">
        <v>0</v>
      </c>
      <c r="H88" s="3"/>
      <c r="I88" s="3">
        <v>1523853</v>
      </c>
      <c r="J88" s="3"/>
      <c r="K88" s="3">
        <v>5229</v>
      </c>
      <c r="L88" s="3"/>
      <c r="M88" s="3">
        <v>10527904</v>
      </c>
      <c r="N88" s="3"/>
      <c r="O88" s="3">
        <v>0</v>
      </c>
      <c r="P88" s="3"/>
      <c r="Q88" s="3">
        <v>0</v>
      </c>
      <c r="R88" s="3"/>
      <c r="S88" s="3">
        <v>0</v>
      </c>
      <c r="T88" s="3"/>
      <c r="U88" s="3">
        <v>77342</v>
      </c>
      <c r="V88" s="3"/>
      <c r="W88" s="8">
        <f t="shared" si="7"/>
        <v>12134328</v>
      </c>
      <c r="X88" s="3"/>
      <c r="Y88" s="3">
        <v>0</v>
      </c>
      <c r="Z88" s="3"/>
      <c r="AA88" s="3">
        <v>0</v>
      </c>
      <c r="AB88" s="3"/>
      <c r="AC88" s="3">
        <v>0</v>
      </c>
      <c r="AD88" s="3"/>
      <c r="AE88" s="3">
        <v>0</v>
      </c>
      <c r="AF88" s="3"/>
      <c r="AG88" s="107" t="s">
        <v>313</v>
      </c>
      <c r="AH88" s="103"/>
      <c r="AI88" s="103" t="s">
        <v>166</v>
      </c>
      <c r="AJ88" s="3"/>
      <c r="AK88" s="3">
        <v>0</v>
      </c>
      <c r="AL88" s="3"/>
      <c r="AM88" s="3">
        <v>0</v>
      </c>
      <c r="AN88" s="3"/>
      <c r="AO88" s="3">
        <v>0</v>
      </c>
      <c r="AP88" s="3"/>
      <c r="AQ88" s="3">
        <v>0</v>
      </c>
      <c r="AR88" s="3"/>
      <c r="AS88" s="3">
        <v>0</v>
      </c>
      <c r="AT88" s="3"/>
      <c r="AU88" s="3">
        <f t="shared" si="5"/>
        <v>0</v>
      </c>
      <c r="AV88" s="3"/>
      <c r="AW88" s="3">
        <f t="shared" si="6"/>
        <v>12134328</v>
      </c>
    </row>
    <row r="89" spans="1:49" s="102" customFormat="1">
      <c r="A89" s="103" t="s">
        <v>291</v>
      </c>
      <c r="B89" s="103"/>
      <c r="C89" s="103" t="s">
        <v>167</v>
      </c>
      <c r="E89" s="103">
        <v>47233</v>
      </c>
      <c r="G89" s="3">
        <v>0</v>
      </c>
      <c r="H89" s="3"/>
      <c r="I89" s="3">
        <v>1831677</v>
      </c>
      <c r="J89" s="3"/>
      <c r="K89" s="3">
        <v>0</v>
      </c>
      <c r="L89" s="3"/>
      <c r="M89" s="3">
        <v>9352578</v>
      </c>
      <c r="N89" s="3"/>
      <c r="O89" s="3">
        <v>0</v>
      </c>
      <c r="P89" s="3"/>
      <c r="Q89" s="3">
        <v>0</v>
      </c>
      <c r="R89" s="3"/>
      <c r="S89" s="3">
        <v>0</v>
      </c>
      <c r="T89" s="3"/>
      <c r="U89" s="3">
        <v>220189</v>
      </c>
      <c r="V89" s="3"/>
      <c r="W89" s="8">
        <f t="shared" si="7"/>
        <v>11404444</v>
      </c>
      <c r="X89" s="3"/>
      <c r="Y89" s="3">
        <v>0</v>
      </c>
      <c r="Z89" s="3"/>
      <c r="AA89" s="3">
        <v>0</v>
      </c>
      <c r="AB89" s="3"/>
      <c r="AC89" s="3">
        <v>0</v>
      </c>
      <c r="AD89" s="3"/>
      <c r="AE89" s="3">
        <v>0</v>
      </c>
      <c r="AF89" s="3"/>
      <c r="AG89" s="103" t="s">
        <v>291</v>
      </c>
      <c r="AH89" s="103"/>
      <c r="AI89" s="103" t="s">
        <v>167</v>
      </c>
      <c r="AJ89" s="3"/>
      <c r="AK89" s="3">
        <v>0</v>
      </c>
      <c r="AL89" s="3"/>
      <c r="AM89" s="3">
        <v>0</v>
      </c>
      <c r="AN89" s="3"/>
      <c r="AO89" s="3">
        <v>0</v>
      </c>
      <c r="AP89" s="3"/>
      <c r="AQ89" s="3">
        <v>0</v>
      </c>
      <c r="AR89" s="3"/>
      <c r="AS89" s="3">
        <v>0</v>
      </c>
      <c r="AT89" s="3"/>
      <c r="AU89" s="3">
        <f t="shared" si="5"/>
        <v>0</v>
      </c>
      <c r="AV89" s="3"/>
      <c r="AW89" s="3">
        <f t="shared" si="6"/>
        <v>11404444</v>
      </c>
    </row>
    <row r="90" spans="1:49" s="102" customFormat="1">
      <c r="A90" s="103" t="s">
        <v>292</v>
      </c>
      <c r="B90" s="103"/>
      <c r="C90" s="103" t="s">
        <v>168</v>
      </c>
      <c r="E90" s="103">
        <v>47324</v>
      </c>
      <c r="G90" s="3">
        <v>0</v>
      </c>
      <c r="H90" s="3"/>
      <c r="I90" s="3">
        <v>3163424</v>
      </c>
      <c r="J90" s="3"/>
      <c r="K90" s="3">
        <v>0</v>
      </c>
      <c r="L90" s="3"/>
      <c r="M90" s="3">
        <v>1854203</v>
      </c>
      <c r="N90" s="3"/>
      <c r="O90" s="3">
        <v>0</v>
      </c>
      <c r="P90" s="3"/>
      <c r="Q90" s="3">
        <v>0</v>
      </c>
      <c r="R90" s="3"/>
      <c r="S90" s="3">
        <v>0</v>
      </c>
      <c r="T90" s="3"/>
      <c r="U90" s="3">
        <f>27435071+62425</f>
        <v>27497496</v>
      </c>
      <c r="V90" s="3"/>
      <c r="W90" s="8">
        <f t="shared" si="7"/>
        <v>32515123</v>
      </c>
      <c r="X90" s="3"/>
      <c r="Y90" s="3">
        <v>0</v>
      </c>
      <c r="Z90" s="3"/>
      <c r="AA90" s="3">
        <v>0</v>
      </c>
      <c r="AB90" s="3"/>
      <c r="AC90" s="3">
        <v>0</v>
      </c>
      <c r="AD90" s="3"/>
      <c r="AE90" s="3">
        <v>0</v>
      </c>
      <c r="AF90" s="3"/>
      <c r="AG90" s="103" t="s">
        <v>292</v>
      </c>
      <c r="AH90" s="103"/>
      <c r="AI90" s="103" t="s">
        <v>168</v>
      </c>
      <c r="AJ90" s="3"/>
      <c r="AK90" s="3">
        <v>0</v>
      </c>
      <c r="AL90" s="3"/>
      <c r="AM90" s="3">
        <v>0</v>
      </c>
      <c r="AN90" s="3"/>
      <c r="AO90" s="3">
        <v>0</v>
      </c>
      <c r="AP90" s="3"/>
      <c r="AQ90" s="3">
        <v>0</v>
      </c>
      <c r="AR90" s="3"/>
      <c r="AS90" s="3">
        <v>0</v>
      </c>
      <c r="AT90" s="3"/>
      <c r="AU90" s="3">
        <f t="shared" si="5"/>
        <v>0</v>
      </c>
      <c r="AV90" s="3"/>
      <c r="AW90" s="3">
        <f t="shared" si="6"/>
        <v>32515123</v>
      </c>
    </row>
    <row r="91" spans="1:49" s="102" customFormat="1">
      <c r="A91" s="103" t="s">
        <v>293</v>
      </c>
      <c r="B91" s="103"/>
      <c r="C91" s="103" t="s">
        <v>169</v>
      </c>
      <c r="E91" s="103">
        <v>47407</v>
      </c>
      <c r="G91" s="3">
        <v>0</v>
      </c>
      <c r="H91" s="3"/>
      <c r="I91" s="3">
        <v>758334</v>
      </c>
      <c r="J91" s="3"/>
      <c r="K91" s="3">
        <v>3322</v>
      </c>
      <c r="L91" s="3"/>
      <c r="M91" s="3">
        <f>2370961+2775207</f>
        <v>5146168</v>
      </c>
      <c r="N91" s="3"/>
      <c r="O91" s="3">
        <v>0</v>
      </c>
      <c r="P91" s="3"/>
      <c r="Q91" s="3">
        <v>0</v>
      </c>
      <c r="R91" s="3"/>
      <c r="S91" s="3">
        <v>0</v>
      </c>
      <c r="T91" s="3"/>
      <c r="U91" s="3">
        <v>61103</v>
      </c>
      <c r="V91" s="3"/>
      <c r="W91" s="8">
        <f t="shared" si="7"/>
        <v>5968927</v>
      </c>
      <c r="X91" s="3"/>
      <c r="Y91" s="3">
        <v>0</v>
      </c>
      <c r="Z91" s="3"/>
      <c r="AA91" s="3">
        <v>0</v>
      </c>
      <c r="AB91" s="3"/>
      <c r="AC91" s="3">
        <v>0</v>
      </c>
      <c r="AD91" s="3"/>
      <c r="AE91" s="3">
        <v>0</v>
      </c>
      <c r="AF91" s="3"/>
      <c r="AG91" s="103" t="s">
        <v>293</v>
      </c>
      <c r="AH91" s="103"/>
      <c r="AI91" s="103" t="s">
        <v>169</v>
      </c>
      <c r="AJ91" s="3"/>
      <c r="AK91" s="3">
        <v>0</v>
      </c>
      <c r="AL91" s="3"/>
      <c r="AM91" s="3">
        <v>0</v>
      </c>
      <c r="AN91" s="3"/>
      <c r="AO91" s="3">
        <v>0</v>
      </c>
      <c r="AP91" s="3"/>
      <c r="AQ91" s="3">
        <v>0</v>
      </c>
      <c r="AR91" s="3"/>
      <c r="AS91" s="3">
        <v>0</v>
      </c>
      <c r="AT91" s="3"/>
      <c r="AU91" s="3">
        <f t="shared" si="5"/>
        <v>0</v>
      </c>
      <c r="AV91" s="3"/>
      <c r="AW91" s="3">
        <f t="shared" si="6"/>
        <v>5968927</v>
      </c>
    </row>
    <row r="92" spans="1:49" s="65" customFormat="1" hidden="1">
      <c r="A92" s="59" t="s">
        <v>349</v>
      </c>
      <c r="B92" s="59"/>
      <c r="C92" s="59" t="s">
        <v>19</v>
      </c>
      <c r="E92" s="59">
        <v>47480</v>
      </c>
      <c r="G92" s="58">
        <v>0</v>
      </c>
      <c r="H92" s="58"/>
      <c r="I92" s="58">
        <v>0</v>
      </c>
      <c r="J92" s="58"/>
      <c r="K92" s="58">
        <v>0</v>
      </c>
      <c r="L92" s="58"/>
      <c r="M92" s="58">
        <v>0</v>
      </c>
      <c r="N92" s="58"/>
      <c r="O92" s="58">
        <v>0</v>
      </c>
      <c r="P92" s="58"/>
      <c r="Q92" s="58">
        <v>0</v>
      </c>
      <c r="R92" s="58"/>
      <c r="S92" s="58">
        <v>0</v>
      </c>
      <c r="T92" s="58"/>
      <c r="U92" s="58">
        <v>0</v>
      </c>
      <c r="V92" s="58"/>
      <c r="W92" s="63">
        <f t="shared" si="7"/>
        <v>0</v>
      </c>
      <c r="X92" s="58"/>
      <c r="Y92" s="58">
        <v>0</v>
      </c>
      <c r="Z92" s="58"/>
      <c r="AA92" s="58">
        <v>0</v>
      </c>
      <c r="AB92" s="58"/>
      <c r="AC92" s="58">
        <v>0</v>
      </c>
      <c r="AD92" s="58"/>
      <c r="AE92" s="58">
        <v>0</v>
      </c>
      <c r="AF92" s="58"/>
      <c r="AG92" s="59" t="s">
        <v>349</v>
      </c>
      <c r="AH92" s="59"/>
      <c r="AI92" s="59" t="s">
        <v>19</v>
      </c>
      <c r="AJ92" s="58"/>
      <c r="AK92" s="58">
        <v>0</v>
      </c>
      <c r="AL92" s="58"/>
      <c r="AM92" s="58">
        <v>0</v>
      </c>
      <c r="AN92" s="58"/>
      <c r="AO92" s="58">
        <v>0</v>
      </c>
      <c r="AP92" s="58"/>
      <c r="AQ92" s="58">
        <v>0</v>
      </c>
      <c r="AR92" s="58"/>
      <c r="AS92" s="58">
        <v>0</v>
      </c>
      <c r="AT92" s="58"/>
      <c r="AU92" s="58">
        <f t="shared" si="5"/>
        <v>0</v>
      </c>
      <c r="AV92" s="58"/>
      <c r="AW92" s="58">
        <f t="shared" si="6"/>
        <v>0</v>
      </c>
    </row>
    <row r="93" spans="1:49" s="102" customFormat="1">
      <c r="A93" s="103" t="s">
        <v>294</v>
      </c>
      <c r="B93" s="103"/>
      <c r="C93" s="103" t="s">
        <v>170</v>
      </c>
      <c r="E93" s="103">
        <v>47779</v>
      </c>
      <c r="G93" s="3">
        <v>0</v>
      </c>
      <c r="H93" s="3"/>
      <c r="I93" s="3">
        <f>72892+722979</f>
        <v>795871</v>
      </c>
      <c r="J93" s="3"/>
      <c r="K93" s="3">
        <v>368</v>
      </c>
      <c r="L93" s="3"/>
      <c r="M93" s="3">
        <v>841444</v>
      </c>
      <c r="N93" s="3"/>
      <c r="O93" s="3">
        <v>0</v>
      </c>
      <c r="P93" s="3"/>
      <c r="Q93" s="3">
        <v>0</v>
      </c>
      <c r="R93" s="3"/>
      <c r="S93" s="3">
        <v>0</v>
      </c>
      <c r="T93" s="3"/>
      <c r="U93" s="3">
        <f>3236584+58284</f>
        <v>3294868</v>
      </c>
      <c r="V93" s="3"/>
      <c r="W93" s="8">
        <f t="shared" si="7"/>
        <v>4932551</v>
      </c>
      <c r="X93" s="3"/>
      <c r="Y93" s="3">
        <v>0</v>
      </c>
      <c r="Z93" s="3"/>
      <c r="AA93" s="3"/>
      <c r="AB93" s="3"/>
      <c r="AC93" s="3">
        <v>0</v>
      </c>
      <c r="AD93" s="3"/>
      <c r="AE93" s="3">
        <v>0</v>
      </c>
      <c r="AF93" s="3"/>
      <c r="AG93" s="103" t="s">
        <v>294</v>
      </c>
      <c r="AH93" s="103"/>
      <c r="AI93" s="103" t="s">
        <v>170</v>
      </c>
      <c r="AJ93" s="3"/>
      <c r="AK93" s="3">
        <v>0</v>
      </c>
      <c r="AL93" s="3"/>
      <c r="AM93" s="3">
        <v>0</v>
      </c>
      <c r="AN93" s="3"/>
      <c r="AO93" s="3">
        <v>0</v>
      </c>
      <c r="AP93" s="3"/>
      <c r="AQ93" s="3">
        <v>0</v>
      </c>
      <c r="AR93" s="3"/>
      <c r="AS93" s="3">
        <v>0</v>
      </c>
      <c r="AT93" s="3"/>
      <c r="AU93" s="3">
        <f t="shared" si="5"/>
        <v>0</v>
      </c>
      <c r="AV93" s="3"/>
      <c r="AW93" s="3">
        <f t="shared" si="6"/>
        <v>4932551</v>
      </c>
    </row>
    <row r="94" spans="1:49" s="102" customFormat="1">
      <c r="A94" s="103" t="s">
        <v>295</v>
      </c>
      <c r="B94" s="103"/>
      <c r="C94" s="103" t="s">
        <v>171</v>
      </c>
      <c r="E94" s="103">
        <v>47811</v>
      </c>
      <c r="G94" s="3">
        <v>0</v>
      </c>
      <c r="H94" s="3"/>
      <c r="I94" s="3">
        <v>867766</v>
      </c>
      <c r="J94" s="3"/>
      <c r="K94" s="3">
        <v>209</v>
      </c>
      <c r="L94" s="3"/>
      <c r="M94" s="3">
        <v>4706831</v>
      </c>
      <c r="N94" s="3"/>
      <c r="O94" s="3">
        <v>0</v>
      </c>
      <c r="P94" s="3"/>
      <c r="Q94" s="3">
        <v>0</v>
      </c>
      <c r="R94" s="3"/>
      <c r="S94" s="3">
        <v>1800</v>
      </c>
      <c r="T94" s="3"/>
      <c r="U94" s="3">
        <v>4360</v>
      </c>
      <c r="V94" s="3"/>
      <c r="W94" s="8">
        <v>5580966</v>
      </c>
      <c r="X94" s="3"/>
      <c r="Y94" s="3">
        <v>0</v>
      </c>
      <c r="Z94" s="3"/>
      <c r="AA94" s="3"/>
      <c r="AB94" s="3"/>
      <c r="AC94" s="3">
        <v>0</v>
      </c>
      <c r="AD94" s="3"/>
      <c r="AE94" s="3">
        <v>0</v>
      </c>
      <c r="AF94" s="3"/>
      <c r="AG94" s="103" t="s">
        <v>295</v>
      </c>
      <c r="AH94" s="103"/>
      <c r="AI94" s="103" t="s">
        <v>171</v>
      </c>
      <c r="AJ94" s="3"/>
      <c r="AK94" s="3">
        <v>0</v>
      </c>
      <c r="AL94" s="3"/>
      <c r="AM94" s="3">
        <v>0</v>
      </c>
      <c r="AN94" s="3"/>
      <c r="AO94" s="3">
        <v>0</v>
      </c>
      <c r="AP94" s="3"/>
      <c r="AQ94" s="3">
        <v>0</v>
      </c>
      <c r="AR94" s="3"/>
      <c r="AS94" s="3">
        <v>0</v>
      </c>
      <c r="AT94" s="3"/>
      <c r="AU94" s="3">
        <v>0</v>
      </c>
      <c r="AV94" s="3"/>
      <c r="AW94" s="3">
        <v>5580966</v>
      </c>
    </row>
    <row r="95" spans="1:49" s="102" customFormat="1">
      <c r="A95" s="103" t="s">
        <v>296</v>
      </c>
      <c r="B95" s="103"/>
      <c r="C95" s="103" t="s">
        <v>146</v>
      </c>
      <c r="E95" s="103">
        <v>47860</v>
      </c>
      <c r="G95" s="3">
        <v>0</v>
      </c>
      <c r="H95" s="3"/>
      <c r="I95" s="3">
        <v>1910037</v>
      </c>
      <c r="J95" s="3"/>
      <c r="K95" s="3">
        <v>50</v>
      </c>
      <c r="L95" s="3"/>
      <c r="M95" s="3">
        <v>9415689</v>
      </c>
      <c r="N95" s="3"/>
      <c r="O95" s="3">
        <v>14946</v>
      </c>
      <c r="P95" s="3"/>
      <c r="Q95" s="3">
        <v>0</v>
      </c>
      <c r="R95" s="3"/>
      <c r="S95" s="3">
        <v>0</v>
      </c>
      <c r="T95" s="3"/>
      <c r="U95" s="3">
        <v>150485</v>
      </c>
      <c r="V95" s="3"/>
      <c r="W95" s="8">
        <v>11491207</v>
      </c>
      <c r="X95" s="3"/>
      <c r="Y95" s="3">
        <v>0</v>
      </c>
      <c r="Z95" s="3"/>
      <c r="AA95" s="3"/>
      <c r="AB95" s="3"/>
      <c r="AC95" s="3">
        <v>0</v>
      </c>
      <c r="AD95" s="3"/>
      <c r="AE95" s="3">
        <v>0</v>
      </c>
      <c r="AF95" s="3"/>
      <c r="AG95" s="103" t="s">
        <v>296</v>
      </c>
      <c r="AH95" s="103"/>
      <c r="AI95" s="103" t="s">
        <v>146</v>
      </c>
      <c r="AJ95" s="3"/>
      <c r="AK95" s="3">
        <v>0</v>
      </c>
      <c r="AL95" s="3"/>
      <c r="AM95" s="3">
        <v>0</v>
      </c>
      <c r="AN95" s="3"/>
      <c r="AO95" s="3">
        <v>0</v>
      </c>
      <c r="AP95" s="3"/>
      <c r="AQ95" s="3">
        <v>0</v>
      </c>
      <c r="AR95" s="3"/>
      <c r="AS95" s="3">
        <v>0</v>
      </c>
      <c r="AT95" s="3"/>
      <c r="AU95" s="3">
        <v>0</v>
      </c>
      <c r="AV95" s="3"/>
      <c r="AW95" s="3">
        <v>11491207</v>
      </c>
    </row>
    <row r="96" spans="1:49" s="102" customFormat="1">
      <c r="A96" s="103" t="s">
        <v>297</v>
      </c>
      <c r="B96" s="103"/>
      <c r="C96" s="103" t="s">
        <v>172</v>
      </c>
      <c r="E96" s="103">
        <v>47910</v>
      </c>
      <c r="G96" s="3">
        <v>0</v>
      </c>
      <c r="H96" s="3"/>
      <c r="I96" s="3">
        <v>295669</v>
      </c>
      <c r="J96" s="3"/>
      <c r="K96" s="3">
        <v>2974</v>
      </c>
      <c r="L96" s="3"/>
      <c r="M96" s="3">
        <f>786638+1447539+1260</f>
        <v>2235437</v>
      </c>
      <c r="N96" s="3"/>
      <c r="O96" s="3">
        <v>0</v>
      </c>
      <c r="P96" s="3"/>
      <c r="Q96" s="3">
        <v>0</v>
      </c>
      <c r="R96" s="3"/>
      <c r="S96" s="3">
        <v>663</v>
      </c>
      <c r="T96" s="3"/>
      <c r="U96" s="3">
        <v>25891</v>
      </c>
      <c r="V96" s="3"/>
      <c r="W96" s="8">
        <f t="shared" si="7"/>
        <v>2560634</v>
      </c>
      <c r="X96" s="3"/>
      <c r="Y96" s="3">
        <v>0</v>
      </c>
      <c r="Z96" s="3"/>
      <c r="AA96" s="3"/>
      <c r="AB96" s="3"/>
      <c r="AC96" s="3">
        <v>0</v>
      </c>
      <c r="AD96" s="3"/>
      <c r="AE96" s="3">
        <v>0</v>
      </c>
      <c r="AF96" s="3"/>
      <c r="AG96" s="103" t="s">
        <v>297</v>
      </c>
      <c r="AH96" s="103"/>
      <c r="AI96" s="103" t="s">
        <v>172</v>
      </c>
      <c r="AJ96" s="3"/>
      <c r="AK96" s="3">
        <v>0</v>
      </c>
      <c r="AL96" s="3"/>
      <c r="AM96" s="3">
        <v>0</v>
      </c>
      <c r="AN96" s="3"/>
      <c r="AO96" s="3">
        <v>0</v>
      </c>
      <c r="AP96" s="3"/>
      <c r="AQ96" s="3">
        <v>0</v>
      </c>
      <c r="AR96" s="3"/>
      <c r="AS96" s="3">
        <v>0</v>
      </c>
      <c r="AT96" s="3"/>
      <c r="AU96" s="3">
        <f t="shared" ref="AU96:AU110" si="8">SUM(Y96:AS96)</f>
        <v>0</v>
      </c>
      <c r="AV96" s="3"/>
      <c r="AW96" s="3">
        <f t="shared" ref="AW96:AW131" si="9">+AU96+W96</f>
        <v>2560634</v>
      </c>
    </row>
    <row r="97" spans="1:49" s="65" customFormat="1" hidden="1">
      <c r="A97" s="58" t="s">
        <v>386</v>
      </c>
      <c r="B97" s="58"/>
      <c r="C97" s="58" t="s">
        <v>173</v>
      </c>
      <c r="E97" s="59">
        <v>47977</v>
      </c>
      <c r="G97" s="58">
        <v>0</v>
      </c>
      <c r="H97" s="58"/>
      <c r="I97" s="58">
        <v>0</v>
      </c>
      <c r="J97" s="58"/>
      <c r="K97" s="58">
        <v>0</v>
      </c>
      <c r="L97" s="58"/>
      <c r="M97" s="58">
        <v>0</v>
      </c>
      <c r="N97" s="58"/>
      <c r="O97" s="58">
        <v>0</v>
      </c>
      <c r="P97" s="58"/>
      <c r="Q97" s="58">
        <v>0</v>
      </c>
      <c r="R97" s="58"/>
      <c r="S97" s="58">
        <v>0</v>
      </c>
      <c r="T97" s="58"/>
      <c r="U97" s="58">
        <v>0</v>
      </c>
      <c r="V97" s="58"/>
      <c r="W97" s="63">
        <f>SUM(G97:V97)</f>
        <v>0</v>
      </c>
      <c r="X97" s="58"/>
      <c r="Y97" s="58">
        <v>0</v>
      </c>
      <c r="Z97" s="58"/>
      <c r="AA97" s="58"/>
      <c r="AB97" s="58"/>
      <c r="AC97" s="58">
        <v>0</v>
      </c>
      <c r="AD97" s="58"/>
      <c r="AE97" s="58">
        <v>0</v>
      </c>
      <c r="AF97" s="58"/>
      <c r="AG97" s="58" t="s">
        <v>386</v>
      </c>
      <c r="AH97" s="58"/>
      <c r="AI97" s="58" t="s">
        <v>173</v>
      </c>
      <c r="AJ97" s="58"/>
      <c r="AK97" s="58">
        <v>0</v>
      </c>
      <c r="AL97" s="58"/>
      <c r="AM97" s="58">
        <v>0</v>
      </c>
      <c r="AN97" s="58"/>
      <c r="AO97" s="58">
        <v>0</v>
      </c>
      <c r="AP97" s="58"/>
      <c r="AQ97" s="58">
        <v>0</v>
      </c>
      <c r="AR97" s="58"/>
      <c r="AS97" s="58">
        <v>0</v>
      </c>
      <c r="AT97" s="58"/>
      <c r="AU97" s="58">
        <f t="shared" si="8"/>
        <v>0</v>
      </c>
      <c r="AV97" s="58"/>
      <c r="AW97" s="58">
        <f t="shared" si="9"/>
        <v>0</v>
      </c>
    </row>
    <row r="98" spans="1:49" s="102" customFormat="1">
      <c r="A98" s="103" t="s">
        <v>298</v>
      </c>
      <c r="B98" s="103"/>
      <c r="C98" s="103" t="s">
        <v>174</v>
      </c>
      <c r="E98" s="103">
        <v>48058</v>
      </c>
      <c r="G98" s="3">
        <v>0</v>
      </c>
      <c r="H98" s="3"/>
      <c r="I98" s="3">
        <v>277766</v>
      </c>
      <c r="J98" s="3"/>
      <c r="K98" s="3">
        <v>0</v>
      </c>
      <c r="L98" s="3"/>
      <c r="M98" s="3">
        <f>1651585+659765</f>
        <v>2311350</v>
      </c>
      <c r="N98" s="3"/>
      <c r="O98" s="3">
        <v>0</v>
      </c>
      <c r="P98" s="3"/>
      <c r="Q98" s="3">
        <v>0</v>
      </c>
      <c r="R98" s="3"/>
      <c r="S98" s="3">
        <v>0</v>
      </c>
      <c r="T98" s="3"/>
      <c r="U98" s="3">
        <v>271424</v>
      </c>
      <c r="V98" s="3"/>
      <c r="W98" s="8">
        <f t="shared" si="7"/>
        <v>2860540</v>
      </c>
      <c r="X98" s="3"/>
      <c r="Y98" s="3">
        <v>0</v>
      </c>
      <c r="Z98" s="3"/>
      <c r="AA98" s="3"/>
      <c r="AB98" s="3"/>
      <c r="AC98" s="3">
        <v>0</v>
      </c>
      <c r="AD98" s="3"/>
      <c r="AE98" s="3">
        <v>0</v>
      </c>
      <c r="AF98" s="3"/>
      <c r="AG98" s="103" t="s">
        <v>298</v>
      </c>
      <c r="AH98" s="103"/>
      <c r="AI98" s="103" t="s">
        <v>174</v>
      </c>
      <c r="AJ98" s="3"/>
      <c r="AK98" s="3">
        <v>0</v>
      </c>
      <c r="AL98" s="3"/>
      <c r="AM98" s="3">
        <v>0</v>
      </c>
      <c r="AN98" s="3"/>
      <c r="AO98" s="3">
        <v>0</v>
      </c>
      <c r="AP98" s="3"/>
      <c r="AQ98" s="3">
        <v>0</v>
      </c>
      <c r="AR98" s="3"/>
      <c r="AS98" s="3">
        <v>0</v>
      </c>
      <c r="AT98" s="3"/>
      <c r="AU98" s="3">
        <f t="shared" si="8"/>
        <v>0</v>
      </c>
      <c r="AV98" s="3"/>
      <c r="AW98" s="3">
        <f t="shared" si="9"/>
        <v>2860540</v>
      </c>
    </row>
    <row r="99" spans="1:49" s="92" customFormat="1" ht="12.6" hidden="1" customHeight="1">
      <c r="A99" s="89" t="s">
        <v>351</v>
      </c>
      <c r="B99" s="89"/>
      <c r="C99" s="89" t="s">
        <v>142</v>
      </c>
      <c r="E99" s="89">
        <v>48108</v>
      </c>
      <c r="G99" s="88">
        <v>0</v>
      </c>
      <c r="H99" s="88"/>
      <c r="I99" s="88">
        <v>0</v>
      </c>
      <c r="J99" s="88"/>
      <c r="K99" s="88">
        <v>0</v>
      </c>
      <c r="L99" s="88"/>
      <c r="M99" s="88">
        <v>0</v>
      </c>
      <c r="N99" s="88"/>
      <c r="O99" s="88">
        <v>0</v>
      </c>
      <c r="P99" s="88"/>
      <c r="Q99" s="88">
        <v>0</v>
      </c>
      <c r="R99" s="88"/>
      <c r="S99" s="88">
        <v>0</v>
      </c>
      <c r="T99" s="88"/>
      <c r="U99" s="88">
        <v>0</v>
      </c>
      <c r="V99" s="88"/>
      <c r="W99" s="95">
        <f t="shared" si="7"/>
        <v>0</v>
      </c>
      <c r="X99" s="88"/>
      <c r="Y99" s="88">
        <v>0</v>
      </c>
      <c r="Z99" s="88"/>
      <c r="AA99" s="88"/>
      <c r="AB99" s="88"/>
      <c r="AC99" s="88">
        <v>0</v>
      </c>
      <c r="AD99" s="88"/>
      <c r="AE99" s="88">
        <v>0</v>
      </c>
      <c r="AF99" s="88"/>
      <c r="AG99" s="89" t="s">
        <v>351</v>
      </c>
      <c r="AH99" s="89"/>
      <c r="AI99" s="89" t="s">
        <v>142</v>
      </c>
      <c r="AJ99" s="88"/>
      <c r="AK99" s="88">
        <v>0</v>
      </c>
      <c r="AL99" s="88"/>
      <c r="AM99" s="88">
        <v>0</v>
      </c>
      <c r="AN99" s="88"/>
      <c r="AO99" s="88">
        <v>0</v>
      </c>
      <c r="AP99" s="88"/>
      <c r="AQ99" s="88">
        <v>0</v>
      </c>
      <c r="AR99" s="88"/>
      <c r="AS99" s="88">
        <v>0</v>
      </c>
      <c r="AT99" s="88"/>
      <c r="AU99" s="88">
        <f t="shared" si="8"/>
        <v>0</v>
      </c>
      <c r="AV99" s="88"/>
      <c r="AW99" s="88">
        <f t="shared" si="9"/>
        <v>0</v>
      </c>
    </row>
    <row r="100" spans="1:49" s="102" customFormat="1">
      <c r="A100" s="103" t="s">
        <v>350</v>
      </c>
      <c r="B100" s="103"/>
      <c r="C100" s="103" t="s">
        <v>175</v>
      </c>
      <c r="E100" s="103">
        <v>48199</v>
      </c>
      <c r="G100" s="3">
        <v>0</v>
      </c>
      <c r="H100" s="3"/>
      <c r="I100" s="3">
        <f>2529680+62326</f>
        <v>2592006</v>
      </c>
      <c r="J100" s="3"/>
      <c r="K100" s="3">
        <v>10312</v>
      </c>
      <c r="L100" s="3"/>
      <c r="M100" s="3">
        <f>6629985+1014+6459858+154171</f>
        <v>13245028</v>
      </c>
      <c r="N100" s="3"/>
      <c r="O100" s="3">
        <v>0</v>
      </c>
      <c r="P100" s="3"/>
      <c r="Q100" s="3">
        <v>0</v>
      </c>
      <c r="R100" s="3"/>
      <c r="S100" s="3">
        <v>1864</v>
      </c>
      <c r="T100" s="3"/>
      <c r="U100" s="3">
        <v>81907</v>
      </c>
      <c r="V100" s="3"/>
      <c r="W100" s="8">
        <f t="shared" si="7"/>
        <v>15931117</v>
      </c>
      <c r="X100" s="3"/>
      <c r="Y100" s="3">
        <v>6985</v>
      </c>
      <c r="Z100" s="3"/>
      <c r="AA100" s="3"/>
      <c r="AB100" s="3"/>
      <c r="AC100" s="3">
        <v>0</v>
      </c>
      <c r="AD100" s="3"/>
      <c r="AE100" s="3">
        <v>0</v>
      </c>
      <c r="AF100" s="3"/>
      <c r="AG100" s="103" t="s">
        <v>350</v>
      </c>
      <c r="AH100" s="103"/>
      <c r="AI100" s="103" t="s">
        <v>175</v>
      </c>
      <c r="AJ100" s="3"/>
      <c r="AK100" s="3">
        <v>0</v>
      </c>
      <c r="AL100" s="3"/>
      <c r="AM100" s="3">
        <v>300</v>
      </c>
      <c r="AN100" s="3"/>
      <c r="AO100" s="3">
        <v>0</v>
      </c>
      <c r="AP100" s="3"/>
      <c r="AQ100" s="3">
        <v>0</v>
      </c>
      <c r="AR100" s="3"/>
      <c r="AS100" s="3">
        <v>0</v>
      </c>
      <c r="AT100" s="3"/>
      <c r="AU100" s="3">
        <f t="shared" si="8"/>
        <v>7285</v>
      </c>
      <c r="AV100" s="3"/>
      <c r="AW100" s="3">
        <f t="shared" si="9"/>
        <v>15938402</v>
      </c>
    </row>
    <row r="101" spans="1:49" s="65" customFormat="1" hidden="1">
      <c r="A101" s="58" t="s">
        <v>316</v>
      </c>
      <c r="B101" s="59"/>
      <c r="C101" s="59" t="s">
        <v>151</v>
      </c>
      <c r="E101" s="59">
        <v>137364</v>
      </c>
      <c r="G101" s="58">
        <v>0</v>
      </c>
      <c r="H101" s="58"/>
      <c r="I101" s="58">
        <v>0</v>
      </c>
      <c r="J101" s="58"/>
      <c r="K101" s="58">
        <v>0</v>
      </c>
      <c r="L101" s="58"/>
      <c r="M101" s="58">
        <v>0</v>
      </c>
      <c r="N101" s="58"/>
      <c r="O101" s="58">
        <v>0</v>
      </c>
      <c r="P101" s="58"/>
      <c r="Q101" s="58">
        <v>0</v>
      </c>
      <c r="R101" s="58"/>
      <c r="S101" s="58">
        <v>0</v>
      </c>
      <c r="T101" s="58"/>
      <c r="U101" s="58">
        <v>0</v>
      </c>
      <c r="V101" s="58"/>
      <c r="W101" s="63">
        <f t="shared" si="7"/>
        <v>0</v>
      </c>
      <c r="X101" s="58"/>
      <c r="Y101" s="58">
        <v>0</v>
      </c>
      <c r="Z101" s="58"/>
      <c r="AA101" s="58"/>
      <c r="AB101" s="58"/>
      <c r="AC101" s="58">
        <v>0</v>
      </c>
      <c r="AD101" s="58"/>
      <c r="AE101" s="58">
        <v>0</v>
      </c>
      <c r="AF101" s="58"/>
      <c r="AG101" s="58" t="s">
        <v>316</v>
      </c>
      <c r="AH101" s="59"/>
      <c r="AI101" s="59" t="s">
        <v>151</v>
      </c>
      <c r="AJ101" s="58"/>
      <c r="AK101" s="58">
        <v>0</v>
      </c>
      <c r="AL101" s="58"/>
      <c r="AM101" s="58">
        <v>0</v>
      </c>
      <c r="AN101" s="58"/>
      <c r="AO101" s="58">
        <v>0</v>
      </c>
      <c r="AP101" s="58"/>
      <c r="AQ101" s="58">
        <v>0</v>
      </c>
      <c r="AR101" s="58"/>
      <c r="AS101" s="58">
        <v>0</v>
      </c>
      <c r="AT101" s="58"/>
      <c r="AU101" s="58">
        <f t="shared" si="8"/>
        <v>0</v>
      </c>
      <c r="AV101" s="58"/>
      <c r="AW101" s="58">
        <f t="shared" si="9"/>
        <v>0</v>
      </c>
    </row>
    <row r="102" spans="1:49" s="102" customFormat="1">
      <c r="A102" s="3" t="s">
        <v>317</v>
      </c>
      <c r="B102" s="103"/>
      <c r="C102" s="103" t="s">
        <v>176</v>
      </c>
      <c r="E102" s="103">
        <v>48280</v>
      </c>
      <c r="G102" s="3">
        <v>0</v>
      </c>
      <c r="H102" s="3"/>
      <c r="I102" s="3">
        <f>1687927+59606</f>
        <v>1747533</v>
      </c>
      <c r="J102" s="3"/>
      <c r="K102" s="3">
        <v>18862</v>
      </c>
      <c r="L102" s="3"/>
      <c r="M102" s="3">
        <f>13317497+3683560+404</f>
        <v>17001461</v>
      </c>
      <c r="N102" s="3"/>
      <c r="O102" s="3">
        <v>0</v>
      </c>
      <c r="P102" s="3"/>
      <c r="Q102" s="3">
        <v>0</v>
      </c>
      <c r="R102" s="3"/>
      <c r="S102" s="3">
        <v>0</v>
      </c>
      <c r="T102" s="3"/>
      <c r="U102" s="3">
        <v>137438</v>
      </c>
      <c r="V102" s="3"/>
      <c r="W102" s="8">
        <f t="shared" si="7"/>
        <v>18905294</v>
      </c>
      <c r="X102" s="3"/>
      <c r="Y102" s="3">
        <v>0</v>
      </c>
      <c r="Z102" s="3"/>
      <c r="AA102" s="3"/>
      <c r="AB102" s="3"/>
      <c r="AC102" s="3">
        <v>42372</v>
      </c>
      <c r="AD102" s="3"/>
      <c r="AE102" s="3">
        <v>0</v>
      </c>
      <c r="AF102" s="3"/>
      <c r="AG102" s="3" t="s">
        <v>317</v>
      </c>
      <c r="AH102" s="103"/>
      <c r="AI102" s="103" t="s">
        <v>176</v>
      </c>
      <c r="AJ102" s="3"/>
      <c r="AK102" s="3">
        <v>0</v>
      </c>
      <c r="AL102" s="3"/>
      <c r="AM102" s="3">
        <v>0</v>
      </c>
      <c r="AN102" s="3"/>
      <c r="AO102" s="3">
        <v>0</v>
      </c>
      <c r="AP102" s="3"/>
      <c r="AQ102" s="3">
        <v>0</v>
      </c>
      <c r="AR102" s="3"/>
      <c r="AS102" s="3">
        <v>0</v>
      </c>
      <c r="AT102" s="3"/>
      <c r="AU102" s="3">
        <f t="shared" si="8"/>
        <v>42372</v>
      </c>
      <c r="AV102" s="3"/>
      <c r="AW102" s="3">
        <f t="shared" si="9"/>
        <v>18947666</v>
      </c>
    </row>
    <row r="103" spans="1:49" s="102" customFormat="1">
      <c r="A103" s="3" t="s">
        <v>177</v>
      </c>
      <c r="B103" s="103"/>
      <c r="C103" s="103" t="s">
        <v>178</v>
      </c>
      <c r="E103" s="103">
        <v>48454</v>
      </c>
      <c r="G103" s="3">
        <v>0</v>
      </c>
      <c r="H103" s="3"/>
      <c r="I103" s="3">
        <v>1260220</v>
      </c>
      <c r="J103" s="3"/>
      <c r="K103" s="3">
        <v>879</v>
      </c>
      <c r="L103" s="3"/>
      <c r="M103" s="3">
        <f>64510+3350873</f>
        <v>3415383</v>
      </c>
      <c r="N103" s="3"/>
      <c r="O103" s="3">
        <v>0</v>
      </c>
      <c r="P103" s="3"/>
      <c r="Q103" s="3">
        <v>0</v>
      </c>
      <c r="R103" s="3"/>
      <c r="S103" s="3">
        <v>804</v>
      </c>
      <c r="T103" s="3"/>
      <c r="U103" s="3">
        <v>5778</v>
      </c>
      <c r="V103" s="3"/>
      <c r="W103" s="8">
        <f t="shared" si="7"/>
        <v>4683064</v>
      </c>
      <c r="X103" s="3"/>
      <c r="Y103" s="3">
        <v>700</v>
      </c>
      <c r="Z103" s="3"/>
      <c r="AA103" s="3"/>
      <c r="AB103" s="3"/>
      <c r="AC103" s="3">
        <v>0</v>
      </c>
      <c r="AD103" s="3"/>
      <c r="AE103" s="3">
        <v>0</v>
      </c>
      <c r="AF103" s="3"/>
      <c r="AG103" s="3" t="s">
        <v>177</v>
      </c>
      <c r="AH103" s="103"/>
      <c r="AI103" s="103" t="s">
        <v>178</v>
      </c>
      <c r="AJ103" s="3"/>
      <c r="AK103" s="3">
        <v>0</v>
      </c>
      <c r="AL103" s="3"/>
      <c r="AM103" s="3">
        <v>0</v>
      </c>
      <c r="AN103" s="3"/>
      <c r="AO103" s="3">
        <v>0</v>
      </c>
      <c r="AP103" s="3"/>
      <c r="AQ103" s="3">
        <v>0</v>
      </c>
      <c r="AR103" s="3"/>
      <c r="AS103" s="3">
        <v>0</v>
      </c>
      <c r="AT103" s="3"/>
      <c r="AU103" s="3">
        <f t="shared" si="8"/>
        <v>700</v>
      </c>
      <c r="AV103" s="3"/>
      <c r="AW103" s="3">
        <f t="shared" si="9"/>
        <v>4683764</v>
      </c>
    </row>
    <row r="104" spans="1:49" s="65" customFormat="1" hidden="1">
      <c r="A104" s="58" t="s">
        <v>318</v>
      </c>
      <c r="B104" s="59"/>
      <c r="C104" s="59" t="s">
        <v>179</v>
      </c>
      <c r="E104" s="59">
        <v>48546</v>
      </c>
      <c r="G104" s="58">
        <v>0</v>
      </c>
      <c r="H104" s="58"/>
      <c r="I104" s="58">
        <v>0</v>
      </c>
      <c r="J104" s="58"/>
      <c r="K104" s="58">
        <v>0</v>
      </c>
      <c r="L104" s="58"/>
      <c r="M104" s="58">
        <v>0</v>
      </c>
      <c r="N104" s="58"/>
      <c r="O104" s="58">
        <v>0</v>
      </c>
      <c r="P104" s="58"/>
      <c r="Q104" s="58">
        <v>0</v>
      </c>
      <c r="R104" s="58"/>
      <c r="S104" s="58">
        <v>0</v>
      </c>
      <c r="T104" s="58"/>
      <c r="U104" s="58">
        <v>0</v>
      </c>
      <c r="V104" s="58"/>
      <c r="W104" s="63">
        <f t="shared" si="7"/>
        <v>0</v>
      </c>
      <c r="X104" s="58"/>
      <c r="Y104" s="58">
        <v>0</v>
      </c>
      <c r="Z104" s="58"/>
      <c r="AA104" s="58"/>
      <c r="AB104" s="58"/>
      <c r="AC104" s="58">
        <v>0</v>
      </c>
      <c r="AD104" s="58"/>
      <c r="AE104" s="58">
        <v>0</v>
      </c>
      <c r="AF104" s="58"/>
      <c r="AG104" s="58" t="s">
        <v>318</v>
      </c>
      <c r="AH104" s="59"/>
      <c r="AI104" s="59" t="s">
        <v>179</v>
      </c>
      <c r="AJ104" s="58"/>
      <c r="AK104" s="58">
        <v>0</v>
      </c>
      <c r="AL104" s="58"/>
      <c r="AM104" s="58">
        <v>0</v>
      </c>
      <c r="AN104" s="58"/>
      <c r="AO104" s="58">
        <v>0</v>
      </c>
      <c r="AP104" s="58"/>
      <c r="AQ104" s="58">
        <v>0</v>
      </c>
      <c r="AR104" s="58"/>
      <c r="AS104" s="58">
        <v>0</v>
      </c>
      <c r="AT104" s="58"/>
      <c r="AU104" s="58">
        <f t="shared" si="8"/>
        <v>0</v>
      </c>
      <c r="AV104" s="58"/>
      <c r="AW104" s="58">
        <f t="shared" si="9"/>
        <v>0</v>
      </c>
    </row>
    <row r="105" spans="1:49" s="102" customFormat="1">
      <c r="A105" s="3" t="s">
        <v>319</v>
      </c>
      <c r="B105" s="103"/>
      <c r="C105" s="103" t="s">
        <v>180</v>
      </c>
      <c r="E105" s="103">
        <v>48603</v>
      </c>
      <c r="G105" s="3">
        <v>0</v>
      </c>
      <c r="H105" s="3"/>
      <c r="I105" s="3">
        <v>1291192</v>
      </c>
      <c r="J105" s="3"/>
      <c r="K105" s="3">
        <v>373</v>
      </c>
      <c r="L105" s="3"/>
      <c r="M105" s="3">
        <f>11801287+29025</f>
        <v>11830312</v>
      </c>
      <c r="N105" s="3"/>
      <c r="O105" s="3">
        <v>0</v>
      </c>
      <c r="P105" s="3"/>
      <c r="Q105" s="3">
        <v>0</v>
      </c>
      <c r="R105" s="3"/>
      <c r="S105" s="3">
        <v>5595</v>
      </c>
      <c r="T105" s="3"/>
      <c r="U105" s="3">
        <v>118760</v>
      </c>
      <c r="V105" s="3"/>
      <c r="W105" s="8">
        <f t="shared" si="7"/>
        <v>13246232</v>
      </c>
      <c r="X105" s="3"/>
      <c r="Y105" s="3">
        <v>0</v>
      </c>
      <c r="Z105" s="3"/>
      <c r="AA105" s="3"/>
      <c r="AB105" s="3"/>
      <c r="AC105" s="3">
        <v>7033</v>
      </c>
      <c r="AD105" s="3"/>
      <c r="AE105" s="3">
        <v>0</v>
      </c>
      <c r="AF105" s="3"/>
      <c r="AG105" s="3" t="s">
        <v>319</v>
      </c>
      <c r="AH105" s="103"/>
      <c r="AI105" s="103" t="s">
        <v>180</v>
      </c>
      <c r="AJ105" s="3"/>
      <c r="AK105" s="3">
        <v>0</v>
      </c>
      <c r="AL105" s="3"/>
      <c r="AM105" s="3">
        <v>0</v>
      </c>
      <c r="AN105" s="3"/>
      <c r="AO105" s="3">
        <v>0</v>
      </c>
      <c r="AP105" s="3"/>
      <c r="AQ105" s="3">
        <v>0</v>
      </c>
      <c r="AR105" s="3"/>
      <c r="AS105" s="3">
        <v>0</v>
      </c>
      <c r="AT105" s="3"/>
      <c r="AU105" s="3">
        <f t="shared" si="8"/>
        <v>7033</v>
      </c>
      <c r="AV105" s="3"/>
      <c r="AW105" s="3">
        <f t="shared" si="9"/>
        <v>13253265</v>
      </c>
    </row>
    <row r="106" spans="1:49" s="65" customFormat="1" hidden="1">
      <c r="A106" s="58" t="s">
        <v>275</v>
      </c>
      <c r="B106" s="58"/>
      <c r="C106" s="58" t="s">
        <v>189</v>
      </c>
      <c r="E106" s="59">
        <v>12351</v>
      </c>
      <c r="G106" s="58">
        <v>0</v>
      </c>
      <c r="H106" s="58"/>
      <c r="I106" s="58">
        <v>0</v>
      </c>
      <c r="J106" s="58"/>
      <c r="K106" s="58">
        <v>0</v>
      </c>
      <c r="L106" s="58"/>
      <c r="M106" s="58">
        <v>0</v>
      </c>
      <c r="N106" s="58"/>
      <c r="O106" s="58">
        <v>0</v>
      </c>
      <c r="P106" s="58"/>
      <c r="Q106" s="58">
        <v>0</v>
      </c>
      <c r="R106" s="58"/>
      <c r="S106" s="58">
        <v>0</v>
      </c>
      <c r="T106" s="58"/>
      <c r="U106" s="58">
        <v>0</v>
      </c>
      <c r="V106" s="58"/>
      <c r="W106" s="63">
        <f>SUM(G106:V106)</f>
        <v>0</v>
      </c>
      <c r="X106" s="58"/>
      <c r="Y106" s="58">
        <v>0</v>
      </c>
      <c r="Z106" s="58"/>
      <c r="AA106" s="58"/>
      <c r="AB106" s="58"/>
      <c r="AC106" s="58">
        <v>0</v>
      </c>
      <c r="AD106" s="58"/>
      <c r="AE106" s="58">
        <v>0</v>
      </c>
      <c r="AF106" s="58"/>
      <c r="AG106" s="58" t="s">
        <v>275</v>
      </c>
      <c r="AH106" s="58"/>
      <c r="AI106" s="58" t="s">
        <v>189</v>
      </c>
      <c r="AJ106" s="58"/>
      <c r="AK106" s="58">
        <v>0</v>
      </c>
      <c r="AL106" s="58"/>
      <c r="AM106" s="58">
        <v>0</v>
      </c>
      <c r="AN106" s="58"/>
      <c r="AO106" s="58">
        <v>0</v>
      </c>
      <c r="AP106" s="58"/>
      <c r="AQ106" s="58">
        <v>0</v>
      </c>
      <c r="AR106" s="58"/>
      <c r="AS106" s="58">
        <v>0</v>
      </c>
      <c r="AT106" s="58"/>
      <c r="AU106" s="58">
        <f t="shared" si="8"/>
        <v>0</v>
      </c>
      <c r="AV106" s="58"/>
      <c r="AW106" s="58">
        <f t="shared" si="9"/>
        <v>0</v>
      </c>
    </row>
    <row r="107" spans="1:49" s="102" customFormat="1">
      <c r="A107" s="3" t="s">
        <v>320</v>
      </c>
      <c r="B107" s="103"/>
      <c r="C107" s="103" t="s">
        <v>181</v>
      </c>
      <c r="E107" s="103">
        <v>48660</v>
      </c>
      <c r="G107" s="3">
        <v>0</v>
      </c>
      <c r="H107" s="3"/>
      <c r="I107" s="3">
        <v>1661315</v>
      </c>
      <c r="J107" s="3"/>
      <c r="K107" s="3">
        <v>34671</v>
      </c>
      <c r="L107" s="3"/>
      <c r="M107" s="3">
        <f>17578195+6884282</f>
        <v>24462477</v>
      </c>
      <c r="N107" s="3"/>
      <c r="O107" s="3">
        <v>0</v>
      </c>
      <c r="P107" s="3"/>
      <c r="Q107" s="3">
        <v>0</v>
      </c>
      <c r="R107" s="3"/>
      <c r="S107" s="3">
        <v>0</v>
      </c>
      <c r="T107" s="3"/>
      <c r="U107" s="3">
        <v>51535</v>
      </c>
      <c r="V107" s="3"/>
      <c r="W107" s="8">
        <f t="shared" si="7"/>
        <v>26209998</v>
      </c>
      <c r="X107" s="3"/>
      <c r="Y107" s="3">
        <v>0</v>
      </c>
      <c r="Z107" s="3"/>
      <c r="AA107" s="3"/>
      <c r="AB107" s="3"/>
      <c r="AC107" s="3">
        <v>0</v>
      </c>
      <c r="AD107" s="3"/>
      <c r="AE107" s="3">
        <v>0</v>
      </c>
      <c r="AF107" s="3"/>
      <c r="AG107" s="3" t="s">
        <v>320</v>
      </c>
      <c r="AH107" s="103"/>
      <c r="AI107" s="103" t="s">
        <v>181</v>
      </c>
      <c r="AJ107" s="3"/>
      <c r="AK107" s="3">
        <v>0</v>
      </c>
      <c r="AL107" s="3"/>
      <c r="AM107" s="3">
        <v>0</v>
      </c>
      <c r="AN107" s="3"/>
      <c r="AO107" s="3">
        <v>0</v>
      </c>
      <c r="AP107" s="3"/>
      <c r="AQ107" s="3">
        <v>0</v>
      </c>
      <c r="AR107" s="3"/>
      <c r="AS107" s="3">
        <v>0</v>
      </c>
      <c r="AT107" s="3"/>
      <c r="AU107" s="3">
        <f t="shared" si="8"/>
        <v>0</v>
      </c>
      <c r="AV107" s="3"/>
      <c r="AW107" s="3">
        <f t="shared" si="9"/>
        <v>26209998</v>
      </c>
    </row>
    <row r="108" spans="1:49" s="102" customFormat="1">
      <c r="A108" s="3" t="s">
        <v>182</v>
      </c>
      <c r="B108" s="103"/>
      <c r="C108" s="103" t="s">
        <v>183</v>
      </c>
      <c r="E108" s="103">
        <v>125252</v>
      </c>
      <c r="G108" s="3">
        <v>0</v>
      </c>
      <c r="H108" s="3"/>
      <c r="I108" s="3">
        <v>1520759</v>
      </c>
      <c r="J108" s="3"/>
      <c r="K108" s="3">
        <v>17769</v>
      </c>
      <c r="L108" s="3"/>
      <c r="M108" s="3">
        <f>4784938+8087428</f>
        <v>12872366</v>
      </c>
      <c r="N108" s="3"/>
      <c r="O108" s="3">
        <v>17024</v>
      </c>
      <c r="P108" s="3"/>
      <c r="Q108" s="3">
        <v>0</v>
      </c>
      <c r="R108" s="3"/>
      <c r="S108" s="3">
        <v>0</v>
      </c>
      <c r="T108" s="3"/>
      <c r="U108" s="3">
        <v>111103</v>
      </c>
      <c r="V108" s="3"/>
      <c r="W108" s="8">
        <f t="shared" si="7"/>
        <v>14539021</v>
      </c>
      <c r="X108" s="3"/>
      <c r="Y108" s="3">
        <v>0</v>
      </c>
      <c r="Z108" s="3"/>
      <c r="AA108" s="3"/>
      <c r="AB108" s="3"/>
      <c r="AC108" s="3">
        <v>0</v>
      </c>
      <c r="AD108" s="3"/>
      <c r="AE108" s="3">
        <v>0</v>
      </c>
      <c r="AF108" s="3"/>
      <c r="AG108" s="3" t="s">
        <v>182</v>
      </c>
      <c r="AH108" s="103"/>
      <c r="AI108" s="103" t="s">
        <v>183</v>
      </c>
      <c r="AJ108" s="3"/>
      <c r="AK108" s="3">
        <v>0</v>
      </c>
      <c r="AL108" s="3"/>
      <c r="AM108" s="3">
        <v>0</v>
      </c>
      <c r="AN108" s="3"/>
      <c r="AO108" s="3">
        <v>0</v>
      </c>
      <c r="AP108" s="3"/>
      <c r="AQ108" s="3">
        <v>0</v>
      </c>
      <c r="AR108" s="3"/>
      <c r="AS108" s="3">
        <v>0</v>
      </c>
      <c r="AT108" s="3"/>
      <c r="AU108" s="3">
        <f t="shared" si="8"/>
        <v>0</v>
      </c>
      <c r="AV108" s="3"/>
      <c r="AW108" s="3">
        <f t="shared" si="9"/>
        <v>14539021</v>
      </c>
    </row>
    <row r="109" spans="1:49" s="102" customFormat="1">
      <c r="A109" s="3" t="s">
        <v>265</v>
      </c>
      <c r="B109" s="103"/>
      <c r="C109" s="103" t="s">
        <v>193</v>
      </c>
      <c r="E109" s="103">
        <v>123257</v>
      </c>
      <c r="G109" s="3">
        <v>0</v>
      </c>
      <c r="H109" s="3"/>
      <c r="I109" s="3">
        <v>2910970</v>
      </c>
      <c r="J109" s="3"/>
      <c r="K109" s="3">
        <v>1329</v>
      </c>
      <c r="L109" s="3"/>
      <c r="M109" s="3">
        <f>8452899+36038+3996058</f>
        <v>12484995</v>
      </c>
      <c r="N109" s="3"/>
      <c r="O109" s="3">
        <v>0</v>
      </c>
      <c r="P109" s="3"/>
      <c r="Q109" s="3">
        <v>0</v>
      </c>
      <c r="R109" s="3"/>
      <c r="S109" s="3">
        <v>12687</v>
      </c>
      <c r="T109" s="3"/>
      <c r="U109" s="3">
        <v>804669</v>
      </c>
      <c r="V109" s="3"/>
      <c r="W109" s="8">
        <f t="shared" ref="W109:W110" si="10">SUM(G109:V109)</f>
        <v>16214650</v>
      </c>
      <c r="X109" s="3"/>
      <c r="Y109" s="3">
        <v>0</v>
      </c>
      <c r="Z109" s="3"/>
      <c r="AA109" s="3"/>
      <c r="AB109" s="3"/>
      <c r="AC109" s="3">
        <v>0</v>
      </c>
      <c r="AD109" s="3"/>
      <c r="AE109" s="3">
        <v>0</v>
      </c>
      <c r="AF109" s="3"/>
      <c r="AG109" s="3" t="s">
        <v>265</v>
      </c>
      <c r="AH109" s="103"/>
      <c r="AI109" s="103" t="s">
        <v>193</v>
      </c>
      <c r="AJ109" s="3"/>
      <c r="AK109" s="3">
        <v>0</v>
      </c>
      <c r="AL109" s="3"/>
      <c r="AM109" s="3">
        <v>0</v>
      </c>
      <c r="AN109" s="3"/>
      <c r="AO109" s="3">
        <v>0</v>
      </c>
      <c r="AP109" s="3"/>
      <c r="AQ109" s="3">
        <v>0</v>
      </c>
      <c r="AR109" s="3"/>
      <c r="AS109" s="3">
        <v>0</v>
      </c>
      <c r="AT109" s="3"/>
      <c r="AU109" s="3">
        <f t="shared" si="8"/>
        <v>0</v>
      </c>
      <c r="AV109" s="3"/>
      <c r="AW109" s="3">
        <f t="shared" si="9"/>
        <v>16214650</v>
      </c>
    </row>
    <row r="110" spans="1:49" s="102" customFormat="1">
      <c r="A110" s="103" t="s">
        <v>299</v>
      </c>
      <c r="B110" s="103"/>
      <c r="C110" s="103" t="s">
        <v>160</v>
      </c>
      <c r="E110" s="12">
        <v>125690</v>
      </c>
      <c r="G110" s="3">
        <v>0</v>
      </c>
      <c r="H110" s="3"/>
      <c r="I110" s="3">
        <f>2393782+189939</f>
        <v>2583721</v>
      </c>
      <c r="J110" s="3"/>
      <c r="K110" s="3">
        <v>9450</v>
      </c>
      <c r="L110" s="3"/>
      <c r="M110" s="3">
        <f>17363591+6825+234367</f>
        <v>17604783</v>
      </c>
      <c r="N110" s="3"/>
      <c r="O110" s="3">
        <v>4780</v>
      </c>
      <c r="P110" s="3"/>
      <c r="Q110" s="3">
        <v>0</v>
      </c>
      <c r="R110" s="3"/>
      <c r="S110" s="3">
        <v>13965</v>
      </c>
      <c r="T110" s="3"/>
      <c r="U110" s="3">
        <v>55562</v>
      </c>
      <c r="V110" s="3"/>
      <c r="W110" s="8">
        <f t="shared" si="10"/>
        <v>20272261</v>
      </c>
      <c r="X110" s="3"/>
      <c r="Y110" s="3">
        <v>0</v>
      </c>
      <c r="Z110" s="3"/>
      <c r="AA110" s="3"/>
      <c r="AB110" s="3"/>
      <c r="AC110" s="3">
        <v>0</v>
      </c>
      <c r="AD110" s="3"/>
      <c r="AE110" s="3">
        <v>0</v>
      </c>
      <c r="AF110" s="3"/>
      <c r="AG110" s="103" t="s">
        <v>299</v>
      </c>
      <c r="AH110" s="103"/>
      <c r="AI110" s="103" t="s">
        <v>160</v>
      </c>
      <c r="AJ110" s="3"/>
      <c r="AK110" s="3">
        <v>0</v>
      </c>
      <c r="AL110" s="3"/>
      <c r="AM110" s="3">
        <v>1674</v>
      </c>
      <c r="AN110" s="3"/>
      <c r="AO110" s="3">
        <v>0</v>
      </c>
      <c r="AP110" s="3"/>
      <c r="AQ110" s="3">
        <v>0</v>
      </c>
      <c r="AR110" s="3"/>
      <c r="AS110" s="3">
        <v>0</v>
      </c>
      <c r="AT110" s="3"/>
      <c r="AU110" s="3">
        <f t="shared" si="8"/>
        <v>1674</v>
      </c>
      <c r="AV110" s="3"/>
      <c r="AW110" s="3">
        <f t="shared" si="9"/>
        <v>20273935</v>
      </c>
    </row>
    <row r="111" spans="1:49" s="102" customFormat="1">
      <c r="A111" s="3" t="s">
        <v>163</v>
      </c>
      <c r="B111" s="103"/>
      <c r="C111" s="3" t="s">
        <v>321</v>
      </c>
      <c r="E111" s="103">
        <v>124297</v>
      </c>
      <c r="G111" s="3">
        <v>0</v>
      </c>
      <c r="H111" s="3"/>
      <c r="I111" s="3">
        <v>2655131</v>
      </c>
      <c r="J111" s="3"/>
      <c r="K111" s="3">
        <v>1941</v>
      </c>
      <c r="L111" s="3"/>
      <c r="M111" s="3">
        <f>15526051+545515</f>
        <v>16071566</v>
      </c>
      <c r="N111" s="3"/>
      <c r="O111" s="3">
        <v>0</v>
      </c>
      <c r="P111" s="3"/>
      <c r="Q111" s="3">
        <v>0</v>
      </c>
      <c r="R111" s="3"/>
      <c r="S111" s="3">
        <v>5746</v>
      </c>
      <c r="T111" s="3"/>
      <c r="U111" s="3">
        <v>65654</v>
      </c>
      <c r="V111" s="3"/>
      <c r="W111" s="8">
        <f t="shared" si="7"/>
        <v>18800038</v>
      </c>
      <c r="X111" s="3"/>
      <c r="Y111" s="3">
        <v>0</v>
      </c>
      <c r="Z111" s="3"/>
      <c r="AA111" s="3"/>
      <c r="AB111" s="3"/>
      <c r="AC111" s="3">
        <v>0</v>
      </c>
      <c r="AD111" s="3"/>
      <c r="AE111" s="3">
        <v>0</v>
      </c>
      <c r="AF111" s="3"/>
      <c r="AG111" s="3" t="s">
        <v>163</v>
      </c>
      <c r="AH111" s="103"/>
      <c r="AI111" s="3" t="s">
        <v>321</v>
      </c>
      <c r="AJ111" s="3"/>
      <c r="AK111" s="3">
        <v>0</v>
      </c>
      <c r="AL111" s="3"/>
      <c r="AM111" s="3">
        <v>0</v>
      </c>
      <c r="AN111" s="3"/>
      <c r="AO111" s="3">
        <v>0</v>
      </c>
      <c r="AP111" s="3"/>
      <c r="AQ111" s="3">
        <v>0</v>
      </c>
      <c r="AR111" s="3"/>
      <c r="AS111" s="3">
        <v>0</v>
      </c>
      <c r="AT111" s="3"/>
      <c r="AU111" s="3">
        <f t="shared" ref="AU111:AU131" si="11">SUM(Y111:AS111)</f>
        <v>0</v>
      </c>
      <c r="AV111" s="3"/>
      <c r="AW111" s="3">
        <f t="shared" si="9"/>
        <v>18800038</v>
      </c>
    </row>
    <row r="112" spans="1:49" s="102" customFormat="1">
      <c r="A112" s="3" t="s">
        <v>308</v>
      </c>
      <c r="B112" s="103"/>
      <c r="C112" s="3" t="s">
        <v>259</v>
      </c>
      <c r="E112" s="103">
        <v>123281</v>
      </c>
      <c r="G112" s="3">
        <v>0</v>
      </c>
      <c r="H112" s="3"/>
      <c r="I112" s="3">
        <v>2334116</v>
      </c>
      <c r="J112" s="3"/>
      <c r="K112" s="3">
        <v>3232</v>
      </c>
      <c r="L112" s="3"/>
      <c r="M112" s="3">
        <f>666098+9800+5179328</f>
        <v>5855226</v>
      </c>
      <c r="N112" s="3"/>
      <c r="O112" s="3">
        <v>0</v>
      </c>
      <c r="P112" s="3"/>
      <c r="Q112" s="3">
        <v>0</v>
      </c>
      <c r="R112" s="3"/>
      <c r="S112" s="3">
        <v>800</v>
      </c>
      <c r="T112" s="3"/>
      <c r="U112" s="3">
        <v>14451</v>
      </c>
      <c r="V112" s="3"/>
      <c r="W112" s="8">
        <f t="shared" si="7"/>
        <v>8207825</v>
      </c>
      <c r="X112" s="3"/>
      <c r="Y112" s="3">
        <v>138083</v>
      </c>
      <c r="Z112" s="3"/>
      <c r="AA112" s="3"/>
      <c r="AB112" s="3"/>
      <c r="AC112" s="3">
        <v>0</v>
      </c>
      <c r="AD112" s="3"/>
      <c r="AE112" s="3">
        <v>0</v>
      </c>
      <c r="AF112" s="3"/>
      <c r="AG112" s="3" t="s">
        <v>308</v>
      </c>
      <c r="AH112" s="103"/>
      <c r="AI112" s="3" t="s">
        <v>259</v>
      </c>
      <c r="AJ112" s="3"/>
      <c r="AK112" s="3">
        <v>0</v>
      </c>
      <c r="AL112" s="3"/>
      <c r="AM112" s="3">
        <v>0</v>
      </c>
      <c r="AN112" s="3"/>
      <c r="AO112" s="3">
        <v>0</v>
      </c>
      <c r="AP112" s="3"/>
      <c r="AQ112" s="3">
        <v>0</v>
      </c>
      <c r="AR112" s="3"/>
      <c r="AS112" s="3">
        <v>0</v>
      </c>
      <c r="AT112" s="3"/>
      <c r="AU112" s="3">
        <f t="shared" si="11"/>
        <v>138083</v>
      </c>
      <c r="AV112" s="3"/>
      <c r="AW112" s="3">
        <f t="shared" si="9"/>
        <v>8345908</v>
      </c>
    </row>
    <row r="113" spans="1:49" s="92" customFormat="1" hidden="1">
      <c r="A113" s="88" t="s">
        <v>355</v>
      </c>
      <c r="B113" s="89"/>
      <c r="C113" s="89" t="s">
        <v>184</v>
      </c>
      <c r="E113" s="89">
        <v>125674</v>
      </c>
      <c r="G113" s="88">
        <v>0</v>
      </c>
      <c r="H113" s="88"/>
      <c r="I113" s="88">
        <v>0</v>
      </c>
      <c r="J113" s="88"/>
      <c r="K113" s="88">
        <v>0</v>
      </c>
      <c r="L113" s="88"/>
      <c r="M113" s="88">
        <v>0</v>
      </c>
      <c r="N113" s="88"/>
      <c r="O113" s="88">
        <v>0</v>
      </c>
      <c r="P113" s="88"/>
      <c r="Q113" s="88">
        <v>0</v>
      </c>
      <c r="R113" s="88"/>
      <c r="S113" s="88">
        <v>0</v>
      </c>
      <c r="T113" s="88"/>
      <c r="U113" s="88">
        <v>0</v>
      </c>
      <c r="V113" s="88"/>
      <c r="W113" s="95">
        <f t="shared" si="7"/>
        <v>0</v>
      </c>
      <c r="X113" s="88"/>
      <c r="Y113" s="88">
        <v>0</v>
      </c>
      <c r="Z113" s="88"/>
      <c r="AA113" s="88"/>
      <c r="AB113" s="88"/>
      <c r="AC113" s="88">
        <v>0</v>
      </c>
      <c r="AD113" s="88"/>
      <c r="AE113" s="88">
        <v>0</v>
      </c>
      <c r="AF113" s="88"/>
      <c r="AG113" s="88" t="s">
        <v>355</v>
      </c>
      <c r="AH113" s="89"/>
      <c r="AI113" s="89" t="s">
        <v>184</v>
      </c>
      <c r="AJ113" s="88"/>
      <c r="AK113" s="88">
        <v>0</v>
      </c>
      <c r="AL113" s="88"/>
      <c r="AM113" s="88">
        <v>0</v>
      </c>
      <c r="AN113" s="88"/>
      <c r="AO113" s="88">
        <v>0</v>
      </c>
      <c r="AP113" s="88"/>
      <c r="AQ113" s="88">
        <v>0</v>
      </c>
      <c r="AR113" s="88"/>
      <c r="AS113" s="88">
        <v>0</v>
      </c>
      <c r="AT113" s="88"/>
      <c r="AU113" s="88">
        <f t="shared" si="11"/>
        <v>0</v>
      </c>
      <c r="AV113" s="88"/>
      <c r="AW113" s="88">
        <f t="shared" si="9"/>
        <v>0</v>
      </c>
    </row>
    <row r="114" spans="1:49" s="102" customFormat="1">
      <c r="A114" s="3" t="s">
        <v>332</v>
      </c>
      <c r="B114" s="103"/>
      <c r="C114" s="103" t="s">
        <v>185</v>
      </c>
      <c r="E114" s="103">
        <v>49072</v>
      </c>
      <c r="G114" s="3">
        <v>0</v>
      </c>
      <c r="H114" s="3"/>
      <c r="I114" s="3">
        <v>492656</v>
      </c>
      <c r="J114" s="3"/>
      <c r="K114" s="3">
        <v>0</v>
      </c>
      <c r="L114" s="3"/>
      <c r="M114" s="3">
        <f>2871648+2354</f>
        <v>2874002</v>
      </c>
      <c r="N114" s="3"/>
      <c r="O114" s="3">
        <v>0</v>
      </c>
      <c r="P114" s="3"/>
      <c r="Q114" s="3">
        <v>0</v>
      </c>
      <c r="R114" s="3"/>
      <c r="S114" s="3">
        <v>0</v>
      </c>
      <c r="T114" s="3"/>
      <c r="U114" s="3">
        <v>83883</v>
      </c>
      <c r="V114" s="3"/>
      <c r="W114" s="8">
        <f t="shared" si="7"/>
        <v>3450541</v>
      </c>
      <c r="X114" s="3"/>
      <c r="Y114" s="3">
        <v>0</v>
      </c>
      <c r="Z114" s="3"/>
      <c r="AA114" s="3"/>
      <c r="AB114" s="3"/>
      <c r="AC114" s="3">
        <v>0</v>
      </c>
      <c r="AD114" s="3"/>
      <c r="AE114" s="3">
        <v>0</v>
      </c>
      <c r="AF114" s="3"/>
      <c r="AG114" s="3" t="s">
        <v>332</v>
      </c>
      <c r="AH114" s="103"/>
      <c r="AI114" s="103" t="s">
        <v>185</v>
      </c>
      <c r="AJ114" s="3"/>
      <c r="AK114" s="3">
        <v>0</v>
      </c>
      <c r="AL114" s="3"/>
      <c r="AM114" s="3">
        <v>250</v>
      </c>
      <c r="AN114" s="3"/>
      <c r="AO114" s="3">
        <v>0</v>
      </c>
      <c r="AP114" s="3"/>
      <c r="AQ114" s="3">
        <v>0</v>
      </c>
      <c r="AR114" s="3"/>
      <c r="AS114" s="3">
        <v>0</v>
      </c>
      <c r="AT114" s="3"/>
      <c r="AU114" s="3">
        <f t="shared" si="11"/>
        <v>250</v>
      </c>
      <c r="AV114" s="3"/>
      <c r="AW114" s="3">
        <f t="shared" si="9"/>
        <v>3450791</v>
      </c>
    </row>
    <row r="115" spans="1:49" s="102" customFormat="1">
      <c r="A115" s="3" t="s">
        <v>323</v>
      </c>
      <c r="B115" s="103"/>
      <c r="C115" s="103" t="s">
        <v>186</v>
      </c>
      <c r="E115" s="103">
        <v>49163</v>
      </c>
      <c r="G115" s="3">
        <v>0</v>
      </c>
      <c r="H115" s="3"/>
      <c r="I115" s="3">
        <v>1013731</v>
      </c>
      <c r="J115" s="3"/>
      <c r="K115" s="3">
        <v>325</v>
      </c>
      <c r="L115" s="3"/>
      <c r="M115" s="3">
        <f>4820642+1160186</f>
        <v>5980828</v>
      </c>
      <c r="N115" s="3"/>
      <c r="O115" s="3">
        <v>0</v>
      </c>
      <c r="P115" s="3"/>
      <c r="Q115" s="3">
        <v>0</v>
      </c>
      <c r="R115" s="3"/>
      <c r="S115" s="3">
        <v>1500</v>
      </c>
      <c r="T115" s="3"/>
      <c r="U115" s="3">
        <v>22020</v>
      </c>
      <c r="V115" s="3"/>
      <c r="W115" s="8">
        <f t="shared" si="7"/>
        <v>7018404</v>
      </c>
      <c r="X115" s="3"/>
      <c r="Y115" s="3">
        <v>0</v>
      </c>
      <c r="Z115" s="3"/>
      <c r="AA115" s="3"/>
      <c r="AB115" s="3"/>
      <c r="AC115" s="3">
        <v>0</v>
      </c>
      <c r="AD115" s="3"/>
      <c r="AE115" s="3">
        <v>0</v>
      </c>
      <c r="AF115" s="3"/>
      <c r="AG115" s="3" t="s">
        <v>323</v>
      </c>
      <c r="AH115" s="103"/>
      <c r="AI115" s="103" t="s">
        <v>186</v>
      </c>
      <c r="AJ115" s="3"/>
      <c r="AK115" s="3">
        <v>0</v>
      </c>
      <c r="AL115" s="3"/>
      <c r="AM115" s="3">
        <v>0</v>
      </c>
      <c r="AN115" s="3"/>
      <c r="AO115" s="3">
        <v>0</v>
      </c>
      <c r="AP115" s="3"/>
      <c r="AQ115" s="3">
        <v>0</v>
      </c>
      <c r="AR115" s="3"/>
      <c r="AS115" s="3">
        <v>0</v>
      </c>
      <c r="AT115" s="3"/>
      <c r="AU115" s="3">
        <f t="shared" si="11"/>
        <v>0</v>
      </c>
      <c r="AV115" s="3"/>
      <c r="AW115" s="3">
        <f t="shared" si="9"/>
        <v>7018404</v>
      </c>
    </row>
    <row r="116" spans="1:49" s="65" customFormat="1" hidden="1">
      <c r="A116" s="59" t="s">
        <v>324</v>
      </c>
      <c r="B116" s="59"/>
      <c r="C116" s="59" t="s">
        <v>187</v>
      </c>
      <c r="E116" s="59">
        <v>49254</v>
      </c>
      <c r="G116" s="58">
        <v>0</v>
      </c>
      <c r="H116" s="58"/>
      <c r="I116" s="58">
        <v>0</v>
      </c>
      <c r="J116" s="58"/>
      <c r="K116" s="58">
        <v>0</v>
      </c>
      <c r="L116" s="58"/>
      <c r="M116" s="58">
        <v>0</v>
      </c>
      <c r="N116" s="58"/>
      <c r="O116" s="58">
        <v>0</v>
      </c>
      <c r="P116" s="58"/>
      <c r="Q116" s="58">
        <v>0</v>
      </c>
      <c r="R116" s="58"/>
      <c r="S116" s="58">
        <v>0</v>
      </c>
      <c r="T116" s="58"/>
      <c r="U116" s="58">
        <v>0</v>
      </c>
      <c r="V116" s="58"/>
      <c r="W116" s="63">
        <f t="shared" si="7"/>
        <v>0</v>
      </c>
      <c r="X116" s="58"/>
      <c r="Y116" s="58">
        <v>0</v>
      </c>
      <c r="Z116" s="58"/>
      <c r="AA116" s="58"/>
      <c r="AB116" s="58"/>
      <c r="AC116" s="58">
        <v>0</v>
      </c>
      <c r="AD116" s="58"/>
      <c r="AE116" s="58">
        <v>0</v>
      </c>
      <c r="AF116" s="58"/>
      <c r="AG116" s="59" t="s">
        <v>324</v>
      </c>
      <c r="AH116" s="59"/>
      <c r="AI116" s="59" t="s">
        <v>187</v>
      </c>
      <c r="AJ116" s="58"/>
      <c r="AK116" s="58">
        <v>0</v>
      </c>
      <c r="AL116" s="58"/>
      <c r="AM116" s="58">
        <v>0</v>
      </c>
      <c r="AN116" s="58"/>
      <c r="AO116" s="58">
        <v>0</v>
      </c>
      <c r="AP116" s="58"/>
      <c r="AQ116" s="58">
        <v>0</v>
      </c>
      <c r="AR116" s="58"/>
      <c r="AS116" s="58">
        <v>0</v>
      </c>
      <c r="AT116" s="58"/>
      <c r="AU116" s="58">
        <f t="shared" si="11"/>
        <v>0</v>
      </c>
      <c r="AV116" s="58"/>
      <c r="AW116" s="58">
        <f t="shared" si="9"/>
        <v>0</v>
      </c>
    </row>
    <row r="117" spans="1:49" s="102" customFormat="1">
      <c r="A117" s="3" t="s">
        <v>325</v>
      </c>
      <c r="B117" s="103"/>
      <c r="C117" s="103" t="s">
        <v>188</v>
      </c>
      <c r="E117" s="103">
        <v>49304</v>
      </c>
      <c r="G117" s="3">
        <v>0</v>
      </c>
      <c r="H117" s="3"/>
      <c r="I117" s="3">
        <v>667693</v>
      </c>
      <c r="J117" s="3"/>
      <c r="K117" s="3">
        <v>3596</v>
      </c>
      <c r="L117" s="3"/>
      <c r="M117" s="3">
        <f>1906469+93107+225174</f>
        <v>2224750</v>
      </c>
      <c r="N117" s="3"/>
      <c r="O117" s="3">
        <v>0</v>
      </c>
      <c r="P117" s="3"/>
      <c r="Q117" s="3">
        <v>0</v>
      </c>
      <c r="R117" s="3"/>
      <c r="S117" s="3">
        <v>0</v>
      </c>
      <c r="T117" s="3"/>
      <c r="U117" s="3">
        <v>11101</v>
      </c>
      <c r="V117" s="3"/>
      <c r="W117" s="8">
        <f t="shared" si="7"/>
        <v>2907140</v>
      </c>
      <c r="X117" s="3"/>
      <c r="Y117" s="3">
        <v>0</v>
      </c>
      <c r="Z117" s="3"/>
      <c r="AA117" s="3"/>
      <c r="AB117" s="3"/>
      <c r="AC117" s="3">
        <v>0</v>
      </c>
      <c r="AD117" s="3"/>
      <c r="AE117" s="3">
        <v>0</v>
      </c>
      <c r="AF117" s="3"/>
      <c r="AG117" s="3" t="s">
        <v>325</v>
      </c>
      <c r="AH117" s="103"/>
      <c r="AI117" s="103" t="s">
        <v>188</v>
      </c>
      <c r="AJ117" s="3"/>
      <c r="AK117" s="3">
        <v>0</v>
      </c>
      <c r="AL117" s="3"/>
      <c r="AM117" s="3">
        <v>0</v>
      </c>
      <c r="AN117" s="3"/>
      <c r="AO117" s="3">
        <v>0</v>
      </c>
      <c r="AP117" s="3"/>
      <c r="AQ117" s="3">
        <v>0</v>
      </c>
      <c r="AR117" s="3"/>
      <c r="AS117" s="3">
        <v>0</v>
      </c>
      <c r="AT117" s="3"/>
      <c r="AU117" s="3">
        <f t="shared" si="11"/>
        <v>0</v>
      </c>
      <c r="AV117" s="3"/>
      <c r="AW117" s="3">
        <f t="shared" si="9"/>
        <v>2907140</v>
      </c>
    </row>
    <row r="118" spans="1:49" s="102" customFormat="1">
      <c r="A118" s="3" t="s">
        <v>326</v>
      </c>
      <c r="B118" s="103"/>
      <c r="C118" s="103" t="s">
        <v>190</v>
      </c>
      <c r="E118" s="103">
        <v>138222</v>
      </c>
      <c r="G118" s="3">
        <v>0</v>
      </c>
      <c r="H118" s="3"/>
      <c r="I118" s="3">
        <v>1503028</v>
      </c>
      <c r="J118" s="3"/>
      <c r="K118" s="3">
        <v>7635</v>
      </c>
      <c r="L118" s="3"/>
      <c r="M118" s="3">
        <f>4684009+331271+32184</f>
        <v>5047464</v>
      </c>
      <c r="N118" s="3"/>
      <c r="O118" s="3">
        <v>0</v>
      </c>
      <c r="P118" s="3"/>
      <c r="Q118" s="3">
        <v>0</v>
      </c>
      <c r="R118" s="3"/>
      <c r="S118" s="3">
        <v>600</v>
      </c>
      <c r="T118" s="3"/>
      <c r="U118" s="3">
        <v>127963</v>
      </c>
      <c r="V118" s="3"/>
      <c r="W118" s="8">
        <f t="shared" si="7"/>
        <v>6686690</v>
      </c>
      <c r="X118" s="3"/>
      <c r="Y118" s="3">
        <v>0</v>
      </c>
      <c r="Z118" s="3"/>
      <c r="AA118" s="3"/>
      <c r="AB118" s="3"/>
      <c r="AC118" s="3">
        <v>0</v>
      </c>
      <c r="AD118" s="3"/>
      <c r="AE118" s="3">
        <v>0</v>
      </c>
      <c r="AF118" s="3"/>
      <c r="AG118" s="3" t="s">
        <v>326</v>
      </c>
      <c r="AH118" s="103"/>
      <c r="AI118" s="103" t="s">
        <v>190</v>
      </c>
      <c r="AJ118" s="3"/>
      <c r="AK118" s="3">
        <v>0</v>
      </c>
      <c r="AL118" s="3"/>
      <c r="AM118" s="3">
        <v>0</v>
      </c>
      <c r="AN118" s="3"/>
      <c r="AO118" s="3">
        <v>0</v>
      </c>
      <c r="AP118" s="3"/>
      <c r="AQ118" s="3">
        <v>0</v>
      </c>
      <c r="AR118" s="3"/>
      <c r="AS118" s="3">
        <v>0</v>
      </c>
      <c r="AT118" s="3"/>
      <c r="AU118" s="3">
        <f t="shared" si="11"/>
        <v>0</v>
      </c>
      <c r="AV118" s="3"/>
      <c r="AW118" s="3">
        <f t="shared" si="9"/>
        <v>6686690</v>
      </c>
    </row>
    <row r="119" spans="1:49" s="92" customFormat="1" hidden="1">
      <c r="A119" s="88" t="s">
        <v>300</v>
      </c>
      <c r="B119" s="89"/>
      <c r="C119" s="89" t="s">
        <v>191</v>
      </c>
      <c r="E119" s="89">
        <v>49551</v>
      </c>
      <c r="G119" s="88">
        <v>0</v>
      </c>
      <c r="H119" s="88"/>
      <c r="I119" s="88">
        <v>0</v>
      </c>
      <c r="J119" s="88"/>
      <c r="K119" s="88">
        <v>0</v>
      </c>
      <c r="L119" s="88"/>
      <c r="M119" s="88">
        <v>0</v>
      </c>
      <c r="N119" s="88"/>
      <c r="O119" s="88">
        <v>0</v>
      </c>
      <c r="P119" s="88"/>
      <c r="Q119" s="88">
        <v>0</v>
      </c>
      <c r="R119" s="88"/>
      <c r="S119" s="88">
        <v>0</v>
      </c>
      <c r="T119" s="88"/>
      <c r="U119" s="88">
        <v>0</v>
      </c>
      <c r="V119" s="88"/>
      <c r="W119" s="95">
        <f t="shared" si="7"/>
        <v>0</v>
      </c>
      <c r="X119" s="88"/>
      <c r="Y119" s="88">
        <v>0</v>
      </c>
      <c r="Z119" s="88"/>
      <c r="AA119" s="88"/>
      <c r="AB119" s="88"/>
      <c r="AC119" s="88">
        <v>0</v>
      </c>
      <c r="AD119" s="88"/>
      <c r="AE119" s="88">
        <v>0</v>
      </c>
      <c r="AF119" s="88"/>
      <c r="AG119" s="88" t="s">
        <v>300</v>
      </c>
      <c r="AH119" s="89"/>
      <c r="AI119" s="89" t="s">
        <v>191</v>
      </c>
      <c r="AJ119" s="88"/>
      <c r="AK119" s="88">
        <v>0</v>
      </c>
      <c r="AL119" s="88"/>
      <c r="AM119" s="88">
        <v>0</v>
      </c>
      <c r="AN119" s="88"/>
      <c r="AO119" s="88"/>
      <c r="AP119" s="88"/>
      <c r="AQ119" s="88">
        <v>0</v>
      </c>
      <c r="AR119" s="88"/>
      <c r="AS119" s="88">
        <v>0</v>
      </c>
      <c r="AT119" s="88"/>
      <c r="AU119" s="88">
        <f t="shared" si="11"/>
        <v>0</v>
      </c>
      <c r="AV119" s="88"/>
      <c r="AW119" s="88">
        <f t="shared" si="9"/>
        <v>0</v>
      </c>
    </row>
    <row r="120" spans="1:49" s="65" customFormat="1" hidden="1">
      <c r="A120" s="58" t="s">
        <v>384</v>
      </c>
      <c r="B120" s="59"/>
      <c r="C120" s="59" t="s">
        <v>194</v>
      </c>
      <c r="E120" s="59">
        <v>49742</v>
      </c>
      <c r="G120" s="58">
        <v>0</v>
      </c>
      <c r="H120" s="58"/>
      <c r="I120" s="58">
        <v>0</v>
      </c>
      <c r="J120" s="58"/>
      <c r="K120" s="58">
        <v>0</v>
      </c>
      <c r="L120" s="58"/>
      <c r="M120" s="58">
        <v>0</v>
      </c>
      <c r="N120" s="58"/>
      <c r="O120" s="58">
        <v>0</v>
      </c>
      <c r="P120" s="58"/>
      <c r="Q120" s="58">
        <v>0</v>
      </c>
      <c r="R120" s="58"/>
      <c r="S120" s="58">
        <v>0</v>
      </c>
      <c r="T120" s="58"/>
      <c r="U120" s="58">
        <v>0</v>
      </c>
      <c r="V120" s="58"/>
      <c r="W120" s="63">
        <f t="shared" si="7"/>
        <v>0</v>
      </c>
      <c r="X120" s="58"/>
      <c r="Y120" s="58">
        <v>0</v>
      </c>
      <c r="Z120" s="58"/>
      <c r="AA120" s="58">
        <v>0</v>
      </c>
      <c r="AB120" s="58"/>
      <c r="AC120" s="58">
        <v>0</v>
      </c>
      <c r="AD120" s="58"/>
      <c r="AE120" s="58">
        <v>0</v>
      </c>
      <c r="AF120" s="58"/>
      <c r="AG120" s="58" t="s">
        <v>384</v>
      </c>
      <c r="AH120" s="59"/>
      <c r="AI120" s="59" t="s">
        <v>194</v>
      </c>
      <c r="AJ120" s="58"/>
      <c r="AK120" s="58">
        <v>0</v>
      </c>
      <c r="AL120" s="58"/>
      <c r="AM120" s="58">
        <v>0</v>
      </c>
      <c r="AN120" s="58"/>
      <c r="AO120" s="58">
        <v>0</v>
      </c>
      <c r="AP120" s="58"/>
      <c r="AQ120" s="58">
        <v>0</v>
      </c>
      <c r="AR120" s="58"/>
      <c r="AS120" s="58">
        <v>0</v>
      </c>
      <c r="AT120" s="58"/>
      <c r="AU120" s="58">
        <f t="shared" si="11"/>
        <v>0</v>
      </c>
      <c r="AV120" s="58"/>
      <c r="AW120" s="58">
        <f t="shared" si="9"/>
        <v>0</v>
      </c>
    </row>
    <row r="121" spans="1:49" s="102" customFormat="1">
      <c r="A121" s="3" t="s">
        <v>263</v>
      </c>
      <c r="B121" s="103"/>
      <c r="C121" s="103" t="s">
        <v>192</v>
      </c>
      <c r="E121" s="103">
        <v>125658</v>
      </c>
      <c r="G121" s="3">
        <v>0</v>
      </c>
      <c r="H121" s="3"/>
      <c r="I121" s="3">
        <v>1086942</v>
      </c>
      <c r="J121" s="3"/>
      <c r="K121" s="3">
        <v>9241</v>
      </c>
      <c r="L121" s="3"/>
      <c r="M121" s="3">
        <f>6242335+1540869</f>
        <v>7783204</v>
      </c>
      <c r="N121" s="3"/>
      <c r="O121" s="3">
        <v>0</v>
      </c>
      <c r="P121" s="3"/>
      <c r="Q121" s="3">
        <v>0</v>
      </c>
      <c r="R121" s="3"/>
      <c r="S121" s="3">
        <v>26370</v>
      </c>
      <c r="T121" s="3"/>
      <c r="U121" s="3">
        <v>41</v>
      </c>
      <c r="V121" s="3"/>
      <c r="W121" s="8">
        <f t="shared" si="7"/>
        <v>8905798</v>
      </c>
      <c r="X121" s="3"/>
      <c r="Y121" s="3">
        <v>0</v>
      </c>
      <c r="Z121" s="3"/>
      <c r="AA121" s="3">
        <v>0</v>
      </c>
      <c r="AB121" s="3"/>
      <c r="AC121" s="3">
        <v>0</v>
      </c>
      <c r="AD121" s="3"/>
      <c r="AE121" s="3">
        <v>0</v>
      </c>
      <c r="AF121" s="3"/>
      <c r="AG121" s="3" t="s">
        <v>263</v>
      </c>
      <c r="AH121" s="103"/>
      <c r="AI121" s="103" t="s">
        <v>192</v>
      </c>
      <c r="AJ121" s="3"/>
      <c r="AK121" s="3">
        <v>0</v>
      </c>
      <c r="AL121" s="3"/>
      <c r="AM121" s="3">
        <v>0</v>
      </c>
      <c r="AN121" s="3"/>
      <c r="AO121" s="3">
        <v>0</v>
      </c>
      <c r="AP121" s="3"/>
      <c r="AQ121" s="3">
        <v>0</v>
      </c>
      <c r="AR121" s="3"/>
      <c r="AS121" s="3">
        <v>0</v>
      </c>
      <c r="AT121" s="3"/>
      <c r="AU121" s="3">
        <f t="shared" si="11"/>
        <v>0</v>
      </c>
      <c r="AV121" s="3"/>
      <c r="AW121" s="3">
        <f t="shared" si="9"/>
        <v>8905798</v>
      </c>
    </row>
    <row r="122" spans="1:49" s="102" customFormat="1">
      <c r="A122" s="3" t="s">
        <v>262</v>
      </c>
      <c r="B122" s="3"/>
      <c r="C122" s="3" t="s">
        <v>155</v>
      </c>
      <c r="E122" s="103">
        <v>46375</v>
      </c>
      <c r="G122" s="3">
        <v>0</v>
      </c>
      <c r="H122" s="3"/>
      <c r="I122" s="3">
        <v>942538</v>
      </c>
      <c r="J122" s="3"/>
      <c r="K122" s="3">
        <v>42082</v>
      </c>
      <c r="L122" s="3"/>
      <c r="M122" s="3">
        <f>2429646+201382</f>
        <v>2631028</v>
      </c>
      <c r="N122" s="3"/>
      <c r="O122" s="3">
        <v>0</v>
      </c>
      <c r="P122" s="3"/>
      <c r="Q122" s="3">
        <v>0</v>
      </c>
      <c r="R122" s="3"/>
      <c r="S122" s="3">
        <v>0</v>
      </c>
      <c r="T122" s="3"/>
      <c r="U122" s="3">
        <v>73163</v>
      </c>
      <c r="V122" s="3"/>
      <c r="W122" s="8">
        <f>SUM(G122:V122)</f>
        <v>3688811</v>
      </c>
      <c r="X122" s="3"/>
      <c r="Y122" s="3">
        <v>0</v>
      </c>
      <c r="Z122" s="3"/>
      <c r="AA122" s="3">
        <v>0</v>
      </c>
      <c r="AB122" s="3"/>
      <c r="AC122" s="3">
        <v>0</v>
      </c>
      <c r="AD122" s="3"/>
      <c r="AE122" s="3">
        <v>0</v>
      </c>
      <c r="AF122" s="3"/>
      <c r="AG122" s="3" t="s">
        <v>262</v>
      </c>
      <c r="AH122" s="3"/>
      <c r="AI122" s="3" t="s">
        <v>155</v>
      </c>
      <c r="AJ122" s="3"/>
      <c r="AK122" s="3">
        <v>0</v>
      </c>
      <c r="AL122" s="3"/>
      <c r="AM122" s="3">
        <v>1000</v>
      </c>
      <c r="AN122" s="3"/>
      <c r="AO122" s="3">
        <v>0</v>
      </c>
      <c r="AP122" s="3"/>
      <c r="AQ122" s="3">
        <v>0</v>
      </c>
      <c r="AR122" s="3"/>
      <c r="AS122" s="3">
        <v>0</v>
      </c>
      <c r="AT122" s="3"/>
      <c r="AU122" s="3">
        <f t="shared" si="11"/>
        <v>1000</v>
      </c>
      <c r="AV122" s="3"/>
      <c r="AW122" s="3">
        <f t="shared" si="9"/>
        <v>3689811</v>
      </c>
    </row>
    <row r="123" spans="1:49" s="102" customFormat="1">
      <c r="A123" s="103" t="s">
        <v>330</v>
      </c>
      <c r="B123" s="103"/>
      <c r="C123" s="103" t="s">
        <v>195</v>
      </c>
      <c r="E123" s="103">
        <v>49825</v>
      </c>
      <c r="G123" s="3">
        <v>0</v>
      </c>
      <c r="H123" s="3"/>
      <c r="I123" s="3">
        <f>2884029+34547</f>
        <v>2918576</v>
      </c>
      <c r="J123" s="3"/>
      <c r="K123" s="3">
        <v>3049</v>
      </c>
      <c r="L123" s="3"/>
      <c r="M123" s="3">
        <f>8864696+575+6304260+26400</f>
        <v>15195931</v>
      </c>
      <c r="N123" s="3"/>
      <c r="O123" s="3">
        <v>0</v>
      </c>
      <c r="P123" s="3"/>
      <c r="Q123" s="3">
        <v>0</v>
      </c>
      <c r="R123" s="3"/>
      <c r="S123" s="3">
        <v>14809</v>
      </c>
      <c r="T123" s="3"/>
      <c r="U123" s="3">
        <v>260783</v>
      </c>
      <c r="V123" s="3"/>
      <c r="W123" s="8">
        <f t="shared" si="7"/>
        <v>18393148</v>
      </c>
      <c r="X123" s="3"/>
      <c r="Y123" s="3">
        <v>0</v>
      </c>
      <c r="Z123" s="3"/>
      <c r="AA123" s="3">
        <v>0</v>
      </c>
      <c r="AB123" s="3"/>
      <c r="AC123" s="3">
        <v>0</v>
      </c>
      <c r="AD123" s="3"/>
      <c r="AE123" s="3">
        <v>0</v>
      </c>
      <c r="AF123" s="3"/>
      <c r="AG123" s="103" t="s">
        <v>330</v>
      </c>
      <c r="AH123" s="103"/>
      <c r="AI123" s="103" t="s">
        <v>195</v>
      </c>
      <c r="AJ123" s="3"/>
      <c r="AK123" s="3">
        <v>0</v>
      </c>
      <c r="AL123" s="3"/>
      <c r="AM123" s="3">
        <v>0</v>
      </c>
      <c r="AN123" s="3"/>
      <c r="AO123" s="3">
        <v>0</v>
      </c>
      <c r="AP123" s="3"/>
      <c r="AQ123" s="3">
        <v>0</v>
      </c>
      <c r="AR123" s="3"/>
      <c r="AS123" s="3">
        <v>0</v>
      </c>
      <c r="AT123" s="3"/>
      <c r="AU123" s="3">
        <f t="shared" si="11"/>
        <v>0</v>
      </c>
      <c r="AV123" s="3"/>
      <c r="AW123" s="3">
        <f t="shared" si="9"/>
        <v>18393148</v>
      </c>
    </row>
    <row r="124" spans="1:49" s="102" customFormat="1">
      <c r="A124" s="3" t="s">
        <v>331</v>
      </c>
      <c r="B124" s="103"/>
      <c r="C124" s="103" t="s">
        <v>196</v>
      </c>
      <c r="E124" s="103">
        <v>49965</v>
      </c>
      <c r="G124" s="3">
        <v>0</v>
      </c>
      <c r="H124" s="3"/>
      <c r="I124" s="3">
        <v>2458621</v>
      </c>
      <c r="J124" s="3"/>
      <c r="K124" s="3">
        <v>5669</v>
      </c>
      <c r="L124" s="3"/>
      <c r="M124" s="3">
        <f>3925507+8470534</f>
        <v>12396041</v>
      </c>
      <c r="N124" s="3"/>
      <c r="O124" s="3">
        <v>0</v>
      </c>
      <c r="P124" s="3"/>
      <c r="Q124" s="3">
        <v>0</v>
      </c>
      <c r="R124" s="3"/>
      <c r="S124" s="3">
        <v>0</v>
      </c>
      <c r="T124" s="3"/>
      <c r="U124" s="3">
        <v>600</v>
      </c>
      <c r="V124" s="3"/>
      <c r="W124" s="8">
        <f t="shared" si="7"/>
        <v>14860931</v>
      </c>
      <c r="X124" s="3"/>
      <c r="Y124" s="3">
        <v>0</v>
      </c>
      <c r="Z124" s="3"/>
      <c r="AA124" s="3">
        <v>0</v>
      </c>
      <c r="AB124" s="3"/>
      <c r="AC124" s="3">
        <v>0</v>
      </c>
      <c r="AD124" s="3"/>
      <c r="AE124" s="3">
        <v>0</v>
      </c>
      <c r="AF124" s="3"/>
      <c r="AG124" s="3" t="s">
        <v>331</v>
      </c>
      <c r="AH124" s="103"/>
      <c r="AI124" s="103" t="s">
        <v>196</v>
      </c>
      <c r="AJ124" s="3"/>
      <c r="AK124" s="3">
        <v>0</v>
      </c>
      <c r="AL124" s="3"/>
      <c r="AM124" s="3">
        <v>0</v>
      </c>
      <c r="AN124" s="3"/>
      <c r="AO124" s="3">
        <v>0</v>
      </c>
      <c r="AP124" s="3"/>
      <c r="AQ124" s="3">
        <v>0</v>
      </c>
      <c r="AR124" s="3"/>
      <c r="AS124" s="3">
        <v>0</v>
      </c>
      <c r="AT124" s="3"/>
      <c r="AU124" s="3">
        <f t="shared" si="11"/>
        <v>0</v>
      </c>
      <c r="AV124" s="3"/>
      <c r="AW124" s="3">
        <f t="shared" si="9"/>
        <v>14860931</v>
      </c>
    </row>
    <row r="125" spans="1:49" s="65" customFormat="1" hidden="1">
      <c r="A125" s="58" t="s">
        <v>353</v>
      </c>
      <c r="B125" s="59"/>
      <c r="C125" s="59" t="s">
        <v>203</v>
      </c>
      <c r="E125" s="59">
        <v>50526</v>
      </c>
      <c r="G125" s="58">
        <v>0</v>
      </c>
      <c r="H125" s="58"/>
      <c r="I125" s="58">
        <v>0</v>
      </c>
      <c r="J125" s="58"/>
      <c r="K125" s="58">
        <v>0</v>
      </c>
      <c r="L125" s="58"/>
      <c r="M125" s="58">
        <v>0</v>
      </c>
      <c r="N125" s="58"/>
      <c r="O125" s="58">
        <v>0</v>
      </c>
      <c r="P125" s="58"/>
      <c r="Q125" s="58">
        <v>0</v>
      </c>
      <c r="R125" s="58"/>
      <c r="S125" s="58">
        <v>0</v>
      </c>
      <c r="T125" s="58"/>
      <c r="U125" s="58">
        <v>0</v>
      </c>
      <c r="V125" s="58"/>
      <c r="W125" s="63">
        <f t="shared" si="7"/>
        <v>0</v>
      </c>
      <c r="X125" s="58"/>
      <c r="Y125" s="58">
        <v>0</v>
      </c>
      <c r="Z125" s="58"/>
      <c r="AA125" s="58">
        <v>0</v>
      </c>
      <c r="AB125" s="58"/>
      <c r="AC125" s="58">
        <v>0</v>
      </c>
      <c r="AD125" s="58"/>
      <c r="AE125" s="58">
        <v>0</v>
      </c>
      <c r="AF125" s="58"/>
      <c r="AG125" s="58" t="s">
        <v>353</v>
      </c>
      <c r="AH125" s="59"/>
      <c r="AI125" s="59" t="s">
        <v>203</v>
      </c>
      <c r="AJ125" s="58"/>
      <c r="AK125" s="58">
        <v>0</v>
      </c>
      <c r="AL125" s="58"/>
      <c r="AM125" s="58">
        <v>0</v>
      </c>
      <c r="AN125" s="58"/>
      <c r="AO125" s="58">
        <v>0</v>
      </c>
      <c r="AP125" s="58"/>
      <c r="AQ125" s="58">
        <v>0</v>
      </c>
      <c r="AR125" s="58"/>
      <c r="AS125" s="58">
        <v>0</v>
      </c>
      <c r="AT125" s="58"/>
      <c r="AU125" s="58">
        <f t="shared" si="11"/>
        <v>0</v>
      </c>
      <c r="AV125" s="58"/>
      <c r="AW125" s="58">
        <f t="shared" si="9"/>
        <v>0</v>
      </c>
    </row>
    <row r="126" spans="1:49" s="102" customFormat="1">
      <c r="A126" s="3" t="s">
        <v>333</v>
      </c>
      <c r="B126" s="103"/>
      <c r="C126" s="103" t="s">
        <v>197</v>
      </c>
      <c r="E126" s="103">
        <v>50088</v>
      </c>
      <c r="G126" s="3">
        <v>0</v>
      </c>
      <c r="H126" s="3"/>
      <c r="I126" s="3">
        <f>1867310+13320</f>
        <v>1880630</v>
      </c>
      <c r="J126" s="3"/>
      <c r="K126" s="3">
        <v>30634</v>
      </c>
      <c r="L126" s="3"/>
      <c r="M126" s="3">
        <f>13141713+30939</f>
        <v>13172652</v>
      </c>
      <c r="N126" s="3"/>
      <c r="O126" s="3">
        <v>0</v>
      </c>
      <c r="P126" s="3"/>
      <c r="Q126" s="3">
        <v>0</v>
      </c>
      <c r="R126" s="3"/>
      <c r="S126" s="3">
        <v>18795</v>
      </c>
      <c r="T126" s="3"/>
      <c r="U126" s="3">
        <v>2720</v>
      </c>
      <c r="V126" s="3"/>
      <c r="W126" s="8">
        <f t="shared" si="7"/>
        <v>15105431</v>
      </c>
      <c r="X126" s="3"/>
      <c r="Y126" s="3">
        <v>0</v>
      </c>
      <c r="Z126" s="3"/>
      <c r="AA126" s="3">
        <v>0</v>
      </c>
      <c r="AB126" s="3"/>
      <c r="AC126" s="3">
        <v>0</v>
      </c>
      <c r="AD126" s="3"/>
      <c r="AE126" s="3">
        <v>0</v>
      </c>
      <c r="AF126" s="3"/>
      <c r="AG126" s="3" t="s">
        <v>333</v>
      </c>
      <c r="AH126" s="103"/>
      <c r="AI126" s="103" t="s">
        <v>197</v>
      </c>
      <c r="AJ126" s="3"/>
      <c r="AK126" s="3">
        <v>0</v>
      </c>
      <c r="AL126" s="3"/>
      <c r="AM126" s="3">
        <v>0</v>
      </c>
      <c r="AN126" s="3"/>
      <c r="AO126" s="3">
        <v>0</v>
      </c>
      <c r="AP126" s="3"/>
      <c r="AQ126" s="3">
        <v>0</v>
      </c>
      <c r="AR126" s="3"/>
      <c r="AS126" s="3">
        <v>0</v>
      </c>
      <c r="AT126" s="3"/>
      <c r="AU126" s="3">
        <f t="shared" si="11"/>
        <v>0</v>
      </c>
      <c r="AV126" s="3"/>
      <c r="AW126" s="3">
        <f t="shared" si="9"/>
        <v>15105431</v>
      </c>
    </row>
    <row r="127" spans="1:49" s="92" customFormat="1" hidden="1">
      <c r="A127" s="88" t="s">
        <v>301</v>
      </c>
      <c r="B127" s="89"/>
      <c r="C127" s="89" t="s">
        <v>198</v>
      </c>
      <c r="E127" s="89">
        <v>50260</v>
      </c>
      <c r="G127" s="88">
        <v>0</v>
      </c>
      <c r="H127" s="88"/>
      <c r="I127" s="88">
        <v>0</v>
      </c>
      <c r="J127" s="88"/>
      <c r="K127" s="88">
        <v>0</v>
      </c>
      <c r="L127" s="88"/>
      <c r="M127" s="88">
        <v>0</v>
      </c>
      <c r="N127" s="88"/>
      <c r="O127" s="88">
        <v>0</v>
      </c>
      <c r="P127" s="88"/>
      <c r="Q127" s="88">
        <v>0</v>
      </c>
      <c r="R127" s="88"/>
      <c r="S127" s="88">
        <v>0</v>
      </c>
      <c r="T127" s="88"/>
      <c r="U127" s="88">
        <v>0</v>
      </c>
      <c r="V127" s="88"/>
      <c r="W127" s="95">
        <f t="shared" si="7"/>
        <v>0</v>
      </c>
      <c r="X127" s="88"/>
      <c r="Y127" s="88">
        <v>0</v>
      </c>
      <c r="Z127" s="88"/>
      <c r="AA127" s="88"/>
      <c r="AB127" s="88"/>
      <c r="AC127" s="88">
        <v>0</v>
      </c>
      <c r="AD127" s="88"/>
      <c r="AE127" s="88">
        <v>0</v>
      </c>
      <c r="AF127" s="88"/>
      <c r="AG127" s="88" t="s">
        <v>301</v>
      </c>
      <c r="AH127" s="89"/>
      <c r="AI127" s="89" t="s">
        <v>198</v>
      </c>
      <c r="AJ127" s="88"/>
      <c r="AK127" s="88"/>
      <c r="AL127" s="88"/>
      <c r="AM127" s="88">
        <v>0</v>
      </c>
      <c r="AN127" s="88"/>
      <c r="AO127" s="88">
        <v>0</v>
      </c>
      <c r="AP127" s="88"/>
      <c r="AQ127" s="88">
        <v>0</v>
      </c>
      <c r="AR127" s="88"/>
      <c r="AS127" s="88">
        <v>0</v>
      </c>
      <c r="AT127" s="88"/>
      <c r="AU127" s="88">
        <f t="shared" si="11"/>
        <v>0</v>
      </c>
      <c r="AV127" s="88"/>
      <c r="AW127" s="88">
        <f t="shared" si="9"/>
        <v>0</v>
      </c>
    </row>
    <row r="128" spans="1:49" s="65" customFormat="1" hidden="1">
      <c r="A128" s="58" t="s">
        <v>335</v>
      </c>
      <c r="B128" s="59"/>
      <c r="C128" s="59" t="s">
        <v>201</v>
      </c>
      <c r="E128" s="59">
        <v>50401</v>
      </c>
      <c r="G128" s="58">
        <v>0</v>
      </c>
      <c r="H128" s="58"/>
      <c r="I128" s="58">
        <v>0</v>
      </c>
      <c r="J128" s="58"/>
      <c r="K128" s="58">
        <v>0</v>
      </c>
      <c r="L128" s="58"/>
      <c r="M128" s="58">
        <v>0</v>
      </c>
      <c r="N128" s="58"/>
      <c r="O128" s="58">
        <v>0</v>
      </c>
      <c r="P128" s="58"/>
      <c r="Q128" s="58">
        <v>0</v>
      </c>
      <c r="R128" s="58"/>
      <c r="S128" s="58">
        <v>0</v>
      </c>
      <c r="T128" s="58"/>
      <c r="U128" s="58">
        <v>0</v>
      </c>
      <c r="V128" s="58"/>
      <c r="W128" s="63">
        <f t="shared" si="7"/>
        <v>0</v>
      </c>
      <c r="X128" s="58"/>
      <c r="Y128" s="58">
        <v>0</v>
      </c>
      <c r="Z128" s="58"/>
      <c r="AA128" s="58"/>
      <c r="AB128" s="58"/>
      <c r="AC128" s="58">
        <v>0</v>
      </c>
      <c r="AD128" s="58"/>
      <c r="AE128" s="58">
        <v>0</v>
      </c>
      <c r="AF128" s="58"/>
      <c r="AG128" s="58" t="s">
        <v>335</v>
      </c>
      <c r="AH128" s="59"/>
      <c r="AI128" s="59" t="s">
        <v>201</v>
      </c>
      <c r="AJ128" s="58"/>
      <c r="AK128" s="58"/>
      <c r="AL128" s="58"/>
      <c r="AM128" s="58">
        <v>0</v>
      </c>
      <c r="AN128" s="58"/>
      <c r="AO128" s="3">
        <v>0</v>
      </c>
      <c r="AP128" s="58"/>
      <c r="AQ128" s="58">
        <v>0</v>
      </c>
      <c r="AR128" s="58"/>
      <c r="AS128" s="58">
        <v>0</v>
      </c>
      <c r="AT128" s="58"/>
      <c r="AU128" s="58">
        <f t="shared" si="11"/>
        <v>0</v>
      </c>
      <c r="AV128" s="58"/>
      <c r="AW128" s="58">
        <f t="shared" si="9"/>
        <v>0</v>
      </c>
    </row>
    <row r="129" spans="1:49" s="92" customFormat="1" hidden="1">
      <c r="A129" s="88" t="s">
        <v>302</v>
      </c>
      <c r="B129" s="89"/>
      <c r="C129" s="89" t="s">
        <v>202</v>
      </c>
      <c r="E129" s="89">
        <v>50476</v>
      </c>
      <c r="G129" s="88">
        <v>0</v>
      </c>
      <c r="H129" s="88"/>
      <c r="I129" s="88">
        <v>0</v>
      </c>
      <c r="J129" s="94"/>
      <c r="K129" s="88">
        <v>0</v>
      </c>
      <c r="L129" s="94"/>
      <c r="M129" s="88">
        <v>0</v>
      </c>
      <c r="N129" s="94"/>
      <c r="O129" s="88">
        <v>0</v>
      </c>
      <c r="P129" s="94"/>
      <c r="Q129" s="88">
        <v>0</v>
      </c>
      <c r="R129" s="94"/>
      <c r="S129" s="88">
        <v>0</v>
      </c>
      <c r="T129" s="94"/>
      <c r="U129" s="88">
        <v>0</v>
      </c>
      <c r="V129" s="88"/>
      <c r="W129" s="95">
        <f t="shared" si="7"/>
        <v>0</v>
      </c>
      <c r="X129" s="88"/>
      <c r="Y129" s="88">
        <v>0</v>
      </c>
      <c r="Z129" s="88"/>
      <c r="AA129" s="88"/>
      <c r="AB129" s="88"/>
      <c r="AC129" s="88">
        <v>0</v>
      </c>
      <c r="AD129" s="88"/>
      <c r="AE129" s="88">
        <v>0</v>
      </c>
      <c r="AF129" s="88"/>
      <c r="AG129" s="88" t="s">
        <v>302</v>
      </c>
      <c r="AH129" s="89"/>
      <c r="AI129" s="89" t="s">
        <v>202</v>
      </c>
      <c r="AJ129" s="88"/>
      <c r="AK129" s="88"/>
      <c r="AL129" s="88"/>
      <c r="AM129" s="88">
        <v>0</v>
      </c>
      <c r="AN129" s="88"/>
      <c r="AO129" s="88">
        <v>0</v>
      </c>
      <c r="AP129" s="88"/>
      <c r="AQ129" s="88">
        <v>0</v>
      </c>
      <c r="AR129" s="88"/>
      <c r="AS129" s="88">
        <v>0</v>
      </c>
      <c r="AT129" s="88"/>
      <c r="AU129" s="88">
        <f t="shared" si="11"/>
        <v>0</v>
      </c>
      <c r="AV129" s="88"/>
      <c r="AW129" s="88">
        <f t="shared" si="9"/>
        <v>0</v>
      </c>
    </row>
    <row r="130" spans="1:49" s="102" customFormat="1">
      <c r="A130" s="3" t="s">
        <v>199</v>
      </c>
      <c r="B130" s="103"/>
      <c r="C130" s="103" t="s">
        <v>258</v>
      </c>
      <c r="E130" s="103">
        <v>134999</v>
      </c>
      <c r="G130" s="3">
        <v>0</v>
      </c>
      <c r="H130" s="3"/>
      <c r="I130" s="3">
        <v>702238</v>
      </c>
      <c r="J130" s="3"/>
      <c r="K130" s="3">
        <v>608</v>
      </c>
      <c r="L130" s="3"/>
      <c r="M130" s="3">
        <f>293772+2689868</f>
        <v>2983640</v>
      </c>
      <c r="N130" s="3"/>
      <c r="O130" s="3">
        <v>0</v>
      </c>
      <c r="P130" s="3"/>
      <c r="Q130" s="3">
        <v>0</v>
      </c>
      <c r="R130" s="3"/>
      <c r="S130" s="3">
        <v>800</v>
      </c>
      <c r="T130" s="3"/>
      <c r="U130" s="3">
        <v>12166</v>
      </c>
      <c r="V130" s="3"/>
      <c r="W130" s="8">
        <f>SUM(G130:V130)</f>
        <v>3699452</v>
      </c>
      <c r="X130" s="3"/>
      <c r="Y130" s="3">
        <v>0</v>
      </c>
      <c r="Z130" s="3"/>
      <c r="AA130" s="3">
        <v>0</v>
      </c>
      <c r="AB130" s="3"/>
      <c r="AC130" s="3">
        <v>0</v>
      </c>
      <c r="AD130" s="3"/>
      <c r="AE130" s="3">
        <v>0</v>
      </c>
      <c r="AF130" s="3"/>
      <c r="AG130" s="3" t="s">
        <v>199</v>
      </c>
      <c r="AH130" s="103"/>
      <c r="AI130" s="103" t="s">
        <v>258</v>
      </c>
      <c r="AJ130" s="3"/>
      <c r="AK130" s="3">
        <v>0</v>
      </c>
      <c r="AL130" s="3"/>
      <c r="AM130" s="3">
        <v>0</v>
      </c>
      <c r="AN130" s="3"/>
      <c r="AO130" s="3">
        <v>0</v>
      </c>
      <c r="AP130" s="3"/>
      <c r="AQ130" s="3">
        <v>0</v>
      </c>
      <c r="AR130" s="3"/>
      <c r="AS130" s="3">
        <v>0</v>
      </c>
      <c r="AT130" s="3"/>
      <c r="AU130" s="3">
        <f t="shared" si="11"/>
        <v>0</v>
      </c>
      <c r="AV130" s="3"/>
      <c r="AW130" s="3">
        <f t="shared" si="9"/>
        <v>3699452</v>
      </c>
    </row>
    <row r="131" spans="1:49" s="102" customFormat="1">
      <c r="A131" s="3" t="s">
        <v>334</v>
      </c>
      <c r="B131" s="103"/>
      <c r="C131" s="103" t="s">
        <v>204</v>
      </c>
      <c r="E131" s="103">
        <v>50666</v>
      </c>
      <c r="G131" s="3">
        <v>0</v>
      </c>
      <c r="H131" s="3"/>
      <c r="I131" s="3">
        <v>1345026</v>
      </c>
      <c r="J131" s="3"/>
      <c r="K131" s="3">
        <v>22585</v>
      </c>
      <c r="L131" s="3"/>
      <c r="M131" s="3">
        <f>540447+8814417</f>
        <v>9354864</v>
      </c>
      <c r="N131" s="3"/>
      <c r="O131" s="3">
        <v>0</v>
      </c>
      <c r="P131" s="3"/>
      <c r="Q131" s="3">
        <v>0</v>
      </c>
      <c r="R131" s="3"/>
      <c r="S131" s="3">
        <v>1425</v>
      </c>
      <c r="T131" s="3"/>
      <c r="U131" s="3">
        <v>139140</v>
      </c>
      <c r="V131" s="3"/>
      <c r="W131" s="8">
        <f t="shared" si="7"/>
        <v>10863040</v>
      </c>
      <c r="X131" s="3"/>
      <c r="Y131" s="3">
        <v>0</v>
      </c>
      <c r="Z131" s="3"/>
      <c r="AA131" s="3">
        <v>0</v>
      </c>
      <c r="AB131" s="3"/>
      <c r="AC131" s="3">
        <v>0</v>
      </c>
      <c r="AD131" s="3"/>
      <c r="AE131" s="3">
        <v>0</v>
      </c>
      <c r="AF131" s="3"/>
      <c r="AG131" s="3" t="s">
        <v>334</v>
      </c>
      <c r="AH131" s="103"/>
      <c r="AI131" s="103" t="s">
        <v>204</v>
      </c>
      <c r="AJ131" s="3"/>
      <c r="AK131" s="3">
        <v>0</v>
      </c>
      <c r="AL131" s="3"/>
      <c r="AM131" s="3">
        <v>0</v>
      </c>
      <c r="AN131" s="3"/>
      <c r="AO131" s="3">
        <v>0</v>
      </c>
      <c r="AP131" s="3"/>
      <c r="AQ131" s="3">
        <v>0</v>
      </c>
      <c r="AR131" s="3"/>
      <c r="AS131" s="3">
        <v>0</v>
      </c>
      <c r="AT131" s="3"/>
      <c r="AU131" s="3">
        <f t="shared" si="11"/>
        <v>0</v>
      </c>
      <c r="AV131" s="3"/>
      <c r="AW131" s="3">
        <f t="shared" si="9"/>
        <v>10863040</v>
      </c>
    </row>
    <row r="132" spans="1:49">
      <c r="A132" s="15"/>
      <c r="B132" s="15"/>
      <c r="C132" s="15"/>
      <c r="E132" s="15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8"/>
      <c r="X132" s="3"/>
      <c r="Y132" s="3"/>
      <c r="Z132" s="3"/>
      <c r="AA132" s="3"/>
      <c r="AB132" s="3"/>
      <c r="AC132" s="3"/>
      <c r="AD132" s="3"/>
      <c r="AE132" s="3"/>
      <c r="AF132" s="3"/>
      <c r="AG132" s="15"/>
      <c r="AH132" s="15"/>
      <c r="AI132" s="15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1:49">
      <c r="AA133" s="33" t="s">
        <v>254</v>
      </c>
      <c r="AB133" s="33"/>
      <c r="AC133" s="33"/>
      <c r="AD133" s="33"/>
      <c r="AE133" s="16"/>
    </row>
    <row r="135" spans="1:49">
      <c r="A135" s="121"/>
      <c r="B135" s="121"/>
      <c r="C135" s="121"/>
      <c r="D135" s="121"/>
      <c r="E135" s="121"/>
      <c r="F135" s="121"/>
      <c r="G135" s="121"/>
      <c r="H135" s="121"/>
    </row>
  </sheetData>
  <mergeCells count="2">
    <mergeCell ref="A135:H135"/>
    <mergeCell ref="A66:H66"/>
  </mergeCells>
  <phoneticPr fontId="3" type="noConversion"/>
  <pageMargins left="0.75" right="0.5" top="0.5" bottom="0.5" header="0.25" footer="0.25"/>
  <pageSetup scale="76" firstPageNumber="28" pageOrder="overThenDown" orientation="portrait" useFirstPageNumber="1" r:id="rId1"/>
  <headerFooter scaleWithDoc="0" alignWithMargins="0"/>
  <rowBreaks count="1" manualBreakCount="1">
    <brk id="67" max="16383" man="1"/>
  </rowBreaks>
  <colBreaks count="2" manualBreakCount="2">
    <brk id="13" max="1048575" man="1"/>
    <brk id="3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007"/>
  <sheetViews>
    <sheetView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G12" sqref="G12"/>
    </sheetView>
  </sheetViews>
  <sheetFormatPr defaultRowHeight="12"/>
  <cols>
    <col min="1" max="1" width="45.7109375" style="27" customWidth="1"/>
    <col min="2" max="2" width="1.7109375" style="27" customWidth="1"/>
    <col min="3" max="3" width="11.7109375" style="27" customWidth="1"/>
    <col min="4" max="4" width="1.7109375" style="27" hidden="1" customWidth="1"/>
    <col min="5" max="5" width="6.7109375" style="27" hidden="1" customWidth="1"/>
    <col min="6" max="6" width="1.7109375" style="27" customWidth="1"/>
    <col min="7" max="7" width="11.7109375" style="27" customWidth="1"/>
    <col min="8" max="8" width="1.28515625" style="27" customWidth="1"/>
    <col min="9" max="9" width="11.7109375" style="27" customWidth="1"/>
    <col min="10" max="10" width="1.28515625" style="27" customWidth="1"/>
    <col min="11" max="11" width="11.7109375" style="27" customWidth="1"/>
    <col min="12" max="12" width="1.28515625" style="27" customWidth="1"/>
    <col min="13" max="13" width="12.7109375" style="74" customWidth="1"/>
    <col min="14" max="14" width="1.28515625" style="27" customWidth="1"/>
    <col min="15" max="15" width="11.7109375" style="27" customWidth="1"/>
    <col min="16" max="16" width="1.28515625" style="27" customWidth="1"/>
    <col min="17" max="17" width="11.7109375" style="27" customWidth="1"/>
    <col min="18" max="18" width="1.28515625" style="27" customWidth="1"/>
    <col min="19" max="19" width="11.7109375" style="27" customWidth="1"/>
    <col min="20" max="20" width="1.28515625" style="27" customWidth="1"/>
    <col min="21" max="21" width="11.7109375" style="27" customWidth="1"/>
    <col min="22" max="22" width="1.28515625" style="27" customWidth="1"/>
    <col min="23" max="23" width="11.7109375" style="27" customWidth="1"/>
    <col min="24" max="24" width="1.28515625" style="27" customWidth="1"/>
    <col min="25" max="25" width="11.7109375" style="27" customWidth="1"/>
    <col min="26" max="26" width="1.28515625" style="27" customWidth="1"/>
    <col min="27" max="27" width="11.7109375" style="27" customWidth="1"/>
    <col min="28" max="28" width="1.28515625" style="27" customWidth="1"/>
    <col min="29" max="29" width="11.7109375" style="27" customWidth="1"/>
    <col min="30" max="30" width="45.7109375" style="27" customWidth="1"/>
    <col min="31" max="31" width="1.28515625" style="27" customWidth="1"/>
    <col min="32" max="32" width="10.7109375" style="27" customWidth="1"/>
    <col min="33" max="33" width="1.28515625" style="27" customWidth="1"/>
    <col min="34" max="34" width="11.42578125" style="27" bestFit="1" customWidth="1"/>
    <col min="35" max="35" width="1.28515625" style="27" customWidth="1"/>
    <col min="36" max="36" width="10.28515625" style="27" customWidth="1"/>
    <col min="37" max="37" width="1.7109375" style="27" hidden="1" customWidth="1"/>
    <col min="38" max="38" width="10" style="27" hidden="1" customWidth="1"/>
    <col min="39" max="39" width="1.28515625" style="27" customWidth="1"/>
    <col min="40" max="40" width="11" style="27" customWidth="1"/>
    <col min="41" max="41" width="1.28515625" style="27" customWidth="1"/>
    <col min="42" max="42" width="11.140625" style="27" customWidth="1"/>
    <col min="43" max="43" width="1.28515625" style="27" customWidth="1"/>
    <col min="44" max="44" width="11.7109375" style="27" customWidth="1"/>
    <col min="45" max="45" width="1.28515625" style="27" customWidth="1"/>
    <col min="46" max="46" width="11.7109375" style="27" customWidth="1"/>
    <col min="47" max="47" width="1.7109375" style="27" hidden="1" customWidth="1"/>
    <col min="48" max="48" width="11.7109375" style="27" hidden="1" customWidth="1"/>
    <col min="49" max="49" width="1.28515625" style="27" customWidth="1"/>
    <col min="50" max="50" width="11.7109375" style="27" customWidth="1"/>
    <col min="51" max="51" width="1.28515625" style="27" customWidth="1"/>
    <col min="52" max="52" width="11.7109375" style="27" customWidth="1"/>
    <col min="53" max="53" width="1.28515625" style="27" customWidth="1"/>
    <col min="54" max="54" width="11.7109375" style="27" customWidth="1"/>
    <col min="55" max="55" width="1.28515625" style="27" customWidth="1"/>
    <col min="56" max="56" width="11.7109375" style="27" customWidth="1"/>
    <col min="57" max="57" width="1.7109375" style="27" hidden="1" customWidth="1"/>
    <col min="58" max="58" width="10.7109375" style="27" hidden="1" customWidth="1"/>
    <col min="59" max="59" width="1.7109375" style="27" hidden="1" customWidth="1"/>
    <col min="60" max="60" width="11.7109375" style="27" hidden="1" customWidth="1"/>
    <col min="61" max="61" width="1.28515625" style="27" customWidth="1"/>
    <col min="62" max="62" width="10.7109375" style="27" customWidth="1"/>
    <col min="63" max="63" width="45.7109375" style="27" customWidth="1"/>
    <col min="64" max="64" width="1.28515625" style="27" customWidth="1"/>
    <col min="65" max="65" width="10.7109375" style="27" customWidth="1"/>
    <col min="66" max="66" width="1.28515625" style="27" customWidth="1"/>
    <col min="67" max="67" width="11.7109375" style="27" customWidth="1"/>
    <col min="68" max="68" width="1.28515625" style="27" customWidth="1"/>
    <col min="69" max="69" width="11.7109375" style="27" customWidth="1"/>
    <col min="70" max="70" width="1.28515625" style="27" customWidth="1"/>
    <col min="71" max="71" width="11.7109375" style="27" customWidth="1"/>
    <col min="72" max="72" width="1.28515625" style="27" customWidth="1"/>
    <col min="73" max="73" width="10.5703125" style="27" bestFit="1" customWidth="1"/>
    <col min="74" max="74" width="1.28515625" style="27" customWidth="1"/>
    <col min="75" max="75" width="11.7109375" style="27" customWidth="1"/>
    <col min="76" max="76" width="1.7109375" style="27" customWidth="1"/>
    <col min="77" max="77" width="11.7109375" style="27" customWidth="1"/>
    <col min="78" max="16384" width="9.140625" style="27"/>
  </cols>
  <sheetData>
    <row r="1" spans="1:87" s="7" customFormat="1">
      <c r="A1" s="31" t="s">
        <v>109</v>
      </c>
      <c r="B1" s="31"/>
      <c r="C1" s="31"/>
      <c r="D1" s="31"/>
      <c r="E1" s="31"/>
      <c r="F1" s="31"/>
      <c r="G1" s="31"/>
      <c r="H1" s="31"/>
      <c r="I1" s="35"/>
      <c r="J1" s="35"/>
      <c r="K1" s="35"/>
      <c r="L1" s="35"/>
      <c r="M1" s="26"/>
      <c r="N1" s="35"/>
      <c r="O1" s="35"/>
      <c r="P1" s="3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1" t="s">
        <v>109</v>
      </c>
      <c r="AE1" s="31"/>
      <c r="AF1" s="31"/>
      <c r="AG1" s="3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6"/>
      <c r="AV1" s="36"/>
      <c r="AW1" s="36"/>
      <c r="AX1" s="36"/>
      <c r="BK1" s="31" t="s">
        <v>109</v>
      </c>
      <c r="BL1" s="31"/>
      <c r="BM1" s="31"/>
      <c r="BW1" s="41"/>
    </row>
    <row r="2" spans="1:87" s="7" customFormat="1">
      <c r="A2" s="31" t="s">
        <v>380</v>
      </c>
      <c r="B2" s="31"/>
      <c r="C2" s="31"/>
      <c r="D2" s="31"/>
      <c r="E2" s="31"/>
      <c r="F2" s="31"/>
      <c r="G2" s="31"/>
      <c r="H2" s="31"/>
      <c r="I2" s="35"/>
      <c r="J2" s="35"/>
      <c r="K2" s="1"/>
      <c r="L2" s="1"/>
      <c r="M2" s="2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31" t="s">
        <v>380</v>
      </c>
      <c r="AE2" s="31"/>
      <c r="AF2" s="31"/>
      <c r="AG2" s="3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36"/>
      <c r="AV2" s="36"/>
      <c r="AW2" s="36"/>
      <c r="AX2" s="36"/>
      <c r="BK2" s="31" t="s">
        <v>380</v>
      </c>
      <c r="BL2" s="31"/>
      <c r="BM2" s="31"/>
      <c r="BW2" s="41"/>
    </row>
    <row r="3" spans="1:87" s="3" customFormat="1">
      <c r="A3" s="4"/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2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" t="s">
        <v>254</v>
      </c>
      <c r="AE3" s="35"/>
      <c r="AF3" s="35"/>
      <c r="AG3" s="35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BK3" s="4" t="s">
        <v>254</v>
      </c>
      <c r="BL3" s="35"/>
      <c r="BM3" s="35"/>
      <c r="BW3" s="16"/>
    </row>
    <row r="4" spans="1:87" s="3" customFormat="1">
      <c r="A4" s="7" t="s">
        <v>257</v>
      </c>
      <c r="B4" s="4"/>
      <c r="C4" s="4"/>
      <c r="D4" s="4"/>
      <c r="E4" s="4"/>
      <c r="F4" s="1"/>
      <c r="G4" s="1"/>
      <c r="H4" s="1"/>
      <c r="I4" s="1"/>
      <c r="J4" s="1"/>
      <c r="K4" s="1"/>
      <c r="L4" s="1"/>
      <c r="M4" s="2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7" t="s">
        <v>257</v>
      </c>
      <c r="AE4" s="4"/>
      <c r="AF4" s="4"/>
      <c r="AG4" s="4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BK4" s="7" t="s">
        <v>257</v>
      </c>
      <c r="BL4" s="4"/>
      <c r="BM4" s="4"/>
      <c r="BU4" s="7"/>
      <c r="BW4" s="16"/>
    </row>
    <row r="5" spans="1:87" s="3" customFormat="1">
      <c r="A5" s="7"/>
      <c r="B5" s="4"/>
      <c r="C5" s="4"/>
      <c r="D5" s="4"/>
      <c r="E5" s="4"/>
      <c r="F5" s="1"/>
      <c r="G5" s="1"/>
      <c r="H5" s="1"/>
      <c r="I5" s="1"/>
      <c r="J5" s="1"/>
      <c r="K5" s="1"/>
      <c r="L5" s="1"/>
      <c r="M5" s="2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4"/>
      <c r="AF5" s="4"/>
      <c r="AG5" s="4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BK5" s="7"/>
      <c r="BL5" s="4"/>
      <c r="BM5" s="4"/>
      <c r="BU5" s="7"/>
      <c r="BW5" s="16"/>
    </row>
    <row r="6" spans="1:87" s="3" customFormat="1">
      <c r="A6" s="4"/>
      <c r="M6" s="26"/>
      <c r="BU6" s="7"/>
    </row>
    <row r="7" spans="1:87" s="7" customFormat="1">
      <c r="A7" s="29" t="s">
        <v>311</v>
      </c>
      <c r="B7" s="5"/>
      <c r="C7" s="5"/>
      <c r="D7" s="5"/>
      <c r="E7" s="5"/>
      <c r="F7" s="6"/>
      <c r="G7" s="6"/>
      <c r="H7" s="6"/>
      <c r="I7" s="6"/>
      <c r="J7" s="6"/>
      <c r="K7" s="6"/>
      <c r="L7" s="56"/>
      <c r="M7" s="42"/>
      <c r="N7" s="6"/>
      <c r="O7" s="11" t="s">
        <v>54</v>
      </c>
      <c r="P7" s="6"/>
      <c r="Q7" s="6"/>
      <c r="R7" s="6"/>
      <c r="S7" s="6"/>
      <c r="T7" s="6"/>
      <c r="U7" s="6"/>
      <c r="V7" s="6"/>
      <c r="W7" s="6"/>
      <c r="AD7" s="29" t="s">
        <v>311</v>
      </c>
      <c r="AE7" s="5"/>
      <c r="AF7" s="5"/>
      <c r="AG7" s="5"/>
      <c r="AN7" s="2"/>
      <c r="AP7" s="2"/>
      <c r="BK7" s="29" t="s">
        <v>311</v>
      </c>
      <c r="BL7" s="5"/>
      <c r="BM7" s="5"/>
    </row>
    <row r="8" spans="1:87" s="3" customFormat="1">
      <c r="A8" s="70"/>
      <c r="B8" s="7"/>
      <c r="C8" s="7"/>
      <c r="D8" s="7"/>
      <c r="E8" s="7"/>
      <c r="G8" s="119" t="s">
        <v>54</v>
      </c>
      <c r="H8" s="119"/>
      <c r="I8" s="119"/>
      <c r="J8" s="119"/>
      <c r="K8" s="119"/>
      <c r="L8" s="119"/>
      <c r="M8" s="119"/>
      <c r="N8" s="42"/>
      <c r="O8" s="37" t="s">
        <v>338</v>
      </c>
      <c r="Q8" s="119" t="s">
        <v>55</v>
      </c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70"/>
      <c r="AE8" s="7"/>
      <c r="AF8" s="7"/>
      <c r="AG8" s="7"/>
      <c r="AH8" s="119" t="s">
        <v>339</v>
      </c>
      <c r="AI8" s="119"/>
      <c r="AJ8" s="119"/>
      <c r="AK8" s="38"/>
      <c r="AL8" s="38"/>
      <c r="AN8" s="119" t="s">
        <v>278</v>
      </c>
      <c r="AO8" s="119"/>
      <c r="AP8" s="119"/>
      <c r="AX8" s="119" t="s">
        <v>110</v>
      </c>
      <c r="AY8" s="119"/>
      <c r="AZ8" s="119"/>
      <c r="BA8" s="42"/>
      <c r="BD8" s="37" t="s">
        <v>111</v>
      </c>
      <c r="BE8" s="37"/>
      <c r="BF8" s="37"/>
      <c r="BG8" s="37"/>
      <c r="BH8" s="37"/>
      <c r="BI8" s="37"/>
      <c r="BJ8" s="37"/>
      <c r="BK8" s="70"/>
      <c r="BL8" s="7"/>
      <c r="BM8" s="7"/>
      <c r="BO8" s="11" t="s">
        <v>6</v>
      </c>
      <c r="BP8" s="11"/>
      <c r="BQ8" s="11" t="s">
        <v>112</v>
      </c>
      <c r="BR8" s="11"/>
      <c r="BS8" s="11" t="s">
        <v>91</v>
      </c>
      <c r="BT8" s="11"/>
      <c r="BU8" s="11" t="s">
        <v>236</v>
      </c>
      <c r="BV8" s="11"/>
      <c r="BW8" s="11" t="s">
        <v>91</v>
      </c>
      <c r="BX8" s="11"/>
      <c r="BY8" s="11" t="s">
        <v>2</v>
      </c>
    </row>
    <row r="9" spans="1:87" s="11" customFormat="1">
      <c r="A9" s="29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"/>
      <c r="AC9" s="11" t="s">
        <v>56</v>
      </c>
      <c r="AD9" s="29"/>
      <c r="BH9" s="11" t="s">
        <v>228</v>
      </c>
      <c r="BJ9" s="11" t="s">
        <v>113</v>
      </c>
      <c r="BK9" s="29"/>
      <c r="BO9" s="11" t="s">
        <v>114</v>
      </c>
      <c r="BQ9" s="11" t="s">
        <v>115</v>
      </c>
      <c r="BS9" s="11" t="s">
        <v>116</v>
      </c>
      <c r="BU9" s="11" t="s">
        <v>235</v>
      </c>
      <c r="BW9" s="11" t="s">
        <v>116</v>
      </c>
      <c r="BY9" s="11" t="s">
        <v>9</v>
      </c>
    </row>
    <row r="10" spans="1:87" s="11" customFormat="1">
      <c r="A10" s="29"/>
      <c r="B10" s="2"/>
      <c r="C10" s="2"/>
      <c r="D10" s="2"/>
      <c r="E10" s="2"/>
      <c r="G10" s="2"/>
      <c r="H10" s="2"/>
      <c r="I10" s="2"/>
      <c r="J10" s="2"/>
      <c r="K10" s="2"/>
      <c r="L10" s="2"/>
      <c r="M10" s="20" t="s">
        <v>346</v>
      </c>
      <c r="N10" s="2"/>
      <c r="O10" s="2"/>
      <c r="P10" s="2"/>
      <c r="Q10" s="2"/>
      <c r="R10" s="2"/>
      <c r="S10" s="2" t="s">
        <v>59</v>
      </c>
      <c r="T10" s="2"/>
      <c r="U10" s="2" t="s">
        <v>60</v>
      </c>
      <c r="V10" s="2"/>
      <c r="W10" s="2"/>
      <c r="X10" s="2"/>
      <c r="Y10" s="2"/>
      <c r="Z10" s="2"/>
      <c r="AA10" s="2"/>
      <c r="AB10" s="2"/>
      <c r="AC10" s="2" t="s">
        <v>61</v>
      </c>
      <c r="AD10" s="29"/>
      <c r="AE10" s="2"/>
      <c r="AF10" s="2"/>
      <c r="AG10" s="2"/>
      <c r="AH10" s="2" t="s">
        <v>62</v>
      </c>
      <c r="AI10" s="2"/>
      <c r="AJ10" s="2"/>
      <c r="AK10" s="2"/>
      <c r="AL10" s="2"/>
      <c r="AM10" s="2"/>
      <c r="AN10" s="11" t="s">
        <v>63</v>
      </c>
      <c r="AR10" s="11" t="s">
        <v>64</v>
      </c>
      <c r="AT10" s="11" t="s">
        <v>4</v>
      </c>
      <c r="AV10" s="11" t="s">
        <v>98</v>
      </c>
      <c r="AX10" s="11" t="s">
        <v>117</v>
      </c>
      <c r="BB10" s="11" t="s">
        <v>6</v>
      </c>
      <c r="BD10" s="11" t="s">
        <v>65</v>
      </c>
      <c r="BF10" s="11" t="s">
        <v>118</v>
      </c>
      <c r="BH10" s="11" t="s">
        <v>227</v>
      </c>
      <c r="BJ10" s="11" t="s">
        <v>82</v>
      </c>
      <c r="BK10" s="29"/>
      <c r="BL10" s="2"/>
      <c r="BM10" s="2"/>
      <c r="BO10" s="11" t="s">
        <v>38</v>
      </c>
      <c r="BQ10" s="11" t="s">
        <v>91</v>
      </c>
      <c r="BS10" s="2" t="s">
        <v>68</v>
      </c>
      <c r="BU10" s="11" t="s">
        <v>225</v>
      </c>
      <c r="BW10" s="2" t="s">
        <v>119</v>
      </c>
      <c r="BY10" s="11" t="s">
        <v>120</v>
      </c>
    </row>
    <row r="11" spans="1:87" s="11" customFormat="1">
      <c r="A11" s="25" t="s">
        <v>277</v>
      </c>
      <c r="C11" s="25" t="s">
        <v>10</v>
      </c>
      <c r="E11" s="25" t="s">
        <v>11</v>
      </c>
      <c r="G11" s="10" t="s">
        <v>342</v>
      </c>
      <c r="I11" s="10" t="s">
        <v>71</v>
      </c>
      <c r="K11" s="10" t="s">
        <v>72</v>
      </c>
      <c r="L11" s="2"/>
      <c r="M11" s="10" t="s">
        <v>345</v>
      </c>
      <c r="O11" s="10" t="s">
        <v>82</v>
      </c>
      <c r="Q11" s="10" t="s">
        <v>341</v>
      </c>
      <c r="S11" s="10" t="s">
        <v>73</v>
      </c>
      <c r="U11" s="10" t="s">
        <v>74</v>
      </c>
      <c r="W11" s="10" t="s">
        <v>75</v>
      </c>
      <c r="Y11" s="10" t="s">
        <v>76</v>
      </c>
      <c r="Z11" s="2"/>
      <c r="AA11" s="25" t="s">
        <v>77</v>
      </c>
      <c r="AC11" s="10" t="s">
        <v>78</v>
      </c>
      <c r="AD11" s="25" t="s">
        <v>277</v>
      </c>
      <c r="AF11" s="25" t="s">
        <v>10</v>
      </c>
      <c r="AG11" s="2"/>
      <c r="AH11" s="25" t="s">
        <v>79</v>
      </c>
      <c r="AI11" s="2"/>
      <c r="AJ11" s="25" t="s">
        <v>80</v>
      </c>
      <c r="AL11" s="25" t="s">
        <v>82</v>
      </c>
      <c r="AN11" s="25" t="s">
        <v>81</v>
      </c>
      <c r="AP11" s="55" t="s">
        <v>82</v>
      </c>
      <c r="AQ11" s="2"/>
      <c r="AR11" s="25" t="s">
        <v>48</v>
      </c>
      <c r="AS11" s="2"/>
      <c r="AT11" s="25" t="s">
        <v>121</v>
      </c>
      <c r="AU11" s="2"/>
      <c r="AV11" s="25" t="s">
        <v>103</v>
      </c>
      <c r="AW11" s="2"/>
      <c r="AX11" s="55" t="s">
        <v>343</v>
      </c>
      <c r="AY11" s="2"/>
      <c r="AZ11" s="25" t="s">
        <v>83</v>
      </c>
      <c r="BA11" s="2"/>
      <c r="BB11" s="25" t="s">
        <v>114</v>
      </c>
      <c r="BC11" s="2"/>
      <c r="BD11" s="25" t="s">
        <v>84</v>
      </c>
      <c r="BE11" s="2"/>
      <c r="BF11" s="25" t="s">
        <v>84</v>
      </c>
      <c r="BG11" s="2"/>
      <c r="BH11" s="80" t="s">
        <v>234</v>
      </c>
      <c r="BI11" s="2"/>
      <c r="BJ11" s="25" t="s">
        <v>122</v>
      </c>
      <c r="BK11" s="25" t="s">
        <v>277</v>
      </c>
      <c r="BM11" s="25" t="s">
        <v>10</v>
      </c>
      <c r="BN11" s="2"/>
      <c r="BO11" s="25" t="s">
        <v>123</v>
      </c>
      <c r="BP11" s="2"/>
      <c r="BQ11" s="25" t="s">
        <v>116</v>
      </c>
      <c r="BS11" s="25" t="s">
        <v>87</v>
      </c>
      <c r="BU11" s="80" t="s">
        <v>224</v>
      </c>
      <c r="BW11" s="25" t="s">
        <v>87</v>
      </c>
      <c r="BY11" s="25" t="s">
        <v>18</v>
      </c>
    </row>
    <row r="12" spans="1:87" s="11" customFormat="1">
      <c r="A12" s="2"/>
      <c r="C12" s="2"/>
      <c r="E12" s="2"/>
      <c r="G12" s="2"/>
      <c r="I12" s="2"/>
      <c r="K12" s="2"/>
      <c r="L12" s="2"/>
      <c r="M12" s="71"/>
      <c r="O12" s="2"/>
      <c r="Q12" s="2"/>
      <c r="S12" s="2"/>
      <c r="U12" s="2"/>
      <c r="W12" s="2"/>
      <c r="Y12" s="2"/>
      <c r="Z12" s="2"/>
      <c r="AA12" s="2"/>
      <c r="AC12" s="2"/>
      <c r="AH12" s="2"/>
      <c r="AI12" s="2"/>
      <c r="AJ12" s="2"/>
      <c r="AL12" s="2"/>
      <c r="AN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N12" s="2"/>
      <c r="BO12" s="2"/>
      <c r="BP12" s="2"/>
      <c r="BQ12" s="2"/>
      <c r="BS12" s="2"/>
      <c r="BU12" s="2"/>
      <c r="BW12" s="2"/>
      <c r="BY12" s="2"/>
      <c r="BZ12" s="39"/>
      <c r="CA12" s="39"/>
      <c r="CB12" s="39"/>
      <c r="CC12" s="39"/>
      <c r="CD12" s="39"/>
      <c r="CE12" s="39"/>
      <c r="CF12" s="39"/>
      <c r="CG12" s="39"/>
      <c r="CH12" s="39"/>
      <c r="CI12" s="39"/>
    </row>
    <row r="13" spans="1:87">
      <c r="A13" s="32" t="s">
        <v>252</v>
      </c>
      <c r="M13" s="26"/>
      <c r="AD13" s="32" t="s">
        <v>252</v>
      </c>
      <c r="BK13" s="32" t="s">
        <v>252</v>
      </c>
    </row>
    <row r="14" spans="1:87">
      <c r="A14" s="32"/>
      <c r="M14" s="26"/>
      <c r="AD14" s="32"/>
      <c r="BK14" s="32"/>
    </row>
    <row r="15" spans="1:87" s="102" customFormat="1">
      <c r="A15" s="3" t="s">
        <v>283</v>
      </c>
      <c r="B15" s="3"/>
      <c r="C15" s="3" t="s">
        <v>260</v>
      </c>
      <c r="E15" s="103">
        <v>50773</v>
      </c>
      <c r="G15" s="19">
        <v>349992</v>
      </c>
      <c r="H15" s="19"/>
      <c r="I15" s="19">
        <v>138046</v>
      </c>
      <c r="J15" s="19"/>
      <c r="K15" s="19">
        <v>5350384</v>
      </c>
      <c r="L15" s="19"/>
      <c r="M15" s="71">
        <v>0</v>
      </c>
      <c r="N15" s="19"/>
      <c r="O15" s="19">
        <v>0</v>
      </c>
      <c r="P15" s="19"/>
      <c r="Q15" s="19">
        <v>440944</v>
      </c>
      <c r="R15" s="19"/>
      <c r="S15" s="19">
        <v>494152</v>
      </c>
      <c r="T15" s="19"/>
      <c r="U15" s="19">
        <v>56445</v>
      </c>
      <c r="V15" s="19"/>
      <c r="W15" s="19">
        <v>753155</v>
      </c>
      <c r="X15" s="19"/>
      <c r="Y15" s="19">
        <v>452855</v>
      </c>
      <c r="Z15" s="19"/>
      <c r="AA15" s="19">
        <v>0</v>
      </c>
      <c r="AB15" s="19"/>
      <c r="AC15" s="19">
        <v>1076851</v>
      </c>
      <c r="AD15" s="3" t="s">
        <v>283</v>
      </c>
      <c r="AE15" s="3"/>
      <c r="AF15" s="3" t="s">
        <v>260</v>
      </c>
      <c r="AG15" s="3"/>
      <c r="AH15" s="19">
        <v>18175</v>
      </c>
      <c r="AI15" s="19"/>
      <c r="AJ15" s="19">
        <v>496899</v>
      </c>
      <c r="AK15" s="19"/>
      <c r="AL15" s="19"/>
      <c r="AM15" s="109"/>
      <c r="AN15" s="19">
        <v>0</v>
      </c>
      <c r="AO15" s="19"/>
      <c r="AP15" s="19">
        <v>960</v>
      </c>
      <c r="AQ15" s="19"/>
      <c r="AR15" s="19">
        <v>22004</v>
      </c>
      <c r="AS15" s="19"/>
      <c r="AT15" s="19">
        <v>0</v>
      </c>
      <c r="AU15" s="19"/>
      <c r="AV15" s="19"/>
      <c r="AW15" s="19"/>
      <c r="AX15" s="19">
        <v>0</v>
      </c>
      <c r="AY15" s="19"/>
      <c r="AZ15" s="19">
        <v>0</v>
      </c>
      <c r="BA15" s="19"/>
      <c r="BB15" s="19">
        <f>SUM(G15:AZ15)</f>
        <v>9650862</v>
      </c>
      <c r="BC15" s="19"/>
      <c r="BD15" s="19">
        <v>0</v>
      </c>
      <c r="BE15" s="19"/>
      <c r="BF15" s="19"/>
      <c r="BG15" s="19"/>
      <c r="BH15" s="19"/>
      <c r="BI15" s="19"/>
      <c r="BJ15" s="19">
        <v>0</v>
      </c>
      <c r="BK15" s="3" t="s">
        <v>283</v>
      </c>
      <c r="BL15" s="3"/>
      <c r="BM15" s="3" t="s">
        <v>260</v>
      </c>
      <c r="BN15" s="19"/>
      <c r="BO15" s="19">
        <f t="shared" ref="BO15:BO34" si="0">+BJ15+BF15+BD15+BB15</f>
        <v>9650862</v>
      </c>
      <c r="BP15" s="19"/>
      <c r="BQ15" s="19">
        <f>GenRev!AW15-BO15</f>
        <v>502337</v>
      </c>
      <c r="BR15" s="19"/>
      <c r="BS15" s="19">
        <v>5077878</v>
      </c>
      <c r="BT15" s="19"/>
      <c r="BU15" s="19">
        <v>0</v>
      </c>
      <c r="BV15" s="19"/>
      <c r="BW15" s="19">
        <f t="shared" ref="BW15:BW65" si="1">+BS15+BQ15+BU15</f>
        <v>5580215</v>
      </c>
      <c r="BX15" s="19"/>
      <c r="BY15" s="115">
        <f>+BW15-GenBS!AE15</f>
        <v>0</v>
      </c>
    </row>
    <row r="16" spans="1:87" s="19" customFormat="1">
      <c r="A16" s="3" t="s">
        <v>239</v>
      </c>
      <c r="C16" s="19" t="s">
        <v>143</v>
      </c>
      <c r="E16" s="114">
        <v>62042</v>
      </c>
      <c r="G16" s="3">
        <v>451640</v>
      </c>
      <c r="H16" s="3"/>
      <c r="I16" s="3">
        <v>280608</v>
      </c>
      <c r="J16" s="3"/>
      <c r="K16" s="3">
        <v>2497510</v>
      </c>
      <c r="L16" s="3"/>
      <c r="M16" s="26">
        <v>50000</v>
      </c>
      <c r="N16" s="3"/>
      <c r="O16" s="3">
        <v>559</v>
      </c>
      <c r="P16" s="3"/>
      <c r="Q16" s="3">
        <v>121559</v>
      </c>
      <c r="R16" s="3"/>
      <c r="S16" s="3">
        <v>77353</v>
      </c>
      <c r="T16" s="3"/>
      <c r="U16" s="3">
        <v>100036</v>
      </c>
      <c r="V16" s="3"/>
      <c r="W16" s="3">
        <v>684432</v>
      </c>
      <c r="X16" s="3"/>
      <c r="Y16" s="3">
        <v>351401</v>
      </c>
      <c r="Z16" s="3"/>
      <c r="AA16" s="3">
        <v>2779</v>
      </c>
      <c r="AB16" s="3"/>
      <c r="AC16" s="3">
        <v>447749</v>
      </c>
      <c r="AD16" s="3" t="s">
        <v>239</v>
      </c>
      <c r="AE16" s="3"/>
      <c r="AF16" s="3" t="s">
        <v>143</v>
      </c>
      <c r="AG16" s="3"/>
      <c r="AH16" s="3">
        <v>12832</v>
      </c>
      <c r="AI16" s="3"/>
      <c r="AJ16" s="3">
        <v>106797</v>
      </c>
      <c r="AK16" s="3"/>
      <c r="AL16" s="3"/>
      <c r="AM16" s="30"/>
      <c r="AN16" s="3">
        <v>0</v>
      </c>
      <c r="AO16" s="3"/>
      <c r="AP16" s="3">
        <v>103758</v>
      </c>
      <c r="AQ16" s="3"/>
      <c r="AR16" s="3">
        <v>25566</v>
      </c>
      <c r="AS16" s="3"/>
      <c r="AT16" s="3">
        <v>0</v>
      </c>
      <c r="AU16" s="3"/>
      <c r="AV16" s="3"/>
      <c r="AW16" s="3"/>
      <c r="AX16" s="3">
        <v>0</v>
      </c>
      <c r="AY16" s="3"/>
      <c r="AZ16" s="3">
        <v>0</v>
      </c>
      <c r="BA16" s="3"/>
      <c r="BB16" s="3">
        <f t="shared" ref="BB16:BB18" si="2">SUM(G16:AZ16)</f>
        <v>5314579</v>
      </c>
      <c r="BC16" s="3"/>
      <c r="BD16" s="3">
        <v>28220</v>
      </c>
      <c r="BE16" s="3"/>
      <c r="BF16" s="3"/>
      <c r="BG16" s="3"/>
      <c r="BH16" s="3"/>
      <c r="BI16" s="3"/>
      <c r="BJ16" s="3">
        <v>0</v>
      </c>
      <c r="BK16" s="3" t="s">
        <v>239</v>
      </c>
      <c r="BL16" s="3"/>
      <c r="BM16" s="3" t="s">
        <v>143</v>
      </c>
      <c r="BO16" s="3">
        <f t="shared" si="0"/>
        <v>5342799</v>
      </c>
      <c r="BP16" s="3"/>
      <c r="BQ16" s="3">
        <f>GenRev!AW16-BO16</f>
        <v>249080</v>
      </c>
      <c r="BR16" s="3"/>
      <c r="BS16" s="3">
        <v>4077012</v>
      </c>
      <c r="BT16" s="3"/>
      <c r="BU16" s="3">
        <v>0</v>
      </c>
      <c r="BV16" s="3"/>
      <c r="BW16" s="3">
        <f t="shared" si="1"/>
        <v>4326092</v>
      </c>
      <c r="BY16" s="16">
        <f>+BW16-GenBS!AE16</f>
        <v>0</v>
      </c>
    </row>
    <row r="17" spans="1:77" s="103" customFormat="1">
      <c r="A17" s="3" t="s">
        <v>348</v>
      </c>
      <c r="C17" s="103" t="s">
        <v>144</v>
      </c>
      <c r="E17" s="103">
        <v>50815</v>
      </c>
      <c r="G17" s="3">
        <v>805989</v>
      </c>
      <c r="H17" s="3"/>
      <c r="I17" s="3">
        <v>490875</v>
      </c>
      <c r="J17" s="3"/>
      <c r="K17" s="3">
        <v>4503994</v>
      </c>
      <c r="L17" s="3"/>
      <c r="M17" s="26">
        <v>0</v>
      </c>
      <c r="N17" s="3"/>
      <c r="O17" s="3">
        <v>0</v>
      </c>
      <c r="P17" s="3"/>
      <c r="Q17" s="3">
        <v>471095</v>
      </c>
      <c r="R17" s="3"/>
      <c r="S17" s="3">
        <v>1274542</v>
      </c>
      <c r="T17" s="3"/>
      <c r="U17" s="3">
        <v>62977</v>
      </c>
      <c r="V17" s="3"/>
      <c r="W17" s="3">
        <v>614532</v>
      </c>
      <c r="X17" s="3"/>
      <c r="Y17" s="3">
        <v>395667</v>
      </c>
      <c r="Z17" s="3"/>
      <c r="AA17" s="3">
        <v>86269</v>
      </c>
      <c r="AB17" s="3"/>
      <c r="AC17" s="3">
        <v>1070886</v>
      </c>
      <c r="AD17" s="3" t="s">
        <v>348</v>
      </c>
      <c r="AF17" s="103" t="s">
        <v>144</v>
      </c>
      <c r="AH17" s="3">
        <v>15119</v>
      </c>
      <c r="AI17" s="3"/>
      <c r="AJ17" s="3">
        <v>20156</v>
      </c>
      <c r="AK17" s="3"/>
      <c r="AL17" s="3"/>
      <c r="AM17" s="3"/>
      <c r="AN17" s="3">
        <v>0</v>
      </c>
      <c r="AO17" s="3"/>
      <c r="AP17" s="3">
        <v>413</v>
      </c>
      <c r="AQ17" s="3"/>
      <c r="AR17" s="3">
        <v>0</v>
      </c>
      <c r="AS17" s="3"/>
      <c r="AT17" s="3">
        <v>75409</v>
      </c>
      <c r="AU17" s="3"/>
      <c r="AV17" s="3"/>
      <c r="AW17" s="3"/>
      <c r="AX17" s="3">
        <v>0</v>
      </c>
      <c r="AY17" s="3"/>
      <c r="AZ17" s="3">
        <v>0</v>
      </c>
      <c r="BA17" s="3"/>
      <c r="BB17" s="3">
        <f t="shared" si="2"/>
        <v>9887923</v>
      </c>
      <c r="BC17" s="3"/>
      <c r="BD17" s="3">
        <v>320000</v>
      </c>
      <c r="BE17" s="3"/>
      <c r="BF17" s="3"/>
      <c r="BG17" s="3"/>
      <c r="BH17" s="3"/>
      <c r="BI17" s="3"/>
      <c r="BJ17" s="3">
        <v>0</v>
      </c>
      <c r="BK17" s="3" t="s">
        <v>348</v>
      </c>
      <c r="BM17" s="103" t="s">
        <v>144</v>
      </c>
      <c r="BN17" s="3"/>
      <c r="BO17" s="3">
        <f t="shared" si="0"/>
        <v>10207923</v>
      </c>
      <c r="BP17" s="3"/>
      <c r="BQ17" s="3">
        <f>GenRev!AW17-BO17</f>
        <v>-404455</v>
      </c>
      <c r="BR17" s="3"/>
      <c r="BS17" s="3">
        <v>6187481</v>
      </c>
      <c r="BT17" s="3"/>
      <c r="BU17" s="3">
        <v>0</v>
      </c>
      <c r="BV17" s="3"/>
      <c r="BW17" s="3">
        <f t="shared" si="1"/>
        <v>5783026</v>
      </c>
      <c r="BX17" s="3"/>
      <c r="BY17" s="16">
        <f>+BW17-GenBS!AE17</f>
        <v>0</v>
      </c>
    </row>
    <row r="18" spans="1:77" s="103" customFormat="1">
      <c r="A18" s="3" t="s">
        <v>289</v>
      </c>
      <c r="C18" s="103" t="s">
        <v>146</v>
      </c>
      <c r="E18" s="103">
        <v>51169</v>
      </c>
      <c r="G18" s="3">
        <v>0</v>
      </c>
      <c r="H18" s="3"/>
      <c r="I18" s="3">
        <v>648759</v>
      </c>
      <c r="J18" s="3"/>
      <c r="K18" s="3">
        <v>3317592</v>
      </c>
      <c r="L18" s="3"/>
      <c r="M18" s="26">
        <v>0</v>
      </c>
      <c r="N18" s="3"/>
      <c r="O18" s="3">
        <v>0</v>
      </c>
      <c r="P18" s="3"/>
      <c r="Q18" s="3">
        <v>762757</v>
      </c>
      <c r="R18" s="3"/>
      <c r="S18" s="3">
        <v>23221</v>
      </c>
      <c r="T18" s="3"/>
      <c r="U18" s="3">
        <v>243514</v>
      </c>
      <c r="V18" s="3"/>
      <c r="W18" s="3">
        <v>874241</v>
      </c>
      <c r="X18" s="3"/>
      <c r="Y18" s="3">
        <v>473059</v>
      </c>
      <c r="Z18" s="3"/>
      <c r="AA18" s="3">
        <v>78</v>
      </c>
      <c r="AB18" s="3"/>
      <c r="AC18" s="3">
        <v>1284324</v>
      </c>
      <c r="AD18" s="3" t="s">
        <v>289</v>
      </c>
      <c r="AF18" s="103" t="s">
        <v>146</v>
      </c>
      <c r="AH18" s="3">
        <v>13363</v>
      </c>
      <c r="AI18" s="3"/>
      <c r="AJ18" s="3">
        <v>406491</v>
      </c>
      <c r="AK18" s="3"/>
      <c r="AL18" s="3"/>
      <c r="AM18" s="3"/>
      <c r="AN18" s="3">
        <v>0</v>
      </c>
      <c r="AO18" s="3"/>
      <c r="AP18" s="3">
        <v>102315</v>
      </c>
      <c r="AQ18" s="3"/>
      <c r="AR18" s="3">
        <v>1798</v>
      </c>
      <c r="AS18" s="3"/>
      <c r="AT18" s="3">
        <v>554442</v>
      </c>
      <c r="AU18" s="3"/>
      <c r="AV18" s="3"/>
      <c r="AW18" s="3"/>
      <c r="AX18" s="3">
        <v>0</v>
      </c>
      <c r="AY18" s="3"/>
      <c r="AZ18" s="3">
        <v>0</v>
      </c>
      <c r="BA18" s="3"/>
      <c r="BB18" s="3">
        <f t="shared" si="2"/>
        <v>8705954</v>
      </c>
      <c r="BC18" s="3"/>
      <c r="BD18" s="3">
        <v>80000</v>
      </c>
      <c r="BE18" s="3"/>
      <c r="BF18" s="3"/>
      <c r="BG18" s="3"/>
      <c r="BH18" s="3"/>
      <c r="BI18" s="3"/>
      <c r="BJ18" s="3">
        <v>0</v>
      </c>
      <c r="BK18" s="3" t="s">
        <v>289</v>
      </c>
      <c r="BM18" s="103" t="s">
        <v>146</v>
      </c>
      <c r="BN18" s="3"/>
      <c r="BO18" s="3">
        <f t="shared" si="0"/>
        <v>8785954</v>
      </c>
      <c r="BP18" s="3"/>
      <c r="BQ18" s="3">
        <f>GenRev!AW18-BO18</f>
        <v>-722401</v>
      </c>
      <c r="BR18" s="3"/>
      <c r="BS18" s="3">
        <v>7925796</v>
      </c>
      <c r="BT18" s="3"/>
      <c r="BU18" s="3">
        <v>0</v>
      </c>
      <c r="BV18" s="3"/>
      <c r="BW18" s="3">
        <f t="shared" si="1"/>
        <v>7203395</v>
      </c>
      <c r="BX18" s="3"/>
      <c r="BY18" s="16">
        <f>+BW18-GenBS!AE18</f>
        <v>0</v>
      </c>
    </row>
    <row r="19" spans="1:77" s="103" customFormat="1">
      <c r="A19" s="3" t="s">
        <v>290</v>
      </c>
      <c r="C19" s="103" t="s">
        <v>149</v>
      </c>
      <c r="E19" s="103">
        <v>50856</v>
      </c>
      <c r="G19" s="3">
        <v>191636</v>
      </c>
      <c r="H19" s="3"/>
      <c r="I19" s="3">
        <v>0</v>
      </c>
      <c r="J19" s="3"/>
      <c r="K19" s="3">
        <v>3992596</v>
      </c>
      <c r="L19" s="3"/>
      <c r="M19" s="26">
        <v>0</v>
      </c>
      <c r="N19" s="3"/>
      <c r="O19" s="3">
        <v>1228</v>
      </c>
      <c r="P19" s="3"/>
      <c r="Q19" s="3">
        <v>251731</v>
      </c>
      <c r="R19" s="3"/>
      <c r="S19" s="3">
        <v>15347</v>
      </c>
      <c r="T19" s="3"/>
      <c r="U19" s="3">
        <v>25104</v>
      </c>
      <c r="V19" s="3"/>
      <c r="W19" s="3">
        <v>577358</v>
      </c>
      <c r="X19" s="3"/>
      <c r="Y19" s="3">
        <v>269906</v>
      </c>
      <c r="Z19" s="3"/>
      <c r="AA19" s="3">
        <v>0</v>
      </c>
      <c r="AB19" s="3"/>
      <c r="AC19" s="3">
        <v>537008</v>
      </c>
      <c r="AD19" s="3" t="s">
        <v>290</v>
      </c>
      <c r="AF19" s="103" t="s">
        <v>149</v>
      </c>
      <c r="AH19" s="3">
        <v>0</v>
      </c>
      <c r="AI19" s="3"/>
      <c r="AJ19" s="3">
        <v>181722</v>
      </c>
      <c r="AK19" s="3"/>
      <c r="AL19" s="3"/>
      <c r="AM19" s="3"/>
      <c r="AN19" s="3">
        <v>0</v>
      </c>
      <c r="AO19" s="3"/>
      <c r="AP19" s="3">
        <v>0</v>
      </c>
      <c r="AQ19" s="3"/>
      <c r="AR19" s="3">
        <v>24004</v>
      </c>
      <c r="AS19" s="3"/>
      <c r="AT19" s="3">
        <v>247</v>
      </c>
      <c r="AU19" s="3"/>
      <c r="AV19" s="3"/>
      <c r="AW19" s="3"/>
      <c r="AX19" s="3">
        <v>33333</v>
      </c>
      <c r="AY19" s="3"/>
      <c r="AZ19" s="3">
        <v>0</v>
      </c>
      <c r="BA19" s="3"/>
      <c r="BB19" s="3">
        <f t="shared" ref="BB19:BB82" si="3">SUM(G19:AZ19)</f>
        <v>6101220</v>
      </c>
      <c r="BC19" s="3"/>
      <c r="BD19" s="3">
        <v>15929</v>
      </c>
      <c r="BE19" s="3"/>
      <c r="BF19" s="3"/>
      <c r="BG19" s="3"/>
      <c r="BH19" s="3"/>
      <c r="BI19" s="3"/>
      <c r="BJ19" s="3">
        <v>0</v>
      </c>
      <c r="BK19" s="3" t="s">
        <v>290</v>
      </c>
      <c r="BM19" s="103" t="s">
        <v>149</v>
      </c>
      <c r="BN19" s="3"/>
      <c r="BO19" s="3">
        <f t="shared" si="0"/>
        <v>6117149</v>
      </c>
      <c r="BP19" s="3"/>
      <c r="BQ19" s="3">
        <f>GenRev!AW19-BO19</f>
        <v>322355</v>
      </c>
      <c r="BR19" s="3"/>
      <c r="BS19" s="3">
        <v>907804</v>
      </c>
      <c r="BT19" s="3"/>
      <c r="BU19" s="3">
        <v>0</v>
      </c>
      <c r="BV19" s="3"/>
      <c r="BW19" s="3">
        <f t="shared" si="1"/>
        <v>1230159</v>
      </c>
      <c r="BX19" s="3"/>
      <c r="BY19" s="16">
        <f>+BW19-GenBS!AE19</f>
        <v>0</v>
      </c>
    </row>
    <row r="20" spans="1:77" s="103" customFormat="1">
      <c r="A20" s="3" t="s">
        <v>220</v>
      </c>
      <c r="C20" s="103" t="s">
        <v>198</v>
      </c>
      <c r="E20" s="103">
        <v>51656</v>
      </c>
      <c r="G20" s="3">
        <v>1276446</v>
      </c>
      <c r="H20" s="3"/>
      <c r="I20" s="3">
        <v>741018</v>
      </c>
      <c r="J20" s="3"/>
      <c r="K20" s="3">
        <v>5887245</v>
      </c>
      <c r="L20" s="3"/>
      <c r="M20" s="26">
        <v>0</v>
      </c>
      <c r="N20" s="3"/>
      <c r="O20" s="3">
        <v>4452</v>
      </c>
      <c r="P20" s="3"/>
      <c r="Q20" s="3">
        <v>740603</v>
      </c>
      <c r="R20" s="3"/>
      <c r="S20" s="3">
        <v>546111</v>
      </c>
      <c r="T20" s="3"/>
      <c r="U20" s="3">
        <v>104105</v>
      </c>
      <c r="V20" s="3"/>
      <c r="W20" s="3">
        <v>694761</v>
      </c>
      <c r="X20" s="3"/>
      <c r="Y20" s="3">
        <v>409118</v>
      </c>
      <c r="Z20" s="3"/>
      <c r="AA20" s="3">
        <v>0</v>
      </c>
      <c r="AB20" s="3"/>
      <c r="AC20" s="3">
        <v>1416112</v>
      </c>
      <c r="AD20" s="3" t="s">
        <v>220</v>
      </c>
      <c r="AF20" s="103" t="s">
        <v>198</v>
      </c>
      <c r="AH20" s="3">
        <v>452</v>
      </c>
      <c r="AI20" s="3"/>
      <c r="AJ20" s="3">
        <v>1272</v>
      </c>
      <c r="AK20" s="3"/>
      <c r="AL20" s="3"/>
      <c r="AM20" s="3"/>
      <c r="AN20" s="3">
        <v>0</v>
      </c>
      <c r="AO20" s="3"/>
      <c r="AP20" s="3">
        <v>7</v>
      </c>
      <c r="AQ20" s="3"/>
      <c r="AR20" s="3">
        <v>11173</v>
      </c>
      <c r="AS20" s="3"/>
      <c r="AT20" s="3">
        <v>0</v>
      </c>
      <c r="AU20" s="3"/>
      <c r="AV20" s="3"/>
      <c r="AW20" s="3"/>
      <c r="AX20" s="3">
        <v>51687</v>
      </c>
      <c r="AY20" s="3"/>
      <c r="AZ20" s="3">
        <v>5557</v>
      </c>
      <c r="BA20" s="3"/>
      <c r="BB20" s="3">
        <f t="shared" si="3"/>
        <v>11890119</v>
      </c>
      <c r="BC20" s="3"/>
      <c r="BD20" s="3">
        <v>45000</v>
      </c>
      <c r="BE20" s="3"/>
      <c r="BF20" s="3"/>
      <c r="BG20" s="3"/>
      <c r="BH20" s="3"/>
      <c r="BI20" s="3"/>
      <c r="BJ20" s="3">
        <v>0</v>
      </c>
      <c r="BK20" s="3" t="s">
        <v>220</v>
      </c>
      <c r="BM20" s="103" t="s">
        <v>198</v>
      </c>
      <c r="BN20" s="3"/>
      <c r="BO20" s="3">
        <f t="shared" si="0"/>
        <v>11935119</v>
      </c>
      <c r="BP20" s="3"/>
      <c r="BQ20" s="3">
        <f>GenRev!AW20-BO20</f>
        <v>106139</v>
      </c>
      <c r="BR20" s="3"/>
      <c r="BS20" s="3">
        <v>12988223</v>
      </c>
      <c r="BT20" s="3"/>
      <c r="BU20" s="3">
        <v>0</v>
      </c>
      <c r="BV20" s="3"/>
      <c r="BW20" s="3">
        <f t="shared" si="1"/>
        <v>13094362</v>
      </c>
      <c r="BX20" s="3"/>
      <c r="BY20" s="16">
        <f>+BW20-GenBS!AE20</f>
        <v>0</v>
      </c>
    </row>
    <row r="21" spans="1:77" s="103" customFormat="1">
      <c r="A21" s="3" t="s">
        <v>357</v>
      </c>
      <c r="C21" s="103" t="s">
        <v>147</v>
      </c>
      <c r="E21" s="103">
        <v>50880</v>
      </c>
      <c r="G21" s="3">
        <v>499131</v>
      </c>
      <c r="H21" s="3"/>
      <c r="I21" s="3">
        <v>0</v>
      </c>
      <c r="J21" s="3"/>
      <c r="K21" s="3">
        <v>21519558</v>
      </c>
      <c r="L21" s="3"/>
      <c r="M21" s="26">
        <v>0</v>
      </c>
      <c r="N21" s="3"/>
      <c r="O21" s="3">
        <v>0</v>
      </c>
      <c r="P21" s="3"/>
      <c r="Q21" s="3">
        <v>1124191</v>
      </c>
      <c r="R21" s="3"/>
      <c r="S21" s="3">
        <v>3211922</v>
      </c>
      <c r="T21" s="3"/>
      <c r="U21" s="3">
        <v>0</v>
      </c>
      <c r="V21" s="3"/>
      <c r="W21" s="3">
        <f>91240+2433726</f>
        <v>2524966</v>
      </c>
      <c r="X21" s="3"/>
      <c r="Y21" s="3">
        <v>1190270</v>
      </c>
      <c r="Z21" s="3"/>
      <c r="AA21" s="3">
        <v>66501</v>
      </c>
      <c r="AB21" s="3"/>
      <c r="AC21" s="3">
        <v>3297084</v>
      </c>
      <c r="AD21" s="3" t="s">
        <v>357</v>
      </c>
      <c r="AF21" s="103" t="s">
        <v>147</v>
      </c>
      <c r="AH21" s="3">
        <v>81787</v>
      </c>
      <c r="AI21" s="3"/>
      <c r="AJ21" s="3">
        <v>3114381</v>
      </c>
      <c r="AK21" s="3"/>
      <c r="AL21" s="3"/>
      <c r="AM21" s="3"/>
      <c r="AN21" s="3">
        <v>0</v>
      </c>
      <c r="AO21" s="3"/>
      <c r="AP21" s="3">
        <v>13354</v>
      </c>
      <c r="AQ21" s="3"/>
      <c r="AR21" s="3">
        <v>394865</v>
      </c>
      <c r="AS21" s="3"/>
      <c r="AT21" s="3">
        <v>0</v>
      </c>
      <c r="AU21" s="3"/>
      <c r="AV21" s="3"/>
      <c r="AW21" s="3"/>
      <c r="AX21" s="3">
        <v>0</v>
      </c>
      <c r="AY21" s="3"/>
      <c r="AZ21" s="3">
        <v>2525</v>
      </c>
      <c r="BA21" s="3"/>
      <c r="BB21" s="3">
        <f t="shared" si="3"/>
        <v>37040535</v>
      </c>
      <c r="BC21" s="3"/>
      <c r="BD21" s="3">
        <v>954343</v>
      </c>
      <c r="BE21" s="3"/>
      <c r="BF21" s="3"/>
      <c r="BG21" s="3"/>
      <c r="BH21" s="3"/>
      <c r="BI21" s="3"/>
      <c r="BJ21" s="3">
        <v>0</v>
      </c>
      <c r="BK21" s="3" t="s">
        <v>357</v>
      </c>
      <c r="BM21" s="103" t="s">
        <v>147</v>
      </c>
      <c r="BN21" s="3"/>
      <c r="BO21" s="3">
        <f t="shared" si="0"/>
        <v>37994878</v>
      </c>
      <c r="BP21" s="3"/>
      <c r="BQ21" s="3">
        <f>GenRev!AW21-BO21</f>
        <v>2696020</v>
      </c>
      <c r="BR21" s="3"/>
      <c r="BS21" s="3">
        <v>12098694</v>
      </c>
      <c r="BT21" s="3"/>
      <c r="BU21" s="3">
        <v>0</v>
      </c>
      <c r="BV21" s="3"/>
      <c r="BW21" s="3">
        <f t="shared" si="1"/>
        <v>14794714</v>
      </c>
      <c r="BX21" s="3"/>
      <c r="BY21" s="16">
        <f>+BW21-GenBS!AE21</f>
        <v>0</v>
      </c>
    </row>
    <row r="22" spans="1:77" s="103" customFormat="1">
      <c r="A22" s="3" t="s">
        <v>273</v>
      </c>
      <c r="C22" s="103" t="s">
        <v>173</v>
      </c>
      <c r="E22" s="103">
        <v>51201</v>
      </c>
      <c r="G22" s="3">
        <v>100987</v>
      </c>
      <c r="H22" s="3"/>
      <c r="I22" s="3">
        <v>558029</v>
      </c>
      <c r="J22" s="3"/>
      <c r="K22" s="3">
        <v>4776172</v>
      </c>
      <c r="L22" s="3"/>
      <c r="M22" s="26">
        <v>7243</v>
      </c>
      <c r="N22" s="3"/>
      <c r="O22" s="3">
        <v>0</v>
      </c>
      <c r="P22" s="3"/>
      <c r="Q22" s="3">
        <v>345844</v>
      </c>
      <c r="R22" s="3"/>
      <c r="S22" s="3">
        <v>566396</v>
      </c>
      <c r="T22" s="3"/>
      <c r="U22" s="3">
        <v>17603</v>
      </c>
      <c r="V22" s="3"/>
      <c r="W22" s="3">
        <v>1085750</v>
      </c>
      <c r="X22" s="3"/>
      <c r="Y22" s="3">
        <v>414420</v>
      </c>
      <c r="Z22" s="3"/>
      <c r="AA22" s="3">
        <v>268905</v>
      </c>
      <c r="AB22" s="3"/>
      <c r="AC22" s="3">
        <v>1593104</v>
      </c>
      <c r="AD22" s="3" t="s">
        <v>273</v>
      </c>
      <c r="AF22" s="103" t="s">
        <v>173</v>
      </c>
      <c r="AH22" s="3">
        <v>5905</v>
      </c>
      <c r="AI22" s="3"/>
      <c r="AJ22" s="3">
        <v>652209</v>
      </c>
      <c r="AK22" s="3"/>
      <c r="AL22" s="3"/>
      <c r="AM22" s="3"/>
      <c r="AN22" s="3">
        <v>30643</v>
      </c>
      <c r="AO22" s="3"/>
      <c r="AP22" s="3">
        <v>0</v>
      </c>
      <c r="AQ22" s="3"/>
      <c r="AR22" s="3">
        <v>61418</v>
      </c>
      <c r="AS22" s="3"/>
      <c r="AT22" s="3">
        <v>0</v>
      </c>
      <c r="AU22" s="3"/>
      <c r="AV22" s="3"/>
      <c r="AW22" s="3"/>
      <c r="AX22" s="3">
        <v>35690</v>
      </c>
      <c r="AY22" s="3"/>
      <c r="AZ22" s="3">
        <v>416</v>
      </c>
      <c r="BA22" s="3"/>
      <c r="BB22" s="3">
        <f t="shared" si="3"/>
        <v>10520734</v>
      </c>
      <c r="BC22" s="3"/>
      <c r="BD22" s="3">
        <v>202748</v>
      </c>
      <c r="BE22" s="3"/>
      <c r="BF22" s="3"/>
      <c r="BG22" s="3"/>
      <c r="BH22" s="3"/>
      <c r="BI22" s="3"/>
      <c r="BJ22" s="3">
        <v>0</v>
      </c>
      <c r="BK22" s="3" t="s">
        <v>273</v>
      </c>
      <c r="BM22" s="103" t="s">
        <v>173</v>
      </c>
      <c r="BN22" s="3"/>
      <c r="BO22" s="3">
        <f t="shared" si="0"/>
        <v>10723482</v>
      </c>
      <c r="BP22" s="3"/>
      <c r="BQ22" s="3">
        <f>GenRev!AW22-BO22</f>
        <v>1755787</v>
      </c>
      <c r="BR22" s="3"/>
      <c r="BS22" s="3">
        <v>5450886</v>
      </c>
      <c r="BT22" s="3"/>
      <c r="BU22" s="3">
        <v>0</v>
      </c>
      <c r="BV22" s="3"/>
      <c r="BW22" s="3">
        <f t="shared" si="1"/>
        <v>7206673</v>
      </c>
      <c r="BX22" s="3"/>
      <c r="BY22" s="16">
        <f>+BW22-GenBS!AE22</f>
        <v>0</v>
      </c>
    </row>
    <row r="23" spans="1:77" s="89" customFormat="1" hidden="1">
      <c r="A23" s="88" t="s">
        <v>271</v>
      </c>
      <c r="C23" s="89" t="s">
        <v>214</v>
      </c>
      <c r="E23" s="89">
        <v>63511</v>
      </c>
      <c r="G23" s="88">
        <v>0</v>
      </c>
      <c r="H23" s="88"/>
      <c r="I23" s="88">
        <v>0</v>
      </c>
      <c r="J23" s="88"/>
      <c r="K23" s="88">
        <v>0</v>
      </c>
      <c r="L23" s="88"/>
      <c r="M23" s="88">
        <v>0</v>
      </c>
      <c r="N23" s="88"/>
      <c r="O23" s="88">
        <v>0</v>
      </c>
      <c r="P23" s="88"/>
      <c r="Q23" s="88">
        <v>0</v>
      </c>
      <c r="R23" s="88"/>
      <c r="S23" s="88">
        <v>0</v>
      </c>
      <c r="T23" s="88"/>
      <c r="U23" s="88">
        <v>0</v>
      </c>
      <c r="V23" s="88"/>
      <c r="W23" s="88">
        <v>0</v>
      </c>
      <c r="X23" s="88"/>
      <c r="Y23" s="88">
        <v>0</v>
      </c>
      <c r="Z23" s="88"/>
      <c r="AA23" s="88">
        <v>0</v>
      </c>
      <c r="AB23" s="88"/>
      <c r="AC23" s="88">
        <v>0</v>
      </c>
      <c r="AD23" s="88" t="s">
        <v>271</v>
      </c>
      <c r="AF23" s="89" t="s">
        <v>214</v>
      </c>
      <c r="AH23" s="88">
        <v>0</v>
      </c>
      <c r="AI23" s="88"/>
      <c r="AJ23" s="88">
        <v>0</v>
      </c>
      <c r="AK23" s="88"/>
      <c r="AL23" s="88"/>
      <c r="AM23" s="88"/>
      <c r="AN23" s="88">
        <v>0</v>
      </c>
      <c r="AO23" s="88"/>
      <c r="AP23" s="88">
        <v>0</v>
      </c>
      <c r="AQ23" s="88"/>
      <c r="AR23" s="88">
        <v>0</v>
      </c>
      <c r="AS23" s="88"/>
      <c r="AT23" s="88">
        <v>0</v>
      </c>
      <c r="AU23" s="88"/>
      <c r="AV23" s="88"/>
      <c r="AW23" s="88"/>
      <c r="AX23" s="88">
        <v>0</v>
      </c>
      <c r="AY23" s="88"/>
      <c r="AZ23" s="88">
        <v>0</v>
      </c>
      <c r="BA23" s="88"/>
      <c r="BB23" s="88">
        <f t="shared" si="3"/>
        <v>0</v>
      </c>
      <c r="BC23" s="88"/>
      <c r="BD23" s="88">
        <v>0</v>
      </c>
      <c r="BE23" s="88"/>
      <c r="BF23" s="88"/>
      <c r="BG23" s="88"/>
      <c r="BH23" s="88"/>
      <c r="BI23" s="88"/>
      <c r="BJ23" s="88">
        <v>0</v>
      </c>
      <c r="BK23" s="88" t="s">
        <v>271</v>
      </c>
      <c r="BM23" s="89" t="s">
        <v>214</v>
      </c>
      <c r="BN23" s="88"/>
      <c r="BO23" s="88">
        <f t="shared" si="0"/>
        <v>0</v>
      </c>
      <c r="BP23" s="88"/>
      <c r="BQ23" s="88">
        <f>GenRev!AW23-BO23</f>
        <v>0</v>
      </c>
      <c r="BR23" s="88"/>
      <c r="BS23" s="88">
        <v>0</v>
      </c>
      <c r="BT23" s="88"/>
      <c r="BU23" s="88"/>
      <c r="BV23" s="88"/>
      <c r="BW23" s="88">
        <f t="shared" si="1"/>
        <v>0</v>
      </c>
      <c r="BX23" s="88"/>
      <c r="BY23" s="90">
        <f>+BW23-GenBS!AE23</f>
        <v>0</v>
      </c>
    </row>
    <row r="24" spans="1:77" s="103" customFormat="1">
      <c r="A24" s="3" t="s">
        <v>356</v>
      </c>
      <c r="C24" s="103" t="s">
        <v>156</v>
      </c>
      <c r="E24" s="103">
        <v>50906</v>
      </c>
      <c r="G24" s="3">
        <v>0</v>
      </c>
      <c r="H24" s="3"/>
      <c r="I24" s="3">
        <v>0</v>
      </c>
      <c r="J24" s="3"/>
      <c r="K24" s="3">
        <v>2868020</v>
      </c>
      <c r="L24" s="3"/>
      <c r="M24" s="3">
        <v>0</v>
      </c>
      <c r="N24" s="3"/>
      <c r="O24" s="3">
        <v>0</v>
      </c>
      <c r="P24" s="3"/>
      <c r="Q24" s="3">
        <v>418601</v>
      </c>
      <c r="R24" s="3"/>
      <c r="S24" s="3">
        <v>353963</v>
      </c>
      <c r="T24" s="3"/>
      <c r="U24" s="3">
        <v>28934</v>
      </c>
      <c r="V24" s="3"/>
      <c r="W24" s="3">
        <v>237348</v>
      </c>
      <c r="X24" s="3"/>
      <c r="Y24" s="3">
        <v>279529</v>
      </c>
      <c r="Z24" s="3"/>
      <c r="AA24" s="3">
        <v>0</v>
      </c>
      <c r="AB24" s="3"/>
      <c r="AC24" s="3">
        <v>658103</v>
      </c>
      <c r="AD24" s="3" t="s">
        <v>356</v>
      </c>
      <c r="AF24" s="103" t="s">
        <v>156</v>
      </c>
      <c r="AH24" s="3">
        <v>0</v>
      </c>
      <c r="AI24" s="3"/>
      <c r="AJ24" s="3">
        <v>0</v>
      </c>
      <c r="AK24" s="3"/>
      <c r="AL24" s="3"/>
      <c r="AM24" s="3"/>
      <c r="AN24" s="3">
        <v>0</v>
      </c>
      <c r="AO24" s="3"/>
      <c r="AP24" s="3">
        <v>0</v>
      </c>
      <c r="AQ24" s="3"/>
      <c r="AR24" s="3">
        <v>43638</v>
      </c>
      <c r="AS24" s="3"/>
      <c r="AT24" s="3">
        <v>114912</v>
      </c>
      <c r="AU24" s="3"/>
      <c r="AV24" s="3"/>
      <c r="AW24" s="3"/>
      <c r="AX24" s="3">
        <v>0</v>
      </c>
      <c r="AY24" s="3"/>
      <c r="AZ24" s="3">
        <v>0</v>
      </c>
      <c r="BA24" s="3"/>
      <c r="BB24" s="3">
        <f t="shared" si="3"/>
        <v>5003048</v>
      </c>
      <c r="BC24" s="3"/>
      <c r="BD24" s="3">
        <v>1004363</v>
      </c>
      <c r="BE24" s="3"/>
      <c r="BF24" s="3"/>
      <c r="BG24" s="3"/>
      <c r="BH24" s="3"/>
      <c r="BI24" s="3"/>
      <c r="BJ24" s="3">
        <v>0</v>
      </c>
      <c r="BK24" s="3" t="s">
        <v>356</v>
      </c>
      <c r="BM24" s="103" t="s">
        <v>156</v>
      </c>
      <c r="BN24" s="3"/>
      <c r="BO24" s="3">
        <f t="shared" si="0"/>
        <v>6007411</v>
      </c>
      <c r="BP24" s="3"/>
      <c r="BQ24" s="3">
        <f>GenRev!AW24-BO24</f>
        <v>15511</v>
      </c>
      <c r="BR24" s="3"/>
      <c r="BS24" s="3">
        <v>3281664</v>
      </c>
      <c r="BT24" s="3"/>
      <c r="BU24" s="3">
        <v>0</v>
      </c>
      <c r="BV24" s="3"/>
      <c r="BW24" s="3">
        <f t="shared" si="1"/>
        <v>3297175</v>
      </c>
      <c r="BX24" s="3"/>
      <c r="BY24" s="16">
        <f>+BW24-GenBS!AE24</f>
        <v>0</v>
      </c>
    </row>
    <row r="25" spans="1:77" s="103" customFormat="1">
      <c r="A25" s="3" t="s">
        <v>243</v>
      </c>
      <c r="C25" s="103" t="s">
        <v>207</v>
      </c>
      <c r="E25" s="103">
        <v>65227</v>
      </c>
      <c r="G25" s="3">
        <v>531948</v>
      </c>
      <c r="H25" s="3"/>
      <c r="I25" s="3">
        <v>0</v>
      </c>
      <c r="J25" s="3"/>
      <c r="K25" s="3">
        <v>1611702</v>
      </c>
      <c r="L25" s="3"/>
      <c r="M25" s="3">
        <v>0</v>
      </c>
      <c r="N25" s="3"/>
      <c r="O25" s="3">
        <v>0</v>
      </c>
      <c r="P25" s="3"/>
      <c r="Q25" s="3">
        <v>207298</v>
      </c>
      <c r="R25" s="3"/>
      <c r="S25" s="3">
        <v>255610</v>
      </c>
      <c r="T25" s="3"/>
      <c r="U25" s="3">
        <v>33825</v>
      </c>
      <c r="V25" s="3"/>
      <c r="W25" s="3">
        <v>245020</v>
      </c>
      <c r="X25" s="3"/>
      <c r="Y25" s="3">
        <v>213687</v>
      </c>
      <c r="Z25" s="3"/>
      <c r="AA25" s="3">
        <v>17940</v>
      </c>
      <c r="AB25" s="3"/>
      <c r="AC25" s="3">
        <v>494607</v>
      </c>
      <c r="AD25" s="3" t="s">
        <v>243</v>
      </c>
      <c r="AF25" s="103" t="s">
        <v>207</v>
      </c>
      <c r="AH25" s="3">
        <v>13580</v>
      </c>
      <c r="AI25" s="3"/>
      <c r="AJ25" s="3">
        <v>18520</v>
      </c>
      <c r="AK25" s="3"/>
      <c r="AL25" s="3"/>
      <c r="AM25" s="3"/>
      <c r="AN25" s="3">
        <v>0</v>
      </c>
      <c r="AO25" s="3"/>
      <c r="AP25" s="3">
        <v>0</v>
      </c>
      <c r="AQ25" s="3"/>
      <c r="AR25" s="3">
        <v>18068</v>
      </c>
      <c r="AS25" s="3"/>
      <c r="AT25" s="3">
        <v>0</v>
      </c>
      <c r="AU25" s="3"/>
      <c r="AV25" s="3"/>
      <c r="AW25" s="3"/>
      <c r="AX25" s="3">
        <v>15508</v>
      </c>
      <c r="AY25" s="3"/>
      <c r="AZ25" s="3">
        <v>3170</v>
      </c>
      <c r="BA25" s="3"/>
      <c r="BB25" s="3">
        <f t="shared" si="3"/>
        <v>3680483</v>
      </c>
      <c r="BC25" s="3"/>
      <c r="BD25" s="3">
        <v>0</v>
      </c>
      <c r="BE25" s="3"/>
      <c r="BF25" s="3"/>
      <c r="BG25" s="3"/>
      <c r="BH25" s="3"/>
      <c r="BI25" s="3"/>
      <c r="BJ25" s="3">
        <v>0</v>
      </c>
      <c r="BK25" s="3" t="s">
        <v>243</v>
      </c>
      <c r="BM25" s="103" t="s">
        <v>207</v>
      </c>
      <c r="BN25" s="3"/>
      <c r="BO25" s="3">
        <f t="shared" si="0"/>
        <v>3680483</v>
      </c>
      <c r="BP25" s="3"/>
      <c r="BQ25" s="3">
        <f>GenRev!AW25-BO25</f>
        <v>-172503</v>
      </c>
      <c r="BR25" s="3"/>
      <c r="BS25" s="3">
        <v>799073</v>
      </c>
      <c r="BT25" s="3"/>
      <c r="BU25" s="3">
        <v>0</v>
      </c>
      <c r="BV25" s="3"/>
      <c r="BW25" s="3">
        <f t="shared" si="1"/>
        <v>626570</v>
      </c>
      <c r="BX25" s="3"/>
      <c r="BY25" s="16">
        <f>+BW25-GenBS!AE25</f>
        <v>0</v>
      </c>
    </row>
    <row r="26" spans="1:77" s="103" customFormat="1">
      <c r="A26" s="3" t="s">
        <v>241</v>
      </c>
      <c r="C26" s="103" t="s">
        <v>157</v>
      </c>
      <c r="E26" s="103">
        <v>50922</v>
      </c>
      <c r="G26" s="3">
        <v>715185</v>
      </c>
      <c r="H26" s="3"/>
      <c r="I26" s="3">
        <v>0</v>
      </c>
      <c r="J26" s="3"/>
      <c r="K26" s="3">
        <v>4644160</v>
      </c>
      <c r="L26" s="3"/>
      <c r="M26" s="3">
        <v>0</v>
      </c>
      <c r="N26" s="3"/>
      <c r="O26" s="3">
        <v>0</v>
      </c>
      <c r="P26" s="3"/>
      <c r="Q26" s="3">
        <v>723794</v>
      </c>
      <c r="R26" s="3"/>
      <c r="S26" s="3">
        <v>1203727</v>
      </c>
      <c r="T26" s="3"/>
      <c r="U26" s="3">
        <v>31279</v>
      </c>
      <c r="V26" s="3"/>
      <c r="W26" s="3">
        <v>1523191</v>
      </c>
      <c r="X26" s="3"/>
      <c r="Y26" s="3">
        <v>909139</v>
      </c>
      <c r="Z26" s="3"/>
      <c r="AA26" s="3">
        <v>630728</v>
      </c>
      <c r="AB26" s="3"/>
      <c r="AC26" s="3">
        <v>1112999</v>
      </c>
      <c r="AD26" s="3" t="s">
        <v>241</v>
      </c>
      <c r="AF26" s="103" t="s">
        <v>157</v>
      </c>
      <c r="AH26" s="3">
        <v>13870</v>
      </c>
      <c r="AI26" s="3"/>
      <c r="AJ26" s="3">
        <v>182013</v>
      </c>
      <c r="AK26" s="3"/>
      <c r="AL26" s="3"/>
      <c r="AM26" s="3"/>
      <c r="AN26" s="3">
        <v>0</v>
      </c>
      <c r="AO26" s="3"/>
      <c r="AP26" s="3">
        <f>1856+120417+1843839</f>
        <v>1966112</v>
      </c>
      <c r="AQ26" s="3"/>
      <c r="AR26" s="3">
        <v>88922</v>
      </c>
      <c r="AS26" s="3"/>
      <c r="AT26" s="3">
        <v>195271</v>
      </c>
      <c r="AU26" s="3"/>
      <c r="AV26" s="3"/>
      <c r="AW26" s="3"/>
      <c r="AX26" s="3">
        <v>56224</v>
      </c>
      <c r="AY26" s="3"/>
      <c r="AZ26" s="3">
        <v>7477</v>
      </c>
      <c r="BA26" s="3"/>
      <c r="BB26" s="3">
        <f t="shared" si="3"/>
        <v>14004091</v>
      </c>
      <c r="BC26" s="3"/>
      <c r="BD26" s="3">
        <v>225000</v>
      </c>
      <c r="BE26" s="3"/>
      <c r="BF26" s="3"/>
      <c r="BG26" s="3"/>
      <c r="BH26" s="3"/>
      <c r="BI26" s="3"/>
      <c r="BJ26" s="3">
        <v>0</v>
      </c>
      <c r="BK26" s="3" t="s">
        <v>241</v>
      </c>
      <c r="BM26" s="103" t="s">
        <v>157</v>
      </c>
      <c r="BN26" s="3"/>
      <c r="BO26" s="3">
        <f t="shared" si="0"/>
        <v>14229091</v>
      </c>
      <c r="BP26" s="3"/>
      <c r="BQ26" s="3">
        <f>GenRev!AW26-BO26</f>
        <v>-574666</v>
      </c>
      <c r="BR26" s="3"/>
      <c r="BS26" s="3">
        <v>12972376</v>
      </c>
      <c r="BT26" s="3"/>
      <c r="BU26" s="3">
        <v>-1786</v>
      </c>
      <c r="BV26" s="3"/>
      <c r="BW26" s="3">
        <f t="shared" si="1"/>
        <v>12395924</v>
      </c>
      <c r="BX26" s="3"/>
      <c r="BY26" s="16">
        <f>+BW26-GenBS!AE26</f>
        <v>0</v>
      </c>
    </row>
    <row r="27" spans="1:77" s="103" customFormat="1">
      <c r="A27" s="3" t="s">
        <v>240</v>
      </c>
      <c r="C27" s="103" t="s">
        <v>159</v>
      </c>
      <c r="E27" s="103">
        <v>50989</v>
      </c>
      <c r="G27" s="3">
        <v>1001319</v>
      </c>
      <c r="H27" s="3"/>
      <c r="I27" s="3">
        <v>254315</v>
      </c>
      <c r="J27" s="3"/>
      <c r="K27" s="3">
        <v>4719173</v>
      </c>
      <c r="L27" s="3"/>
      <c r="M27" s="3">
        <v>33721</v>
      </c>
      <c r="N27" s="3"/>
      <c r="O27" s="3">
        <v>106955</v>
      </c>
      <c r="P27" s="3"/>
      <c r="Q27" s="3">
        <v>1261046</v>
      </c>
      <c r="R27" s="3"/>
      <c r="S27" s="3">
        <v>957619</v>
      </c>
      <c r="T27" s="3"/>
      <c r="U27" s="3">
        <v>127876</v>
      </c>
      <c r="V27" s="3"/>
      <c r="W27" s="3">
        <v>1095559</v>
      </c>
      <c r="X27" s="3"/>
      <c r="Y27" s="3">
        <v>673857</v>
      </c>
      <c r="Z27" s="3"/>
      <c r="AA27" s="3">
        <v>0</v>
      </c>
      <c r="AB27" s="3"/>
      <c r="AC27" s="3">
        <v>1573300</v>
      </c>
      <c r="AD27" s="3" t="s">
        <v>240</v>
      </c>
      <c r="AF27" s="103" t="s">
        <v>159</v>
      </c>
      <c r="AH27" s="3">
        <v>30601</v>
      </c>
      <c r="AI27" s="3"/>
      <c r="AJ27" s="3">
        <v>252099</v>
      </c>
      <c r="AK27" s="3"/>
      <c r="AL27" s="3"/>
      <c r="AM27" s="3"/>
      <c r="AN27" s="3">
        <v>0</v>
      </c>
      <c r="AO27" s="3"/>
      <c r="AP27" s="3">
        <f>9228+37309</f>
        <v>46537</v>
      </c>
      <c r="AQ27" s="3"/>
      <c r="AR27" s="3">
        <v>14609</v>
      </c>
      <c r="AS27" s="3"/>
      <c r="AT27" s="3">
        <v>0</v>
      </c>
      <c r="AU27" s="3"/>
      <c r="AV27" s="3"/>
      <c r="AW27" s="3"/>
      <c r="AX27" s="3">
        <v>28845</v>
      </c>
      <c r="AY27" s="3"/>
      <c r="AZ27" s="3">
        <v>5384</v>
      </c>
      <c r="BA27" s="3"/>
      <c r="BB27" s="3">
        <f t="shared" si="3"/>
        <v>12182815</v>
      </c>
      <c r="BC27" s="3"/>
      <c r="BD27" s="3">
        <v>736697</v>
      </c>
      <c r="BE27" s="3"/>
      <c r="BF27" s="3"/>
      <c r="BG27" s="3"/>
      <c r="BH27" s="3"/>
      <c r="BI27" s="3"/>
      <c r="BJ27" s="3">
        <v>0</v>
      </c>
      <c r="BK27" s="3" t="s">
        <v>240</v>
      </c>
      <c r="BM27" s="103" t="s">
        <v>159</v>
      </c>
      <c r="BN27" s="3"/>
      <c r="BO27" s="3">
        <f t="shared" si="0"/>
        <v>12919512</v>
      </c>
      <c r="BP27" s="3"/>
      <c r="BQ27" s="3">
        <f>GenRev!AW27-BO27</f>
        <v>2266444</v>
      </c>
      <c r="BR27" s="3"/>
      <c r="BS27" s="3">
        <v>20730572</v>
      </c>
      <c r="BT27" s="3"/>
      <c r="BU27" s="3">
        <v>0</v>
      </c>
      <c r="BV27" s="3"/>
      <c r="BW27" s="3">
        <f t="shared" si="1"/>
        <v>22997016</v>
      </c>
      <c r="BX27" s="3"/>
      <c r="BY27" s="16">
        <f>+BW27-GenBS!AE27</f>
        <v>0</v>
      </c>
    </row>
    <row r="28" spans="1:77" s="103" customFormat="1">
      <c r="A28" s="3" t="s">
        <v>358</v>
      </c>
      <c r="C28" s="103" t="s">
        <v>162</v>
      </c>
      <c r="E28" s="103">
        <v>51003</v>
      </c>
      <c r="G28" s="3">
        <v>3546696</v>
      </c>
      <c r="H28" s="3"/>
      <c r="I28" s="3">
        <v>1255242</v>
      </c>
      <c r="J28" s="3"/>
      <c r="K28" s="3">
        <v>5583683</v>
      </c>
      <c r="L28" s="3"/>
      <c r="M28" s="3">
        <v>0</v>
      </c>
      <c r="N28" s="3"/>
      <c r="O28" s="3">
        <v>262383</v>
      </c>
      <c r="P28" s="3"/>
      <c r="Q28" s="3">
        <v>825005</v>
      </c>
      <c r="R28" s="3"/>
      <c r="S28" s="3">
        <v>292055</v>
      </c>
      <c r="T28" s="3"/>
      <c r="U28" s="3">
        <v>29286</v>
      </c>
      <c r="V28" s="3"/>
      <c r="W28" s="3">
        <v>2133992</v>
      </c>
      <c r="X28" s="3"/>
      <c r="Y28" s="3">
        <v>791837</v>
      </c>
      <c r="Z28" s="3"/>
      <c r="AA28" s="3">
        <v>0</v>
      </c>
      <c r="AB28" s="3"/>
      <c r="AC28" s="3">
        <v>2254323</v>
      </c>
      <c r="AD28" s="3" t="s">
        <v>358</v>
      </c>
      <c r="AF28" s="103" t="s">
        <v>162</v>
      </c>
      <c r="AH28" s="3">
        <v>57900</v>
      </c>
      <c r="AI28" s="3"/>
      <c r="AJ28" s="3">
        <v>900542</v>
      </c>
      <c r="AK28" s="3"/>
      <c r="AL28" s="3"/>
      <c r="AM28" s="3"/>
      <c r="AN28" s="3">
        <v>0</v>
      </c>
      <c r="AO28" s="3"/>
      <c r="AP28" s="3">
        <v>32193</v>
      </c>
      <c r="AQ28" s="3"/>
      <c r="AR28" s="3">
        <v>86419</v>
      </c>
      <c r="AS28" s="3"/>
      <c r="AT28" s="3">
        <v>655654</v>
      </c>
      <c r="AU28" s="3"/>
      <c r="AV28" s="3"/>
      <c r="AW28" s="3"/>
      <c r="AX28" s="3">
        <v>0</v>
      </c>
      <c r="AY28" s="3"/>
      <c r="AZ28" s="3">
        <v>0</v>
      </c>
      <c r="BA28" s="3"/>
      <c r="BB28" s="3">
        <f t="shared" si="3"/>
        <v>18707210</v>
      </c>
      <c r="BC28" s="3"/>
      <c r="BD28" s="3">
        <v>750960</v>
      </c>
      <c r="BE28" s="3"/>
      <c r="BF28" s="3"/>
      <c r="BG28" s="3"/>
      <c r="BH28" s="3"/>
      <c r="BI28" s="3"/>
      <c r="BJ28" s="3">
        <v>0</v>
      </c>
      <c r="BK28" s="3" t="s">
        <v>358</v>
      </c>
      <c r="BM28" s="103" t="s">
        <v>162</v>
      </c>
      <c r="BN28" s="3"/>
      <c r="BO28" s="3">
        <f t="shared" si="0"/>
        <v>19458170</v>
      </c>
      <c r="BP28" s="3"/>
      <c r="BQ28" s="3">
        <f>GenRev!AW28-BO28</f>
        <v>-111646</v>
      </c>
      <c r="BR28" s="3"/>
      <c r="BS28" s="3">
        <v>17147910</v>
      </c>
      <c r="BT28" s="3"/>
      <c r="BU28" s="3">
        <v>0</v>
      </c>
      <c r="BV28" s="3"/>
      <c r="BW28" s="3">
        <f t="shared" si="1"/>
        <v>17036264</v>
      </c>
      <c r="BX28" s="3"/>
      <c r="BY28" s="16">
        <f>+BW28-GenBS!AE28</f>
        <v>0</v>
      </c>
    </row>
    <row r="29" spans="1:77" s="103" customFormat="1">
      <c r="A29" s="3" t="s">
        <v>242</v>
      </c>
      <c r="C29" s="103" t="s">
        <v>160</v>
      </c>
      <c r="E29" s="103">
        <v>51029</v>
      </c>
      <c r="G29" s="3">
        <v>907793</v>
      </c>
      <c r="H29" s="3"/>
      <c r="I29" s="3">
        <v>314348</v>
      </c>
      <c r="J29" s="3"/>
      <c r="K29" s="3">
        <v>5175901</v>
      </c>
      <c r="L29" s="3"/>
      <c r="M29" s="3">
        <v>795</v>
      </c>
      <c r="N29" s="3"/>
      <c r="O29" s="3">
        <v>0</v>
      </c>
      <c r="P29" s="3"/>
      <c r="Q29" s="3">
        <v>646267</v>
      </c>
      <c r="R29" s="3"/>
      <c r="S29" s="3">
        <v>321000</v>
      </c>
      <c r="T29" s="3"/>
      <c r="U29" s="3">
        <v>57492</v>
      </c>
      <c r="V29" s="3"/>
      <c r="W29" s="3">
        <v>1535462</v>
      </c>
      <c r="X29" s="3"/>
      <c r="Y29" s="3">
        <v>580894</v>
      </c>
      <c r="Z29" s="3"/>
      <c r="AA29" s="3">
        <v>275894</v>
      </c>
      <c r="AB29" s="3"/>
      <c r="AC29" s="3">
        <v>1529693</v>
      </c>
      <c r="AD29" s="3" t="s">
        <v>242</v>
      </c>
      <c r="AF29" s="103" t="s">
        <v>160</v>
      </c>
      <c r="AH29" s="3">
        <v>37646</v>
      </c>
      <c r="AI29" s="3"/>
      <c r="AJ29" s="3">
        <v>526558</v>
      </c>
      <c r="AK29" s="3"/>
      <c r="AL29" s="3"/>
      <c r="AM29" s="3"/>
      <c r="AN29" s="3">
        <v>0</v>
      </c>
      <c r="AO29" s="3"/>
      <c r="AP29" s="3">
        <v>237935</v>
      </c>
      <c r="AQ29" s="3"/>
      <c r="AR29" s="3">
        <v>0</v>
      </c>
      <c r="AS29" s="3"/>
      <c r="AT29" s="3">
        <v>230654</v>
      </c>
      <c r="AU29" s="3"/>
      <c r="AV29" s="3"/>
      <c r="AW29" s="3"/>
      <c r="AX29" s="3">
        <v>256975</v>
      </c>
      <c r="AY29" s="3"/>
      <c r="AZ29" s="3">
        <v>291903</v>
      </c>
      <c r="BA29" s="3"/>
      <c r="BB29" s="3">
        <f t="shared" si="3"/>
        <v>12927210</v>
      </c>
      <c r="BC29" s="3"/>
      <c r="BD29" s="3">
        <v>856400</v>
      </c>
      <c r="BE29" s="3"/>
      <c r="BF29" s="3"/>
      <c r="BG29" s="3"/>
      <c r="BH29" s="3"/>
      <c r="BI29" s="3"/>
      <c r="BJ29" s="3">
        <v>0</v>
      </c>
      <c r="BK29" s="3" t="s">
        <v>242</v>
      </c>
      <c r="BM29" s="103" t="s">
        <v>160</v>
      </c>
      <c r="BN29" s="3"/>
      <c r="BO29" s="3">
        <f t="shared" si="0"/>
        <v>13783610</v>
      </c>
      <c r="BP29" s="3"/>
      <c r="BQ29" s="3">
        <f>GenRev!AW29-BO29</f>
        <v>41511</v>
      </c>
      <c r="BR29" s="3"/>
      <c r="BS29" s="3">
        <v>5029155</v>
      </c>
      <c r="BT29" s="3"/>
      <c r="BU29" s="3">
        <v>1087</v>
      </c>
      <c r="BV29" s="3"/>
      <c r="BW29" s="3">
        <f t="shared" si="1"/>
        <v>5071753</v>
      </c>
      <c r="BX29" s="3"/>
      <c r="BY29" s="16">
        <f>+BW29-GenBS!AE29</f>
        <v>0</v>
      </c>
    </row>
    <row r="30" spans="1:77" s="103" customFormat="1">
      <c r="A30" s="3" t="s">
        <v>244</v>
      </c>
      <c r="C30" s="103" t="s">
        <v>209</v>
      </c>
      <c r="E30" s="103">
        <v>50963</v>
      </c>
      <c r="G30" s="3">
        <v>15777</v>
      </c>
      <c r="H30" s="3"/>
      <c r="I30" s="3">
        <v>0</v>
      </c>
      <c r="J30" s="3"/>
      <c r="K30" s="3">
        <v>9594273</v>
      </c>
      <c r="L30" s="3"/>
      <c r="M30" s="3">
        <v>211301</v>
      </c>
      <c r="N30" s="3"/>
      <c r="O30" s="3">
        <v>0</v>
      </c>
      <c r="P30" s="3"/>
      <c r="Q30" s="3">
        <v>1563240</v>
      </c>
      <c r="R30" s="3"/>
      <c r="S30" s="3">
        <v>447270</v>
      </c>
      <c r="T30" s="3"/>
      <c r="U30" s="3">
        <v>61105</v>
      </c>
      <c r="V30" s="3"/>
      <c r="W30" s="3">
        <v>1370111</v>
      </c>
      <c r="X30" s="3"/>
      <c r="Y30" s="3">
        <v>501794</v>
      </c>
      <c r="Z30" s="3"/>
      <c r="AA30" s="3">
        <v>87453</v>
      </c>
      <c r="AB30" s="3"/>
      <c r="AC30" s="3">
        <v>1219724</v>
      </c>
      <c r="AD30" s="3" t="s">
        <v>244</v>
      </c>
      <c r="AF30" s="103" t="s">
        <v>209</v>
      </c>
      <c r="AH30" s="3">
        <v>26709</v>
      </c>
      <c r="AI30" s="3"/>
      <c r="AJ30" s="3">
        <v>297788</v>
      </c>
      <c r="AK30" s="3"/>
      <c r="AL30" s="3"/>
      <c r="AM30" s="3"/>
      <c r="AN30" s="3">
        <v>0</v>
      </c>
      <c r="AO30" s="3"/>
      <c r="AP30" s="3">
        <v>0</v>
      </c>
      <c r="AQ30" s="3"/>
      <c r="AR30" s="3">
        <v>90166</v>
      </c>
      <c r="AS30" s="3"/>
      <c r="AT30" s="3">
        <v>0</v>
      </c>
      <c r="AU30" s="3"/>
      <c r="AV30" s="3"/>
      <c r="AW30" s="3"/>
      <c r="AX30" s="3">
        <v>0</v>
      </c>
      <c r="AY30" s="3"/>
      <c r="AZ30" s="3">
        <v>0</v>
      </c>
      <c r="BA30" s="3"/>
      <c r="BB30" s="3">
        <f t="shared" si="3"/>
        <v>15486711</v>
      </c>
      <c r="BC30" s="3"/>
      <c r="BD30" s="3">
        <v>100000</v>
      </c>
      <c r="BE30" s="3"/>
      <c r="BF30" s="3"/>
      <c r="BG30" s="3"/>
      <c r="BH30" s="3"/>
      <c r="BI30" s="3"/>
      <c r="BJ30" s="3">
        <v>0</v>
      </c>
      <c r="BK30" s="3" t="s">
        <v>244</v>
      </c>
      <c r="BM30" s="103" t="s">
        <v>209</v>
      </c>
      <c r="BN30" s="3"/>
      <c r="BO30" s="3">
        <f t="shared" si="0"/>
        <v>15586711</v>
      </c>
      <c r="BP30" s="3"/>
      <c r="BQ30" s="3">
        <f>GenRev!AW30-BO30</f>
        <v>-1128711</v>
      </c>
      <c r="BR30" s="3"/>
      <c r="BS30" s="3">
        <v>6092802</v>
      </c>
      <c r="BT30" s="3"/>
      <c r="BU30" s="3">
        <v>0</v>
      </c>
      <c r="BV30" s="3"/>
      <c r="BW30" s="3">
        <f t="shared" si="1"/>
        <v>4964091</v>
      </c>
      <c r="BX30" s="3"/>
      <c r="BY30" s="16">
        <f>+BW30-GenBS!AE30</f>
        <v>0</v>
      </c>
    </row>
    <row r="31" spans="1:77" s="103" customFormat="1">
      <c r="A31" s="3" t="s">
        <v>208</v>
      </c>
      <c r="C31" s="103" t="s">
        <v>165</v>
      </c>
      <c r="E31" s="103">
        <v>62067</v>
      </c>
      <c r="G31" s="3">
        <v>75764</v>
      </c>
      <c r="H31" s="3"/>
      <c r="I31" s="3">
        <v>0</v>
      </c>
      <c r="J31" s="3"/>
      <c r="K31" s="3">
        <v>4158101</v>
      </c>
      <c r="L31" s="3"/>
      <c r="M31" s="3">
        <v>58000</v>
      </c>
      <c r="N31" s="3"/>
      <c r="O31" s="3">
        <v>0</v>
      </c>
      <c r="P31" s="3"/>
      <c r="Q31" s="3">
        <v>363236</v>
      </c>
      <c r="R31" s="3"/>
      <c r="S31" s="3">
        <v>235163</v>
      </c>
      <c r="T31" s="3"/>
      <c r="U31" s="3">
        <v>102465</v>
      </c>
      <c r="V31" s="3"/>
      <c r="W31" s="3">
        <v>539626</v>
      </c>
      <c r="X31" s="3"/>
      <c r="Y31" s="3">
        <v>359031</v>
      </c>
      <c r="Z31" s="3"/>
      <c r="AA31" s="3">
        <v>56860</v>
      </c>
      <c r="AB31" s="3"/>
      <c r="AC31" s="3">
        <v>797495</v>
      </c>
      <c r="AD31" s="3" t="s">
        <v>208</v>
      </c>
      <c r="AF31" s="103" t="s">
        <v>165</v>
      </c>
      <c r="AH31" s="3">
        <v>15872</v>
      </c>
      <c r="AI31" s="3"/>
      <c r="AJ31" s="3">
        <v>260090</v>
      </c>
      <c r="AK31" s="3"/>
      <c r="AL31" s="3"/>
      <c r="AM31" s="3"/>
      <c r="AN31" s="3">
        <v>0</v>
      </c>
      <c r="AO31" s="3"/>
      <c r="AP31" s="3">
        <v>0</v>
      </c>
      <c r="AQ31" s="3"/>
      <c r="AR31" s="3">
        <v>3406</v>
      </c>
      <c r="AS31" s="3"/>
      <c r="AT31" s="3">
        <v>0</v>
      </c>
      <c r="AU31" s="3"/>
      <c r="AV31" s="3"/>
      <c r="AW31" s="3"/>
      <c r="AX31" s="3">
        <v>204000</v>
      </c>
      <c r="AY31" s="3"/>
      <c r="AZ31" s="3">
        <v>52061</v>
      </c>
      <c r="BA31" s="3"/>
      <c r="BB31" s="3">
        <f t="shared" si="3"/>
        <v>7281170</v>
      </c>
      <c r="BC31" s="3"/>
      <c r="BD31" s="3">
        <v>183691</v>
      </c>
      <c r="BE31" s="3"/>
      <c r="BF31" s="3"/>
      <c r="BG31" s="3"/>
      <c r="BH31" s="3"/>
      <c r="BI31" s="3"/>
      <c r="BJ31" s="3">
        <v>0</v>
      </c>
      <c r="BK31" s="3" t="s">
        <v>208</v>
      </c>
      <c r="BM31" s="103" t="s">
        <v>165</v>
      </c>
      <c r="BN31" s="3"/>
      <c r="BO31" s="3">
        <f t="shared" si="0"/>
        <v>7464861</v>
      </c>
      <c r="BP31" s="3"/>
      <c r="BQ31" s="3">
        <f>GenRev!AW31-BO31</f>
        <v>343944</v>
      </c>
      <c r="BR31" s="3"/>
      <c r="BS31" s="3">
        <v>1454197</v>
      </c>
      <c r="BT31" s="3"/>
      <c r="BU31" s="3">
        <v>0</v>
      </c>
      <c r="BV31" s="3"/>
      <c r="BW31" s="3">
        <f t="shared" si="1"/>
        <v>1798141</v>
      </c>
      <c r="BX31" s="3"/>
      <c r="BY31" s="16">
        <f>+BW31-GenBS!AE31</f>
        <v>0</v>
      </c>
    </row>
    <row r="32" spans="1:77" s="103" customFormat="1">
      <c r="A32" s="3" t="s">
        <v>359</v>
      </c>
      <c r="C32" s="103" t="s">
        <v>168</v>
      </c>
      <c r="E32" s="103">
        <v>51060</v>
      </c>
      <c r="G32" s="3">
        <v>7089983</v>
      </c>
      <c r="H32" s="3"/>
      <c r="I32" s="3">
        <v>0</v>
      </c>
      <c r="J32" s="3"/>
      <c r="K32" s="3">
        <v>20549416</v>
      </c>
      <c r="L32" s="3"/>
      <c r="M32" s="3">
        <v>218311</v>
      </c>
      <c r="N32" s="3"/>
      <c r="O32" s="3">
        <v>0</v>
      </c>
      <c r="P32" s="3"/>
      <c r="Q32" s="3">
        <v>3497886</v>
      </c>
      <c r="R32" s="3"/>
      <c r="S32" s="3">
        <v>2349169</v>
      </c>
      <c r="T32" s="3"/>
      <c r="U32" s="3">
        <v>382246</v>
      </c>
      <c r="V32" s="3"/>
      <c r="W32" s="3">
        <v>3602825</v>
      </c>
      <c r="X32" s="3"/>
      <c r="Y32" s="3">
        <v>1691075</v>
      </c>
      <c r="Z32" s="3"/>
      <c r="AA32" s="3">
        <v>650807</v>
      </c>
      <c r="AB32" s="3"/>
      <c r="AC32" s="3">
        <v>6162046</v>
      </c>
      <c r="AD32" s="3" t="s">
        <v>359</v>
      </c>
      <c r="AF32" s="103" t="s">
        <v>168</v>
      </c>
      <c r="AH32" s="3">
        <v>429021</v>
      </c>
      <c r="AI32" s="3"/>
      <c r="AJ32" s="3">
        <v>3632394</v>
      </c>
      <c r="AK32" s="3"/>
      <c r="AL32" s="3"/>
      <c r="AM32" s="3"/>
      <c r="AN32" s="3">
        <v>0</v>
      </c>
      <c r="AO32" s="3"/>
      <c r="AP32" s="3">
        <f>530806+70730</f>
        <v>601536</v>
      </c>
      <c r="AQ32" s="3"/>
      <c r="AR32" s="3">
        <v>6831</v>
      </c>
      <c r="AS32" s="3"/>
      <c r="AT32" s="3">
        <v>0</v>
      </c>
      <c r="AU32" s="3"/>
      <c r="AV32" s="3"/>
      <c r="AW32" s="3"/>
      <c r="AX32" s="3">
        <v>0</v>
      </c>
      <c r="AY32" s="3"/>
      <c r="AZ32" s="3">
        <v>0</v>
      </c>
      <c r="BA32" s="3"/>
      <c r="BB32" s="3">
        <f t="shared" si="3"/>
        <v>50863546</v>
      </c>
      <c r="BC32" s="3"/>
      <c r="BD32" s="3">
        <v>7688873</v>
      </c>
      <c r="BE32" s="3"/>
      <c r="BF32" s="3"/>
      <c r="BG32" s="3"/>
      <c r="BH32" s="3"/>
      <c r="BI32" s="3"/>
      <c r="BJ32" s="3">
        <v>0</v>
      </c>
      <c r="BK32" s="3" t="s">
        <v>359</v>
      </c>
      <c r="BM32" s="103" t="s">
        <v>168</v>
      </c>
      <c r="BN32" s="3"/>
      <c r="BO32" s="3">
        <f t="shared" si="0"/>
        <v>58552419</v>
      </c>
      <c r="BP32" s="3"/>
      <c r="BQ32" s="3">
        <f>GenRev!AW32-BO32</f>
        <v>-185942</v>
      </c>
      <c r="BR32" s="3"/>
      <c r="BS32" s="3">
        <v>36236446</v>
      </c>
      <c r="BT32" s="3"/>
      <c r="BU32" s="3">
        <v>0</v>
      </c>
      <c r="BV32" s="3"/>
      <c r="BW32" s="3">
        <f t="shared" si="1"/>
        <v>36050504</v>
      </c>
      <c r="BX32" s="3"/>
      <c r="BY32" s="16">
        <f>+BW32-GenBS!AE32</f>
        <v>0</v>
      </c>
    </row>
    <row r="33" spans="1:77" s="103" customFormat="1">
      <c r="A33" s="3" t="s">
        <v>315</v>
      </c>
      <c r="C33" s="103" t="s">
        <v>167</v>
      </c>
      <c r="E33" s="103">
        <v>51045</v>
      </c>
      <c r="G33" s="3">
        <v>1027546</v>
      </c>
      <c r="H33" s="3"/>
      <c r="I33" s="3">
        <v>0</v>
      </c>
      <c r="J33" s="3"/>
      <c r="K33" s="3">
        <v>6572310</v>
      </c>
      <c r="L33" s="3"/>
      <c r="M33" s="3">
        <v>0</v>
      </c>
      <c r="N33" s="3"/>
      <c r="O33" s="3">
        <v>0</v>
      </c>
      <c r="P33" s="3"/>
      <c r="Q33" s="3">
        <v>717166</v>
      </c>
      <c r="R33" s="3"/>
      <c r="S33" s="3">
        <v>1272149</v>
      </c>
      <c r="T33" s="3"/>
      <c r="U33" s="3">
        <v>570313</v>
      </c>
      <c r="V33" s="3"/>
      <c r="W33" s="3">
        <v>854371</v>
      </c>
      <c r="X33" s="3"/>
      <c r="Y33" s="3">
        <v>453193</v>
      </c>
      <c r="Z33" s="3"/>
      <c r="AA33" s="3">
        <v>0</v>
      </c>
      <c r="AB33" s="3"/>
      <c r="AC33" s="3">
        <v>1121443</v>
      </c>
      <c r="AD33" s="3" t="s">
        <v>315</v>
      </c>
      <c r="AF33" s="103" t="s">
        <v>167</v>
      </c>
      <c r="AH33" s="3">
        <v>0</v>
      </c>
      <c r="AI33" s="3"/>
      <c r="AJ33" s="3">
        <v>221389</v>
      </c>
      <c r="AK33" s="3"/>
      <c r="AL33" s="3"/>
      <c r="AM33" s="3"/>
      <c r="AN33" s="3">
        <v>0</v>
      </c>
      <c r="AO33" s="3"/>
      <c r="AP33" s="3">
        <v>0</v>
      </c>
      <c r="AQ33" s="3"/>
      <c r="AR33" s="3">
        <v>32918</v>
      </c>
      <c r="AS33" s="3"/>
      <c r="AT33" s="3">
        <v>0</v>
      </c>
      <c r="AU33" s="3"/>
      <c r="AV33" s="3"/>
      <c r="AW33" s="3"/>
      <c r="AX33" s="3">
        <v>0</v>
      </c>
      <c r="AY33" s="3"/>
      <c r="AZ33" s="3">
        <v>0</v>
      </c>
      <c r="BA33" s="3"/>
      <c r="BB33" s="3">
        <f t="shared" si="3"/>
        <v>12842798</v>
      </c>
      <c r="BC33" s="3"/>
      <c r="BD33" s="3">
        <v>255506</v>
      </c>
      <c r="BE33" s="3"/>
      <c r="BF33" s="3"/>
      <c r="BG33" s="3"/>
      <c r="BH33" s="3"/>
      <c r="BI33" s="3"/>
      <c r="BJ33" s="3">
        <v>0</v>
      </c>
      <c r="BK33" s="3" t="s">
        <v>315</v>
      </c>
      <c r="BM33" s="103" t="s">
        <v>167</v>
      </c>
      <c r="BN33" s="3"/>
      <c r="BO33" s="3">
        <f t="shared" si="0"/>
        <v>13098304</v>
      </c>
      <c r="BP33" s="3"/>
      <c r="BQ33" s="3">
        <f>GenRev!AW33-BO33</f>
        <v>-350387</v>
      </c>
      <c r="BR33" s="3"/>
      <c r="BS33" s="3">
        <v>4147279</v>
      </c>
      <c r="BT33" s="3"/>
      <c r="BU33" s="3">
        <v>0</v>
      </c>
      <c r="BV33" s="3"/>
      <c r="BW33" s="3">
        <f t="shared" si="1"/>
        <v>3796892</v>
      </c>
      <c r="BX33" s="3"/>
      <c r="BY33" s="16">
        <f>+BW33-GenBS!AE33</f>
        <v>0</v>
      </c>
    </row>
    <row r="34" spans="1:77" s="103" customFormat="1">
      <c r="A34" s="3" t="s">
        <v>210</v>
      </c>
      <c r="C34" s="103" t="s">
        <v>170</v>
      </c>
      <c r="E34" s="103">
        <v>51128</v>
      </c>
      <c r="G34" s="3">
        <v>203057</v>
      </c>
      <c r="H34" s="3"/>
      <c r="I34" s="3">
        <v>252573</v>
      </c>
      <c r="J34" s="3"/>
      <c r="K34" s="3">
        <v>2113771</v>
      </c>
      <c r="L34" s="3"/>
      <c r="M34" s="3">
        <v>8767</v>
      </c>
      <c r="N34" s="3"/>
      <c r="O34" s="3">
        <v>0</v>
      </c>
      <c r="P34" s="3"/>
      <c r="Q34" s="3">
        <v>223647</v>
      </c>
      <c r="R34" s="3"/>
      <c r="S34" s="3">
        <v>319899</v>
      </c>
      <c r="T34" s="3"/>
      <c r="U34" s="3">
        <v>54969</v>
      </c>
      <c r="V34" s="3"/>
      <c r="W34" s="3">
        <v>248135</v>
      </c>
      <c r="X34" s="3"/>
      <c r="Y34" s="3">
        <v>238977</v>
      </c>
      <c r="Z34" s="3"/>
      <c r="AA34" s="3">
        <v>0</v>
      </c>
      <c r="AB34" s="3"/>
      <c r="AC34" s="3">
        <v>648212</v>
      </c>
      <c r="AD34" s="3" t="s">
        <v>210</v>
      </c>
      <c r="AF34" s="103" t="s">
        <v>170</v>
      </c>
      <c r="AH34" s="3">
        <v>0</v>
      </c>
      <c r="AI34" s="3"/>
      <c r="AJ34" s="3">
        <v>2775</v>
      </c>
      <c r="AK34" s="3"/>
      <c r="AL34" s="3"/>
      <c r="AM34" s="3"/>
      <c r="AN34" s="3">
        <v>0</v>
      </c>
      <c r="AO34" s="3"/>
      <c r="AP34" s="3">
        <v>0</v>
      </c>
      <c r="AQ34" s="3"/>
      <c r="AR34" s="3">
        <v>0</v>
      </c>
      <c r="AS34" s="3"/>
      <c r="AT34" s="3">
        <v>0</v>
      </c>
      <c r="AU34" s="3"/>
      <c r="AV34" s="3"/>
      <c r="AW34" s="3"/>
      <c r="AX34" s="3">
        <v>0</v>
      </c>
      <c r="AY34" s="3"/>
      <c r="AZ34" s="3">
        <v>0</v>
      </c>
      <c r="BA34" s="3"/>
      <c r="BB34" s="3">
        <f t="shared" si="3"/>
        <v>4314782</v>
      </c>
      <c r="BC34" s="3"/>
      <c r="BD34" s="3">
        <v>87957</v>
      </c>
      <c r="BE34" s="3"/>
      <c r="BF34" s="3"/>
      <c r="BG34" s="3"/>
      <c r="BH34" s="3"/>
      <c r="BI34" s="3"/>
      <c r="BJ34" s="3">
        <v>0</v>
      </c>
      <c r="BK34" s="3" t="s">
        <v>210</v>
      </c>
      <c r="BM34" s="103" t="s">
        <v>170</v>
      </c>
      <c r="BN34" s="3"/>
      <c r="BO34" s="3">
        <f t="shared" si="0"/>
        <v>4402739</v>
      </c>
      <c r="BP34" s="3"/>
      <c r="BQ34" s="3">
        <f>GenRev!AW34-BO34</f>
        <v>109912</v>
      </c>
      <c r="BR34" s="3"/>
      <c r="BS34" s="3">
        <v>365978</v>
      </c>
      <c r="BT34" s="3"/>
      <c r="BU34" s="3">
        <v>0</v>
      </c>
      <c r="BV34" s="3"/>
      <c r="BW34" s="3">
        <f t="shared" si="1"/>
        <v>475890</v>
      </c>
      <c r="BX34" s="3"/>
      <c r="BY34" s="16">
        <f>+BW34-GenBS!AE34</f>
        <v>0</v>
      </c>
    </row>
    <row r="35" spans="1:77" s="103" customFormat="1">
      <c r="A35" s="3" t="s">
        <v>245</v>
      </c>
      <c r="C35" s="103" t="s">
        <v>171</v>
      </c>
      <c r="E35" s="103">
        <v>51144</v>
      </c>
      <c r="G35" s="3">
        <v>108546</v>
      </c>
      <c r="H35" s="3"/>
      <c r="I35" s="3">
        <v>405597</v>
      </c>
      <c r="J35" s="3"/>
      <c r="K35" s="3">
        <v>4954374</v>
      </c>
      <c r="L35" s="3"/>
      <c r="M35" s="3">
        <v>0</v>
      </c>
      <c r="N35" s="3"/>
      <c r="O35" s="3">
        <v>0</v>
      </c>
      <c r="P35" s="3"/>
      <c r="Q35" s="3">
        <v>526646</v>
      </c>
      <c r="R35" s="3"/>
      <c r="S35" s="3">
        <v>644265</v>
      </c>
      <c r="T35" s="3"/>
      <c r="U35" s="3">
        <v>16872</v>
      </c>
      <c r="V35" s="3"/>
      <c r="W35" s="3">
        <v>679455</v>
      </c>
      <c r="X35" s="3"/>
      <c r="Y35" s="3">
        <v>449606</v>
      </c>
      <c r="Z35" s="3"/>
      <c r="AA35" s="3">
        <v>53453</v>
      </c>
      <c r="AB35" s="3"/>
      <c r="AC35" s="3">
        <v>1191463</v>
      </c>
      <c r="AD35" s="3" t="s">
        <v>245</v>
      </c>
      <c r="AF35" s="103" t="s">
        <v>171</v>
      </c>
      <c r="AH35" s="3">
        <v>0</v>
      </c>
      <c r="AI35" s="3"/>
      <c r="AJ35" s="3">
        <v>83000</v>
      </c>
      <c r="AK35" s="3"/>
      <c r="AL35" s="3"/>
      <c r="AM35" s="3"/>
      <c r="AN35" s="3">
        <v>0</v>
      </c>
      <c r="AO35" s="3"/>
      <c r="AP35" s="3">
        <v>0</v>
      </c>
      <c r="AQ35" s="3"/>
      <c r="AR35" s="3">
        <v>42310</v>
      </c>
      <c r="AS35" s="3"/>
      <c r="AT35" s="3">
        <v>96966</v>
      </c>
      <c r="AU35" s="3"/>
      <c r="AV35" s="3"/>
      <c r="AW35" s="3"/>
      <c r="AX35" s="3">
        <v>232480</v>
      </c>
      <c r="AY35" s="3"/>
      <c r="AZ35" s="3">
        <v>195080</v>
      </c>
      <c r="BA35" s="3"/>
      <c r="BB35" s="3">
        <v>9680113</v>
      </c>
      <c r="BC35" s="3"/>
      <c r="BD35" s="3">
        <v>0</v>
      </c>
      <c r="BE35" s="3"/>
      <c r="BF35" s="3"/>
      <c r="BG35" s="3"/>
      <c r="BH35" s="3"/>
      <c r="BI35" s="3"/>
      <c r="BJ35" s="3">
        <v>0</v>
      </c>
      <c r="BK35" s="3" t="s">
        <v>245</v>
      </c>
      <c r="BM35" s="103" t="s">
        <v>171</v>
      </c>
      <c r="BN35" s="3"/>
      <c r="BO35" s="3">
        <v>9680113</v>
      </c>
      <c r="BP35" s="3"/>
      <c r="BQ35" s="3">
        <v>-657684</v>
      </c>
      <c r="BR35" s="3"/>
      <c r="BS35" s="3">
        <v>11405108</v>
      </c>
      <c r="BT35" s="3"/>
      <c r="BU35" s="3">
        <v>0</v>
      </c>
      <c r="BV35" s="3"/>
      <c r="BW35" s="3">
        <v>10747424</v>
      </c>
      <c r="BX35" s="3"/>
      <c r="BY35" s="16">
        <v>0</v>
      </c>
    </row>
    <row r="36" spans="1:77" s="103" customFormat="1">
      <c r="A36" s="3" t="s">
        <v>211</v>
      </c>
      <c r="C36" s="103" t="s">
        <v>172</v>
      </c>
      <c r="E36" s="103">
        <v>51185</v>
      </c>
      <c r="G36" s="3">
        <v>40000</v>
      </c>
      <c r="H36" s="3"/>
      <c r="I36" s="3">
        <v>0</v>
      </c>
      <c r="J36" s="3"/>
      <c r="K36" s="3">
        <v>4932597</v>
      </c>
      <c r="L36" s="3"/>
      <c r="M36" s="3">
        <v>0</v>
      </c>
      <c r="N36" s="3"/>
      <c r="O36" s="3">
        <v>0</v>
      </c>
      <c r="P36" s="3"/>
      <c r="Q36" s="3">
        <v>62906</v>
      </c>
      <c r="R36" s="3"/>
      <c r="S36" s="3">
        <v>36911</v>
      </c>
      <c r="T36" s="3"/>
      <c r="U36" s="3">
        <v>62481</v>
      </c>
      <c r="V36" s="3"/>
      <c r="W36" s="3">
        <v>609181</v>
      </c>
      <c r="X36" s="3"/>
      <c r="Y36" s="3">
        <v>680164</v>
      </c>
      <c r="Z36" s="3"/>
      <c r="AA36" s="3">
        <v>0</v>
      </c>
      <c r="AB36" s="3"/>
      <c r="AC36" s="3">
        <v>654612</v>
      </c>
      <c r="AD36" s="3" t="s">
        <v>211</v>
      </c>
      <c r="AF36" s="103" t="s">
        <v>172</v>
      </c>
      <c r="AH36" s="3">
        <v>0</v>
      </c>
      <c r="AI36" s="3"/>
      <c r="AJ36" s="3">
        <v>25486</v>
      </c>
      <c r="AK36" s="3"/>
      <c r="AL36" s="3"/>
      <c r="AM36" s="3"/>
      <c r="AN36" s="3">
        <v>0</v>
      </c>
      <c r="AO36" s="3"/>
      <c r="AP36" s="3">
        <v>0</v>
      </c>
      <c r="AQ36" s="3"/>
      <c r="AR36" s="3">
        <v>11884</v>
      </c>
      <c r="AS36" s="3"/>
      <c r="AT36" s="3">
        <v>0</v>
      </c>
      <c r="AU36" s="3"/>
      <c r="AV36" s="3"/>
      <c r="AW36" s="3"/>
      <c r="AX36" s="3">
        <v>0</v>
      </c>
      <c r="AY36" s="3"/>
      <c r="AZ36" s="3">
        <v>0</v>
      </c>
      <c r="BA36" s="3"/>
      <c r="BB36" s="3">
        <f t="shared" si="3"/>
        <v>7116222</v>
      </c>
      <c r="BC36" s="3"/>
      <c r="BD36" s="3">
        <v>279460</v>
      </c>
      <c r="BE36" s="3"/>
      <c r="BF36" s="3"/>
      <c r="BG36" s="3"/>
      <c r="BH36" s="3"/>
      <c r="BI36" s="3"/>
      <c r="BJ36" s="3">
        <v>0</v>
      </c>
      <c r="BK36" s="3" t="s">
        <v>211</v>
      </c>
      <c r="BM36" s="103" t="s">
        <v>172</v>
      </c>
      <c r="BN36" s="3"/>
      <c r="BO36" s="3">
        <f t="shared" ref="BO36:BO65" si="4">+BJ36+BF36+BD36+BB36</f>
        <v>7395682</v>
      </c>
      <c r="BP36" s="3"/>
      <c r="BQ36" s="3">
        <f>GenRev!AW36-BO36</f>
        <v>-186682</v>
      </c>
      <c r="BR36" s="3"/>
      <c r="BS36" s="3">
        <v>2281006</v>
      </c>
      <c r="BT36" s="3"/>
      <c r="BU36" s="3">
        <v>0</v>
      </c>
      <c r="BV36" s="3"/>
      <c r="BW36" s="3">
        <f t="shared" si="1"/>
        <v>2094324</v>
      </c>
      <c r="BX36" s="3"/>
      <c r="BY36" s="16">
        <f>+BW36-GenBS!AE36</f>
        <v>0</v>
      </c>
    </row>
    <row r="37" spans="1:77" s="89" customFormat="1" hidden="1">
      <c r="A37" s="88" t="s">
        <v>284</v>
      </c>
      <c r="C37" s="89" t="s">
        <v>173</v>
      </c>
      <c r="E37" s="89">
        <v>47977</v>
      </c>
      <c r="G37" s="88">
        <v>0</v>
      </c>
      <c r="H37" s="88"/>
      <c r="I37" s="88">
        <v>0</v>
      </c>
      <c r="J37" s="88"/>
      <c r="K37" s="88">
        <v>0</v>
      </c>
      <c r="L37" s="88"/>
      <c r="M37" s="88">
        <v>0</v>
      </c>
      <c r="N37" s="88"/>
      <c r="O37" s="88">
        <v>0</v>
      </c>
      <c r="P37" s="88"/>
      <c r="Q37" s="88">
        <v>0</v>
      </c>
      <c r="R37" s="88"/>
      <c r="S37" s="88">
        <v>0</v>
      </c>
      <c r="T37" s="88"/>
      <c r="U37" s="88">
        <v>0</v>
      </c>
      <c r="V37" s="88"/>
      <c r="W37" s="88">
        <v>0</v>
      </c>
      <c r="X37" s="88"/>
      <c r="Y37" s="88">
        <v>0</v>
      </c>
      <c r="Z37" s="88"/>
      <c r="AA37" s="88">
        <v>0</v>
      </c>
      <c r="AB37" s="88"/>
      <c r="AC37" s="88">
        <v>0</v>
      </c>
      <c r="AD37" s="88" t="s">
        <v>284</v>
      </c>
      <c r="AF37" s="89" t="s">
        <v>173</v>
      </c>
      <c r="AH37" s="88">
        <v>0</v>
      </c>
      <c r="AI37" s="88"/>
      <c r="AJ37" s="88">
        <v>0</v>
      </c>
      <c r="AK37" s="88"/>
      <c r="AL37" s="88"/>
      <c r="AM37" s="88"/>
      <c r="AN37" s="88">
        <v>0</v>
      </c>
      <c r="AO37" s="88"/>
      <c r="AP37" s="88">
        <v>0</v>
      </c>
      <c r="AQ37" s="88"/>
      <c r="AR37" s="88">
        <v>0</v>
      </c>
      <c r="AS37" s="88"/>
      <c r="AT37" s="88">
        <v>0</v>
      </c>
      <c r="AU37" s="88"/>
      <c r="AV37" s="88"/>
      <c r="AW37" s="88"/>
      <c r="AX37" s="88">
        <v>0</v>
      </c>
      <c r="AY37" s="88"/>
      <c r="AZ37" s="88">
        <v>0</v>
      </c>
      <c r="BA37" s="88"/>
      <c r="BB37" s="88">
        <f t="shared" si="3"/>
        <v>0</v>
      </c>
      <c r="BC37" s="88"/>
      <c r="BD37" s="88">
        <v>0</v>
      </c>
      <c r="BE37" s="88"/>
      <c r="BF37" s="88"/>
      <c r="BG37" s="88"/>
      <c r="BH37" s="88"/>
      <c r="BI37" s="88"/>
      <c r="BJ37" s="88">
        <v>0</v>
      </c>
      <c r="BK37" s="88" t="s">
        <v>284</v>
      </c>
      <c r="BM37" s="89" t="s">
        <v>173</v>
      </c>
      <c r="BN37" s="88"/>
      <c r="BO37" s="88">
        <f t="shared" si="4"/>
        <v>0</v>
      </c>
      <c r="BP37" s="88"/>
      <c r="BQ37" s="88">
        <f>GenRev!AW37-BO37</f>
        <v>0</v>
      </c>
      <c r="BR37" s="88"/>
      <c r="BS37" s="88">
        <v>0</v>
      </c>
      <c r="BT37" s="88"/>
      <c r="BU37" s="88">
        <v>0</v>
      </c>
      <c r="BV37" s="88"/>
      <c r="BW37" s="88">
        <f t="shared" si="1"/>
        <v>0</v>
      </c>
      <c r="BX37" s="88"/>
      <c r="BY37" s="90">
        <f>+BW37-GenBS!AE37</f>
        <v>0</v>
      </c>
    </row>
    <row r="38" spans="1:77" s="103" customFormat="1">
      <c r="A38" s="3" t="s">
        <v>213</v>
      </c>
      <c r="C38" s="103" t="s">
        <v>142</v>
      </c>
      <c r="E38" s="103">
        <v>51227</v>
      </c>
      <c r="G38" s="3">
        <v>2276910</v>
      </c>
      <c r="H38" s="3"/>
      <c r="I38" s="3">
        <v>11920</v>
      </c>
      <c r="J38" s="3"/>
      <c r="K38" s="3">
        <v>8672615</v>
      </c>
      <c r="L38" s="3"/>
      <c r="M38" s="3">
        <v>1262498</v>
      </c>
      <c r="N38" s="3"/>
      <c r="O38" s="3">
        <v>0</v>
      </c>
      <c r="P38" s="3"/>
      <c r="Q38" s="3">
        <v>1285310</v>
      </c>
      <c r="R38" s="3"/>
      <c r="S38" s="3">
        <v>1340654</v>
      </c>
      <c r="T38" s="3"/>
      <c r="U38" s="3">
        <v>30433</v>
      </c>
      <c r="V38" s="3"/>
      <c r="W38" s="3">
        <v>1861456</v>
      </c>
      <c r="X38" s="3"/>
      <c r="Y38" s="3">
        <v>937459</v>
      </c>
      <c r="Z38" s="3"/>
      <c r="AA38" s="3">
        <v>195344</v>
      </c>
      <c r="AB38" s="3"/>
      <c r="AC38" s="3">
        <v>2036158</v>
      </c>
      <c r="AD38" s="3" t="s">
        <v>213</v>
      </c>
      <c r="AF38" s="103" t="s">
        <v>142</v>
      </c>
      <c r="AH38" s="3">
        <v>44023</v>
      </c>
      <c r="AI38" s="3"/>
      <c r="AJ38" s="3">
        <v>669868</v>
      </c>
      <c r="AK38" s="3"/>
      <c r="AL38" s="3"/>
      <c r="AM38" s="3"/>
      <c r="AN38" s="3">
        <v>16499</v>
      </c>
      <c r="AO38" s="3"/>
      <c r="AP38" s="3">
        <v>0</v>
      </c>
      <c r="AQ38" s="3"/>
      <c r="AR38" s="3">
        <v>224778</v>
      </c>
      <c r="AS38" s="3"/>
      <c r="AT38" s="3">
        <v>5550</v>
      </c>
      <c r="AU38" s="3"/>
      <c r="AV38" s="3"/>
      <c r="AW38" s="3"/>
      <c r="AX38" s="3">
        <v>0</v>
      </c>
      <c r="AY38" s="3"/>
      <c r="AZ38" s="3">
        <v>0</v>
      </c>
      <c r="BA38" s="3"/>
      <c r="BB38" s="3">
        <f t="shared" si="3"/>
        <v>20871475</v>
      </c>
      <c r="BC38" s="3"/>
      <c r="BD38" s="3">
        <v>531480</v>
      </c>
      <c r="BE38" s="3"/>
      <c r="BF38" s="3"/>
      <c r="BG38" s="3"/>
      <c r="BH38" s="3"/>
      <c r="BI38" s="3"/>
      <c r="BJ38" s="3">
        <v>0</v>
      </c>
      <c r="BK38" s="3" t="s">
        <v>213</v>
      </c>
      <c r="BM38" s="103" t="s">
        <v>142</v>
      </c>
      <c r="BN38" s="3"/>
      <c r="BO38" s="3">
        <f t="shared" si="4"/>
        <v>21402955</v>
      </c>
      <c r="BP38" s="3"/>
      <c r="BQ38" s="3">
        <f>GenRev!AW38-BO38</f>
        <v>315111</v>
      </c>
      <c r="BR38" s="3"/>
      <c r="BS38" s="3">
        <v>4140686</v>
      </c>
      <c r="BT38" s="3"/>
      <c r="BU38" s="3">
        <v>0</v>
      </c>
      <c r="BV38" s="3"/>
      <c r="BW38" s="3">
        <f t="shared" si="1"/>
        <v>4455797</v>
      </c>
      <c r="BX38" s="3"/>
      <c r="BY38" s="16">
        <f>+BW38-GenBS!AE38</f>
        <v>0</v>
      </c>
    </row>
    <row r="39" spans="1:77" s="103" customFormat="1">
      <c r="A39" s="3" t="s">
        <v>360</v>
      </c>
      <c r="C39" s="103" t="s">
        <v>176</v>
      </c>
      <c r="E39" s="103">
        <v>51243</v>
      </c>
      <c r="G39" s="3">
        <v>1338682</v>
      </c>
      <c r="H39" s="3"/>
      <c r="I39" s="3">
        <v>0</v>
      </c>
      <c r="J39" s="3"/>
      <c r="K39" s="3">
        <v>3780526</v>
      </c>
      <c r="L39" s="3"/>
      <c r="M39" s="3">
        <v>0</v>
      </c>
      <c r="N39" s="3"/>
      <c r="O39" s="3">
        <v>0</v>
      </c>
      <c r="P39" s="3"/>
      <c r="Q39" s="3">
        <v>816223</v>
      </c>
      <c r="R39" s="3"/>
      <c r="S39" s="3">
        <v>1162556</v>
      </c>
      <c r="T39" s="3"/>
      <c r="U39" s="3">
        <v>43001</v>
      </c>
      <c r="V39" s="3"/>
      <c r="W39" s="3">
        <v>664256</v>
      </c>
      <c r="X39" s="3"/>
      <c r="Y39" s="3">
        <v>412040</v>
      </c>
      <c r="Z39" s="3"/>
      <c r="AA39" s="3">
        <v>351</v>
      </c>
      <c r="AB39" s="3"/>
      <c r="AC39" s="3">
        <v>1225602</v>
      </c>
      <c r="AD39" s="3" t="s">
        <v>360</v>
      </c>
      <c r="AF39" s="103" t="s">
        <v>176</v>
      </c>
      <c r="AH39" s="3">
        <v>39928</v>
      </c>
      <c r="AI39" s="3"/>
      <c r="AJ39" s="3">
        <v>104656</v>
      </c>
      <c r="AK39" s="3"/>
      <c r="AL39" s="3"/>
      <c r="AM39" s="3"/>
      <c r="AN39" s="3">
        <v>0</v>
      </c>
      <c r="AO39" s="3"/>
      <c r="AP39" s="3">
        <f>876+92200</f>
        <v>93076</v>
      </c>
      <c r="AQ39" s="3"/>
      <c r="AR39" s="3">
        <v>70918</v>
      </c>
      <c r="AS39" s="3"/>
      <c r="AT39" s="3">
        <v>44533</v>
      </c>
      <c r="AU39" s="3"/>
      <c r="AV39" s="3"/>
      <c r="AW39" s="3"/>
      <c r="AX39" s="3">
        <v>365000</v>
      </c>
      <c r="AY39" s="3"/>
      <c r="AZ39" s="3">
        <v>634938</v>
      </c>
      <c r="BA39" s="3"/>
      <c r="BB39" s="3">
        <f t="shared" si="3"/>
        <v>10796286</v>
      </c>
      <c r="BC39" s="3"/>
      <c r="BD39" s="3">
        <v>69541</v>
      </c>
      <c r="BE39" s="3"/>
      <c r="BF39" s="3"/>
      <c r="BG39" s="3"/>
      <c r="BH39" s="3"/>
      <c r="BI39" s="3"/>
      <c r="BJ39" s="3">
        <v>0</v>
      </c>
      <c r="BK39" s="3" t="s">
        <v>360</v>
      </c>
      <c r="BM39" s="103" t="s">
        <v>176</v>
      </c>
      <c r="BN39" s="3"/>
      <c r="BO39" s="3">
        <f t="shared" si="4"/>
        <v>10865827</v>
      </c>
      <c r="BP39" s="3"/>
      <c r="BQ39" s="3">
        <f>GenRev!AW39-BO39</f>
        <v>-81415</v>
      </c>
      <c r="BR39" s="3"/>
      <c r="BS39" s="3">
        <v>21331849</v>
      </c>
      <c r="BT39" s="3"/>
      <c r="BU39" s="3">
        <v>0</v>
      </c>
      <c r="BV39" s="3"/>
      <c r="BW39" s="3">
        <f t="shared" si="1"/>
        <v>21250434</v>
      </c>
      <c r="BX39" s="3"/>
      <c r="BY39" s="16">
        <f>+BW39-GenBS!AE39</f>
        <v>0</v>
      </c>
    </row>
    <row r="40" spans="1:77" s="103" customFormat="1">
      <c r="A40" s="3" t="s">
        <v>246</v>
      </c>
      <c r="C40" s="103" t="s">
        <v>186</v>
      </c>
      <c r="E40" s="103">
        <v>51391</v>
      </c>
      <c r="G40" s="3">
        <v>1015380</v>
      </c>
      <c r="H40" s="3"/>
      <c r="I40" s="3">
        <v>0</v>
      </c>
      <c r="J40" s="3"/>
      <c r="K40" s="3">
        <v>4070187</v>
      </c>
      <c r="L40" s="3"/>
      <c r="M40" s="3">
        <v>8191</v>
      </c>
      <c r="N40" s="3"/>
      <c r="O40" s="3">
        <v>0</v>
      </c>
      <c r="P40" s="3"/>
      <c r="Q40" s="3">
        <v>922240</v>
      </c>
      <c r="R40" s="3"/>
      <c r="S40" s="3">
        <v>484737</v>
      </c>
      <c r="T40" s="3"/>
      <c r="U40" s="3">
        <v>92882</v>
      </c>
      <c r="V40" s="3"/>
      <c r="W40" s="3">
        <v>665930</v>
      </c>
      <c r="X40" s="3"/>
      <c r="Y40" s="3">
        <v>522319</v>
      </c>
      <c r="Z40" s="3"/>
      <c r="AA40" s="3">
        <v>252429</v>
      </c>
      <c r="AB40" s="3"/>
      <c r="AC40" s="3">
        <v>1220510</v>
      </c>
      <c r="AD40" s="3" t="s">
        <v>246</v>
      </c>
      <c r="AF40" s="103" t="s">
        <v>186</v>
      </c>
      <c r="AH40" s="3">
        <v>6553</v>
      </c>
      <c r="AI40" s="3"/>
      <c r="AJ40" s="3">
        <v>411724</v>
      </c>
      <c r="AK40" s="3"/>
      <c r="AL40" s="3"/>
      <c r="AM40" s="3"/>
      <c r="AN40" s="3">
        <v>491</v>
      </c>
      <c r="AO40" s="3"/>
      <c r="AP40" s="3">
        <v>25108</v>
      </c>
      <c r="AQ40" s="3"/>
      <c r="AR40" s="3">
        <v>19932</v>
      </c>
      <c r="AS40" s="3"/>
      <c r="AT40" s="3">
        <v>641745</v>
      </c>
      <c r="AU40" s="3"/>
      <c r="AV40" s="3"/>
      <c r="AW40" s="3"/>
      <c r="AX40" s="3">
        <v>0</v>
      </c>
      <c r="AY40" s="3"/>
      <c r="AZ40" s="3">
        <v>0</v>
      </c>
      <c r="BA40" s="3"/>
      <c r="BB40" s="3">
        <f t="shared" si="3"/>
        <v>10360358</v>
      </c>
      <c r="BC40" s="3"/>
      <c r="BD40" s="3">
        <v>0</v>
      </c>
      <c r="BE40" s="3"/>
      <c r="BF40" s="3"/>
      <c r="BG40" s="3"/>
      <c r="BH40" s="3"/>
      <c r="BI40" s="3"/>
      <c r="BJ40" s="3">
        <v>0</v>
      </c>
      <c r="BK40" s="3" t="s">
        <v>246</v>
      </c>
      <c r="BM40" s="103" t="s">
        <v>186</v>
      </c>
      <c r="BN40" s="3"/>
      <c r="BO40" s="3">
        <f t="shared" si="4"/>
        <v>10360358</v>
      </c>
      <c r="BP40" s="3"/>
      <c r="BQ40" s="3">
        <f>GenRev!AW40-BO40</f>
        <v>1915193</v>
      </c>
      <c r="BR40" s="3"/>
      <c r="BS40" s="3">
        <v>20706521</v>
      </c>
      <c r="BT40" s="3"/>
      <c r="BU40" s="3">
        <v>0</v>
      </c>
      <c r="BV40" s="3"/>
      <c r="BW40" s="3">
        <f t="shared" si="1"/>
        <v>22621714</v>
      </c>
      <c r="BX40" s="3"/>
      <c r="BY40" s="16">
        <f>+BW40-GenBS!AE40</f>
        <v>0</v>
      </c>
    </row>
    <row r="41" spans="1:77" s="103" customFormat="1">
      <c r="A41" s="3" t="s">
        <v>217</v>
      </c>
      <c r="C41" s="103" t="s">
        <v>178</v>
      </c>
      <c r="E41" s="103">
        <v>62109</v>
      </c>
      <c r="G41" s="3">
        <v>2453770</v>
      </c>
      <c r="H41" s="3"/>
      <c r="I41" s="3">
        <v>537282</v>
      </c>
      <c r="J41" s="3"/>
      <c r="K41" s="3">
        <v>4654874</v>
      </c>
      <c r="L41" s="3"/>
      <c r="M41" s="3">
        <v>22616</v>
      </c>
      <c r="N41" s="3"/>
      <c r="O41" s="3">
        <v>0</v>
      </c>
      <c r="P41" s="3"/>
      <c r="Q41" s="3">
        <v>1361680</v>
      </c>
      <c r="R41" s="3"/>
      <c r="S41" s="3">
        <v>574447</v>
      </c>
      <c r="T41" s="3"/>
      <c r="U41" s="3">
        <v>33932</v>
      </c>
      <c r="V41" s="3"/>
      <c r="W41" s="3">
        <v>1745118</v>
      </c>
      <c r="X41" s="3"/>
      <c r="Y41" s="3">
        <v>546655</v>
      </c>
      <c r="Z41" s="3"/>
      <c r="AA41" s="3">
        <v>204552</v>
      </c>
      <c r="AB41" s="3"/>
      <c r="AC41" s="3">
        <v>1436184</v>
      </c>
      <c r="AD41" s="3" t="s">
        <v>217</v>
      </c>
      <c r="AF41" s="103" t="s">
        <v>178</v>
      </c>
      <c r="AH41" s="3">
        <v>31402</v>
      </c>
      <c r="AI41" s="3"/>
      <c r="AJ41" s="3">
        <v>354058</v>
      </c>
      <c r="AK41" s="3"/>
      <c r="AL41" s="3"/>
      <c r="AM41" s="3"/>
      <c r="AN41" s="3">
        <v>0</v>
      </c>
      <c r="AO41" s="3"/>
      <c r="AP41" s="3">
        <v>64311</v>
      </c>
      <c r="AQ41" s="3"/>
      <c r="AR41" s="3">
        <v>9673</v>
      </c>
      <c r="AS41" s="3"/>
      <c r="AT41" s="3">
        <v>389172</v>
      </c>
      <c r="AU41" s="3"/>
      <c r="AV41" s="3"/>
      <c r="AW41" s="3"/>
      <c r="AX41" s="3">
        <v>0</v>
      </c>
      <c r="AY41" s="3"/>
      <c r="AZ41" s="3">
        <v>0</v>
      </c>
      <c r="BA41" s="3"/>
      <c r="BB41" s="3">
        <f t="shared" si="3"/>
        <v>14419726</v>
      </c>
      <c r="BC41" s="3"/>
      <c r="BD41" s="3">
        <v>0</v>
      </c>
      <c r="BE41" s="3"/>
      <c r="BF41" s="3"/>
      <c r="BG41" s="3"/>
      <c r="BH41" s="3"/>
      <c r="BI41" s="3"/>
      <c r="BJ41" s="3">
        <v>0</v>
      </c>
      <c r="BK41" s="3" t="s">
        <v>217</v>
      </c>
      <c r="BM41" s="103" t="s">
        <v>178</v>
      </c>
      <c r="BN41" s="3"/>
      <c r="BO41" s="3">
        <f t="shared" si="4"/>
        <v>14419726</v>
      </c>
      <c r="BP41" s="3"/>
      <c r="BQ41" s="3">
        <f>GenRev!AW41-BO41</f>
        <v>1148972</v>
      </c>
      <c r="BR41" s="3"/>
      <c r="BS41" s="3">
        <v>8572285</v>
      </c>
      <c r="BT41" s="3"/>
      <c r="BU41" s="3">
        <v>0</v>
      </c>
      <c r="BV41" s="3"/>
      <c r="BW41" s="3">
        <f t="shared" si="1"/>
        <v>9721257</v>
      </c>
      <c r="BX41" s="3"/>
      <c r="BY41" s="16">
        <f>+BW41-GenBS!AE41</f>
        <v>0</v>
      </c>
    </row>
    <row r="42" spans="1:77" s="103" customFormat="1">
      <c r="A42" s="3" t="s">
        <v>361</v>
      </c>
      <c r="C42" s="103" t="s">
        <v>181</v>
      </c>
      <c r="E42" s="103">
        <v>51284</v>
      </c>
      <c r="G42" s="3">
        <v>1069780</v>
      </c>
      <c r="H42" s="3"/>
      <c r="I42" s="3">
        <v>339337</v>
      </c>
      <c r="J42" s="3"/>
      <c r="K42" s="3">
        <v>14352428</v>
      </c>
      <c r="L42" s="3"/>
      <c r="M42" s="3">
        <v>2186020</v>
      </c>
      <c r="N42" s="3"/>
      <c r="O42" s="3">
        <v>0</v>
      </c>
      <c r="P42" s="3"/>
      <c r="Q42" s="3">
        <v>1991626</v>
      </c>
      <c r="R42" s="3"/>
      <c r="S42" s="3">
        <v>1697200</v>
      </c>
      <c r="T42" s="3"/>
      <c r="U42" s="3">
        <v>0</v>
      </c>
      <c r="V42" s="3"/>
      <c r="W42" s="3">
        <f>92069+1737709</f>
        <v>1829778</v>
      </c>
      <c r="X42" s="3"/>
      <c r="Y42" s="3">
        <v>905284</v>
      </c>
      <c r="Z42" s="3"/>
      <c r="AA42" s="3">
        <v>680648</v>
      </c>
      <c r="AB42" s="3"/>
      <c r="AC42" s="3">
        <v>3068304</v>
      </c>
      <c r="AD42" s="3" t="s">
        <v>361</v>
      </c>
      <c r="AF42" s="103" t="s">
        <v>181</v>
      </c>
      <c r="AH42" s="3">
        <v>105986</v>
      </c>
      <c r="AI42" s="3"/>
      <c r="AJ42" s="3">
        <v>2424413</v>
      </c>
      <c r="AK42" s="3"/>
      <c r="AL42" s="3"/>
      <c r="AM42" s="3"/>
      <c r="AN42" s="3">
        <v>0</v>
      </c>
      <c r="AO42" s="3"/>
      <c r="AP42" s="3">
        <v>0</v>
      </c>
      <c r="AQ42" s="3"/>
      <c r="AR42" s="3">
        <v>32045</v>
      </c>
      <c r="AS42" s="3"/>
      <c r="AT42" s="3">
        <v>0</v>
      </c>
      <c r="AU42" s="3"/>
      <c r="AV42" s="3"/>
      <c r="AW42" s="3"/>
      <c r="AX42" s="3">
        <v>0</v>
      </c>
      <c r="AY42" s="3"/>
      <c r="AZ42" s="3">
        <v>0</v>
      </c>
      <c r="BA42" s="3"/>
      <c r="BB42" s="3">
        <f t="shared" si="3"/>
        <v>30682849</v>
      </c>
      <c r="BC42" s="3"/>
      <c r="BD42" s="3">
        <v>1345445</v>
      </c>
      <c r="BE42" s="3"/>
      <c r="BF42" s="3"/>
      <c r="BG42" s="3"/>
      <c r="BH42" s="3"/>
      <c r="BI42" s="3"/>
      <c r="BJ42" s="3">
        <v>0</v>
      </c>
      <c r="BK42" s="3" t="s">
        <v>361</v>
      </c>
      <c r="BM42" s="103" t="s">
        <v>181</v>
      </c>
      <c r="BN42" s="3"/>
      <c r="BO42" s="3">
        <f t="shared" si="4"/>
        <v>32028294</v>
      </c>
      <c r="BP42" s="3"/>
      <c r="BQ42" s="3">
        <f>GenRev!AW42-BO42</f>
        <v>884935</v>
      </c>
      <c r="BR42" s="3"/>
      <c r="BS42" s="3">
        <v>3073803</v>
      </c>
      <c r="BT42" s="3"/>
      <c r="BU42" s="3">
        <v>0</v>
      </c>
      <c r="BV42" s="3"/>
      <c r="BW42" s="3">
        <f t="shared" si="1"/>
        <v>3958738</v>
      </c>
      <c r="BX42" s="3"/>
      <c r="BY42" s="16">
        <f>+BW42-GenBS!AE42</f>
        <v>0</v>
      </c>
    </row>
    <row r="43" spans="1:77" s="103" customFormat="1">
      <c r="A43" s="3" t="s">
        <v>362</v>
      </c>
      <c r="C43" s="103" t="s">
        <v>183</v>
      </c>
      <c r="E43" s="103">
        <v>51300</v>
      </c>
      <c r="G43" s="3">
        <v>1929490</v>
      </c>
      <c r="H43" s="3"/>
      <c r="I43" s="3">
        <v>0</v>
      </c>
      <c r="J43" s="3"/>
      <c r="K43" s="3">
        <v>6104286</v>
      </c>
      <c r="L43" s="3"/>
      <c r="M43" s="3">
        <v>35060</v>
      </c>
      <c r="N43" s="3"/>
      <c r="O43" s="3">
        <v>0</v>
      </c>
      <c r="P43" s="3"/>
      <c r="Q43" s="3">
        <v>823075</v>
      </c>
      <c r="R43" s="3"/>
      <c r="S43" s="3">
        <v>188522</v>
      </c>
      <c r="T43" s="3"/>
      <c r="U43" s="3">
        <v>69234</v>
      </c>
      <c r="V43" s="3"/>
      <c r="W43" s="3">
        <v>1467914</v>
      </c>
      <c r="X43" s="3"/>
      <c r="Y43" s="3">
        <v>595841</v>
      </c>
      <c r="Z43" s="3"/>
      <c r="AA43" s="3">
        <v>191395</v>
      </c>
      <c r="AB43" s="3"/>
      <c r="AC43" s="3">
        <v>1054113</v>
      </c>
      <c r="AD43" s="3" t="s">
        <v>362</v>
      </c>
      <c r="AF43" s="103" t="s">
        <v>183</v>
      </c>
      <c r="AH43" s="3">
        <v>100482</v>
      </c>
      <c r="AI43" s="3"/>
      <c r="AJ43" s="3">
        <v>429675</v>
      </c>
      <c r="AK43" s="3"/>
      <c r="AL43" s="3"/>
      <c r="AM43" s="3"/>
      <c r="AN43" s="3">
        <v>326</v>
      </c>
      <c r="AO43" s="3"/>
      <c r="AP43" s="3">
        <v>4273</v>
      </c>
      <c r="AQ43" s="3"/>
      <c r="AR43" s="3">
        <v>101183</v>
      </c>
      <c r="AS43" s="3"/>
      <c r="AT43" s="3">
        <v>13143</v>
      </c>
      <c r="AU43" s="3"/>
      <c r="AV43" s="3"/>
      <c r="AW43" s="3"/>
      <c r="AX43" s="3">
        <v>16758</v>
      </c>
      <c r="AY43" s="3"/>
      <c r="AZ43" s="3">
        <v>3327</v>
      </c>
      <c r="BA43" s="3"/>
      <c r="BB43" s="3">
        <f t="shared" si="3"/>
        <v>13128097</v>
      </c>
      <c r="BC43" s="3"/>
      <c r="BD43" s="3">
        <v>1000000</v>
      </c>
      <c r="BE43" s="3"/>
      <c r="BF43" s="3"/>
      <c r="BG43" s="3"/>
      <c r="BH43" s="3"/>
      <c r="BI43" s="3"/>
      <c r="BJ43" s="3">
        <v>0</v>
      </c>
      <c r="BK43" s="3" t="s">
        <v>362</v>
      </c>
      <c r="BM43" s="103" t="s">
        <v>183</v>
      </c>
      <c r="BN43" s="3"/>
      <c r="BO43" s="3">
        <f t="shared" si="4"/>
        <v>14128097</v>
      </c>
      <c r="BP43" s="3"/>
      <c r="BQ43" s="3">
        <f>GenRev!AW43-BO43</f>
        <v>1896217</v>
      </c>
      <c r="BR43" s="3"/>
      <c r="BS43" s="3">
        <v>12710232</v>
      </c>
      <c r="BT43" s="3"/>
      <c r="BU43" s="3">
        <v>0</v>
      </c>
      <c r="BV43" s="3"/>
      <c r="BW43" s="3">
        <f t="shared" si="1"/>
        <v>14606449</v>
      </c>
      <c r="BX43" s="3"/>
      <c r="BY43" s="16">
        <f>+BW43-GenBS!AE43</f>
        <v>0</v>
      </c>
    </row>
    <row r="44" spans="1:77" s="103" customFormat="1">
      <c r="A44" s="3" t="s">
        <v>212</v>
      </c>
      <c r="C44" s="103" t="s">
        <v>174</v>
      </c>
      <c r="E44" s="103">
        <v>51334</v>
      </c>
      <c r="G44" s="3">
        <v>894997</v>
      </c>
      <c r="H44" s="3"/>
      <c r="I44" s="3">
        <v>516144</v>
      </c>
      <c r="J44" s="3"/>
      <c r="K44" s="3">
        <v>4367385</v>
      </c>
      <c r="L44" s="3"/>
      <c r="M44" s="3">
        <v>763624</v>
      </c>
      <c r="N44" s="3"/>
      <c r="O44" s="3">
        <v>0</v>
      </c>
      <c r="P44" s="3"/>
      <c r="Q44" s="3">
        <v>642850</v>
      </c>
      <c r="R44" s="3"/>
      <c r="S44" s="3">
        <v>370193</v>
      </c>
      <c r="T44" s="3"/>
      <c r="U44" s="3">
        <v>0</v>
      </c>
      <c r="V44" s="3"/>
      <c r="W44" s="3">
        <f>41649+829338</f>
        <v>870987</v>
      </c>
      <c r="X44" s="3"/>
      <c r="Y44" s="3">
        <v>270730</v>
      </c>
      <c r="Z44" s="3"/>
      <c r="AA44" s="3">
        <v>816448</v>
      </c>
      <c r="AB44" s="3"/>
      <c r="AC44" s="3">
        <v>1273857</v>
      </c>
      <c r="AD44" s="3" t="s">
        <v>212</v>
      </c>
      <c r="AF44" s="103" t="s">
        <v>174</v>
      </c>
      <c r="AH44" s="3">
        <v>32537</v>
      </c>
      <c r="AI44" s="3"/>
      <c r="AJ44" s="3">
        <v>595110</v>
      </c>
      <c r="AK44" s="3"/>
      <c r="AL44" s="3"/>
      <c r="AM44" s="3"/>
      <c r="AN44" s="3">
        <v>0</v>
      </c>
      <c r="AO44" s="3"/>
      <c r="AP44" s="3">
        <v>0</v>
      </c>
      <c r="AQ44" s="3"/>
      <c r="AR44" s="3">
        <v>0</v>
      </c>
      <c r="AS44" s="3"/>
      <c r="AT44" s="3">
        <v>0</v>
      </c>
      <c r="AU44" s="3"/>
      <c r="AV44" s="3"/>
      <c r="AW44" s="3"/>
      <c r="AX44" s="3">
        <v>158817</v>
      </c>
      <c r="AY44" s="3"/>
      <c r="AZ44" s="3">
        <v>18128</v>
      </c>
      <c r="BA44" s="3"/>
      <c r="BB44" s="3">
        <f t="shared" si="3"/>
        <v>11591807</v>
      </c>
      <c r="BC44" s="3"/>
      <c r="BD44" s="3">
        <v>200000</v>
      </c>
      <c r="BE44" s="3"/>
      <c r="BF44" s="3"/>
      <c r="BG44" s="3"/>
      <c r="BH44" s="3"/>
      <c r="BI44" s="3"/>
      <c r="BJ44" s="3">
        <v>0</v>
      </c>
      <c r="BK44" s="3" t="s">
        <v>212</v>
      </c>
      <c r="BM44" s="103" t="s">
        <v>174</v>
      </c>
      <c r="BN44" s="3"/>
      <c r="BO44" s="3">
        <f t="shared" si="4"/>
        <v>11791807</v>
      </c>
      <c r="BP44" s="3"/>
      <c r="BQ44" s="3">
        <f>GenRev!AW44-BO44</f>
        <v>1091324</v>
      </c>
      <c r="BR44" s="3"/>
      <c r="BS44" s="3">
        <v>8041927</v>
      </c>
      <c r="BT44" s="3"/>
      <c r="BU44" s="3">
        <v>0</v>
      </c>
      <c r="BV44" s="3"/>
      <c r="BW44" s="3">
        <f t="shared" si="1"/>
        <v>9133251</v>
      </c>
      <c r="BX44" s="3"/>
      <c r="BY44" s="16">
        <f>+BW44-GenBS!AE44</f>
        <v>0</v>
      </c>
    </row>
    <row r="45" spans="1:77" s="103" customFormat="1">
      <c r="A45" s="3" t="s">
        <v>322</v>
      </c>
      <c r="C45" s="103" t="s">
        <v>204</v>
      </c>
      <c r="E45" s="103">
        <v>51359</v>
      </c>
      <c r="G45" s="3">
        <v>0</v>
      </c>
      <c r="H45" s="3"/>
      <c r="I45" s="3">
        <v>881353</v>
      </c>
      <c r="J45" s="3"/>
      <c r="K45" s="3">
        <v>14830720</v>
      </c>
      <c r="L45" s="3"/>
      <c r="M45" s="3">
        <v>57070</v>
      </c>
      <c r="N45" s="3"/>
      <c r="O45" s="3">
        <v>577715</v>
      </c>
      <c r="P45" s="3"/>
      <c r="Q45" s="3">
        <v>2236240</v>
      </c>
      <c r="R45" s="3"/>
      <c r="S45" s="3">
        <v>2208255</v>
      </c>
      <c r="T45" s="3"/>
      <c r="U45" s="3">
        <v>46694</v>
      </c>
      <c r="V45" s="3"/>
      <c r="W45" s="3">
        <v>888851</v>
      </c>
      <c r="X45" s="3"/>
      <c r="Y45" s="3">
        <v>556515</v>
      </c>
      <c r="Z45" s="3"/>
      <c r="AA45" s="3">
        <v>0</v>
      </c>
      <c r="AB45" s="3"/>
      <c r="AC45" s="3">
        <v>2300026</v>
      </c>
      <c r="AD45" s="3" t="s">
        <v>322</v>
      </c>
      <c r="AF45" s="103" t="s">
        <v>204</v>
      </c>
      <c r="AH45" s="3">
        <v>0</v>
      </c>
      <c r="AI45" s="3"/>
      <c r="AJ45" s="3">
        <v>346934</v>
      </c>
      <c r="AK45" s="3"/>
      <c r="AL45" s="3"/>
      <c r="AM45" s="3"/>
      <c r="AN45" s="3">
        <v>0</v>
      </c>
      <c r="AO45" s="3"/>
      <c r="AP45" s="3">
        <v>343544</v>
      </c>
      <c r="AQ45" s="3"/>
      <c r="AR45" s="3">
        <v>303413</v>
      </c>
      <c r="AS45" s="3"/>
      <c r="AT45" s="3">
        <v>258558</v>
      </c>
      <c r="AU45" s="3"/>
      <c r="AV45" s="3"/>
      <c r="AW45" s="3"/>
      <c r="AX45" s="3">
        <v>50339</v>
      </c>
      <c r="AY45" s="3"/>
      <c r="AZ45" s="3">
        <v>10599</v>
      </c>
      <c r="BA45" s="3"/>
      <c r="BB45" s="3">
        <f t="shared" si="3"/>
        <v>25896826</v>
      </c>
      <c r="BC45" s="3"/>
      <c r="BD45" s="3">
        <v>0</v>
      </c>
      <c r="BE45" s="3"/>
      <c r="BF45" s="3"/>
      <c r="BG45" s="3"/>
      <c r="BH45" s="3"/>
      <c r="BI45" s="3"/>
      <c r="BJ45" s="3">
        <v>0</v>
      </c>
      <c r="BK45" s="3" t="s">
        <v>322</v>
      </c>
      <c r="BM45" s="103" t="s">
        <v>204</v>
      </c>
      <c r="BN45" s="3"/>
      <c r="BO45" s="3">
        <f t="shared" si="4"/>
        <v>25896826</v>
      </c>
      <c r="BP45" s="3"/>
      <c r="BQ45" s="3">
        <f>GenRev!AW45-BO45</f>
        <v>1455778</v>
      </c>
      <c r="BR45" s="3"/>
      <c r="BS45" s="3">
        <v>7194763</v>
      </c>
      <c r="BT45" s="3"/>
      <c r="BU45" s="3">
        <v>0</v>
      </c>
      <c r="BV45" s="3"/>
      <c r="BW45" s="3">
        <f t="shared" si="1"/>
        <v>8650541</v>
      </c>
      <c r="BX45" s="3"/>
      <c r="BY45" s="16">
        <f>+BW45-GenBS!AE45</f>
        <v>0</v>
      </c>
    </row>
    <row r="46" spans="1:77" s="103" customFormat="1">
      <c r="A46" s="3" t="s">
        <v>363</v>
      </c>
      <c r="C46" s="103" t="s">
        <v>190</v>
      </c>
      <c r="E46" s="103">
        <v>51433</v>
      </c>
      <c r="G46" s="3">
        <v>1035469</v>
      </c>
      <c r="H46" s="3"/>
      <c r="I46" s="3">
        <v>0</v>
      </c>
      <c r="J46" s="3"/>
      <c r="K46" s="3">
        <v>9059615</v>
      </c>
      <c r="L46" s="3"/>
      <c r="M46" s="3">
        <v>0</v>
      </c>
      <c r="N46" s="3"/>
      <c r="O46" s="3">
        <v>0</v>
      </c>
      <c r="P46" s="3"/>
      <c r="Q46" s="3">
        <v>627791</v>
      </c>
      <c r="R46" s="3"/>
      <c r="S46" s="3">
        <v>895678</v>
      </c>
      <c r="T46" s="3"/>
      <c r="U46" s="3">
        <v>18033</v>
      </c>
      <c r="V46" s="3"/>
      <c r="W46" s="3">
        <v>328963</v>
      </c>
      <c r="X46" s="3"/>
      <c r="Y46" s="3">
        <v>531401</v>
      </c>
      <c r="Z46" s="3"/>
      <c r="AA46" s="3">
        <v>0</v>
      </c>
      <c r="AB46" s="3"/>
      <c r="AC46" s="3">
        <v>1105454</v>
      </c>
      <c r="AD46" s="3" t="s">
        <v>363</v>
      </c>
      <c r="AF46" s="103" t="s">
        <v>190</v>
      </c>
      <c r="AH46" s="3">
        <v>261</v>
      </c>
      <c r="AI46" s="3"/>
      <c r="AJ46" s="3">
        <v>100458</v>
      </c>
      <c r="AK46" s="3"/>
      <c r="AL46" s="3"/>
      <c r="AM46" s="3"/>
      <c r="AN46" s="3">
        <v>0</v>
      </c>
      <c r="AO46" s="3"/>
      <c r="AP46" s="3">
        <v>0</v>
      </c>
      <c r="AQ46" s="3"/>
      <c r="AR46" s="3">
        <v>25910</v>
      </c>
      <c r="AS46" s="3"/>
      <c r="AT46" s="3">
        <v>411852</v>
      </c>
      <c r="AU46" s="3"/>
      <c r="AV46" s="3"/>
      <c r="AW46" s="3"/>
      <c r="AX46" s="3">
        <v>354280</v>
      </c>
      <c r="AY46" s="3"/>
      <c r="AZ46" s="3">
        <v>18112</v>
      </c>
      <c r="BA46" s="3"/>
      <c r="BB46" s="3">
        <f t="shared" si="3"/>
        <v>14513277</v>
      </c>
      <c r="BC46" s="3"/>
      <c r="BD46" s="3">
        <v>338216</v>
      </c>
      <c r="BE46" s="3"/>
      <c r="BF46" s="3"/>
      <c r="BG46" s="3"/>
      <c r="BH46" s="3"/>
      <c r="BI46" s="3"/>
      <c r="BJ46" s="3">
        <v>0</v>
      </c>
      <c r="BK46" s="3" t="s">
        <v>363</v>
      </c>
      <c r="BM46" s="103" t="s">
        <v>190</v>
      </c>
      <c r="BN46" s="3"/>
      <c r="BO46" s="3">
        <f t="shared" si="4"/>
        <v>14851493</v>
      </c>
      <c r="BP46" s="3"/>
      <c r="BQ46" s="3">
        <f>GenRev!AW46-BO46</f>
        <v>898604</v>
      </c>
      <c r="BR46" s="3"/>
      <c r="BS46" s="3">
        <v>7710055</v>
      </c>
      <c r="BT46" s="3"/>
      <c r="BU46" s="3">
        <v>0</v>
      </c>
      <c r="BV46" s="3"/>
      <c r="BW46" s="3">
        <f t="shared" si="1"/>
        <v>8608659</v>
      </c>
      <c r="BX46" s="3"/>
      <c r="BY46" s="16">
        <f>+BW46-GenBS!AE46</f>
        <v>0</v>
      </c>
    </row>
    <row r="47" spans="1:77" s="103" customFormat="1">
      <c r="A47" s="3" t="s">
        <v>247</v>
      </c>
      <c r="C47" s="103" t="s">
        <v>218</v>
      </c>
      <c r="E47" s="103">
        <v>51375</v>
      </c>
      <c r="G47" s="3">
        <v>0</v>
      </c>
      <c r="H47" s="3"/>
      <c r="I47" s="3">
        <v>92026</v>
      </c>
      <c r="J47" s="3"/>
      <c r="K47" s="3">
        <v>3404808</v>
      </c>
      <c r="L47" s="3"/>
      <c r="M47" s="3">
        <v>0</v>
      </c>
      <c r="N47" s="3"/>
      <c r="O47" s="3">
        <v>0</v>
      </c>
      <c r="P47" s="3"/>
      <c r="Q47" s="3">
        <v>297982</v>
      </c>
      <c r="R47" s="3"/>
      <c r="S47" s="3">
        <v>238532</v>
      </c>
      <c r="T47" s="3"/>
      <c r="U47" s="3">
        <v>89278</v>
      </c>
      <c r="V47" s="3"/>
      <c r="W47" s="3">
        <v>387269</v>
      </c>
      <c r="X47" s="3"/>
      <c r="Y47" s="3">
        <v>359196</v>
      </c>
      <c r="Z47" s="3"/>
      <c r="AA47" s="3">
        <v>0</v>
      </c>
      <c r="AB47" s="3"/>
      <c r="AC47" s="3">
        <v>434198</v>
      </c>
      <c r="AD47" s="3" t="s">
        <v>247</v>
      </c>
      <c r="AF47" s="103" t="s">
        <v>218</v>
      </c>
      <c r="AH47" s="3">
        <v>15502</v>
      </c>
      <c r="AI47" s="3"/>
      <c r="AJ47" s="3">
        <v>96784</v>
      </c>
      <c r="AK47" s="3"/>
      <c r="AL47" s="3"/>
      <c r="AM47" s="3"/>
      <c r="AN47" s="3">
        <v>0</v>
      </c>
      <c r="AO47" s="3"/>
      <c r="AP47" s="3">
        <f>70301+6035</f>
        <v>76336</v>
      </c>
      <c r="AQ47" s="3"/>
      <c r="AR47" s="3">
        <v>700</v>
      </c>
      <c r="AS47" s="3"/>
      <c r="AT47" s="3">
        <v>6715</v>
      </c>
      <c r="AU47" s="3"/>
      <c r="AV47" s="3"/>
      <c r="AW47" s="3"/>
      <c r="AX47" s="3">
        <v>54890</v>
      </c>
      <c r="AY47" s="3"/>
      <c r="AZ47" s="3">
        <v>2820</v>
      </c>
      <c r="BA47" s="3"/>
      <c r="BB47" s="3">
        <f t="shared" si="3"/>
        <v>5557036</v>
      </c>
      <c r="BC47" s="3"/>
      <c r="BD47" s="3">
        <v>0</v>
      </c>
      <c r="BE47" s="3"/>
      <c r="BF47" s="3"/>
      <c r="BG47" s="3"/>
      <c r="BH47" s="3"/>
      <c r="BI47" s="3"/>
      <c r="BJ47" s="3">
        <v>0</v>
      </c>
      <c r="BK47" s="3" t="s">
        <v>247</v>
      </c>
      <c r="BM47" s="103" t="s">
        <v>218</v>
      </c>
      <c r="BN47" s="3"/>
      <c r="BO47" s="3">
        <f t="shared" si="4"/>
        <v>5557036</v>
      </c>
      <c r="BP47" s="3"/>
      <c r="BQ47" s="3">
        <f>GenRev!AW47-BO47</f>
        <v>168683</v>
      </c>
      <c r="BR47" s="3"/>
      <c r="BS47" s="3">
        <v>3544062</v>
      </c>
      <c r="BT47" s="3"/>
      <c r="BU47" s="3">
        <v>0</v>
      </c>
      <c r="BV47" s="3"/>
      <c r="BW47" s="3">
        <f t="shared" si="1"/>
        <v>3712745</v>
      </c>
      <c r="BX47" s="3"/>
      <c r="BY47" s="16">
        <f>+BW47-GenBS!AE47</f>
        <v>0</v>
      </c>
    </row>
    <row r="48" spans="1:77" s="103" customFormat="1">
      <c r="A48" s="3" t="s">
        <v>364</v>
      </c>
      <c r="C48" s="103" t="s">
        <v>189</v>
      </c>
      <c r="E48" s="103">
        <v>51417</v>
      </c>
      <c r="G48" s="3">
        <v>864429</v>
      </c>
      <c r="H48" s="3"/>
      <c r="I48" s="3">
        <v>437372</v>
      </c>
      <c r="J48" s="3"/>
      <c r="K48" s="3">
        <v>8940790</v>
      </c>
      <c r="L48" s="3"/>
      <c r="M48" s="3">
        <v>0</v>
      </c>
      <c r="N48" s="3"/>
      <c r="O48" s="3">
        <v>0</v>
      </c>
      <c r="P48" s="3"/>
      <c r="Q48" s="3">
        <v>913992</v>
      </c>
      <c r="R48" s="3"/>
      <c r="S48" s="3">
        <v>886226</v>
      </c>
      <c r="T48" s="3"/>
      <c r="U48" s="3">
        <v>69120</v>
      </c>
      <c r="V48" s="3"/>
      <c r="W48" s="3">
        <v>1026077</v>
      </c>
      <c r="X48" s="3"/>
      <c r="Y48" s="3">
        <v>383083</v>
      </c>
      <c r="Z48" s="3"/>
      <c r="AA48" s="3">
        <v>191535</v>
      </c>
      <c r="AB48" s="3"/>
      <c r="AC48" s="3">
        <v>823517</v>
      </c>
      <c r="AD48" s="3" t="s">
        <v>364</v>
      </c>
      <c r="AF48" s="103" t="s">
        <v>189</v>
      </c>
      <c r="AH48" s="3">
        <v>1725</v>
      </c>
      <c r="AI48" s="3"/>
      <c r="AJ48" s="3">
        <v>129633</v>
      </c>
      <c r="AK48" s="3"/>
      <c r="AL48" s="3"/>
      <c r="AM48" s="3"/>
      <c r="AN48" s="3">
        <v>0</v>
      </c>
      <c r="AO48" s="3"/>
      <c r="AP48" s="3">
        <v>1699</v>
      </c>
      <c r="AQ48" s="3"/>
      <c r="AR48" s="3">
        <v>88030</v>
      </c>
      <c r="AS48" s="3"/>
      <c r="AT48" s="3">
        <v>0</v>
      </c>
      <c r="AU48" s="3"/>
      <c r="AV48" s="3"/>
      <c r="AW48" s="3"/>
      <c r="AX48" s="3">
        <v>339237</v>
      </c>
      <c r="AY48" s="3"/>
      <c r="AZ48" s="3">
        <v>554014</v>
      </c>
      <c r="BA48" s="3"/>
      <c r="BB48" s="3">
        <f t="shared" si="3"/>
        <v>15650479</v>
      </c>
      <c r="BC48" s="3"/>
      <c r="BD48" s="3">
        <v>501302</v>
      </c>
      <c r="BE48" s="3"/>
      <c r="BF48" s="3"/>
      <c r="BG48" s="3"/>
      <c r="BH48" s="3"/>
      <c r="BI48" s="3"/>
      <c r="BJ48" s="3">
        <v>0</v>
      </c>
      <c r="BK48" s="3" t="s">
        <v>364</v>
      </c>
      <c r="BM48" s="103" t="s">
        <v>189</v>
      </c>
      <c r="BN48" s="3"/>
      <c r="BO48" s="3">
        <f t="shared" si="4"/>
        <v>16151781</v>
      </c>
      <c r="BP48" s="3"/>
      <c r="BQ48" s="3">
        <f>GenRev!AW48-BO48</f>
        <v>-916103</v>
      </c>
      <c r="BR48" s="3"/>
      <c r="BS48" s="3">
        <v>9389160</v>
      </c>
      <c r="BT48" s="3"/>
      <c r="BU48" s="3">
        <v>2426</v>
      </c>
      <c r="BV48" s="3"/>
      <c r="BW48" s="3">
        <f t="shared" si="1"/>
        <v>8475483</v>
      </c>
      <c r="BX48" s="3"/>
      <c r="BY48" s="16">
        <f>+BW48-GenBS!AE48</f>
        <v>0</v>
      </c>
    </row>
    <row r="49" spans="1:77" s="103" customFormat="1">
      <c r="A49" s="3" t="s">
        <v>248</v>
      </c>
      <c r="C49" s="103" t="s">
        <v>157</v>
      </c>
      <c r="E49" s="103">
        <v>50948</v>
      </c>
      <c r="G49" s="3">
        <v>0</v>
      </c>
      <c r="H49" s="3"/>
      <c r="I49" s="3">
        <v>0</v>
      </c>
      <c r="J49" s="3"/>
      <c r="K49" s="3">
        <v>5655993</v>
      </c>
      <c r="L49" s="3"/>
      <c r="M49" s="3">
        <v>0</v>
      </c>
      <c r="N49" s="3"/>
      <c r="O49" s="3">
        <v>0</v>
      </c>
      <c r="P49" s="3"/>
      <c r="Q49" s="3">
        <v>1727780</v>
      </c>
      <c r="R49" s="3"/>
      <c r="S49" s="3">
        <v>1332426</v>
      </c>
      <c r="T49" s="3"/>
      <c r="U49" s="3">
        <v>188568</v>
      </c>
      <c r="V49" s="3"/>
      <c r="W49" s="3">
        <v>774654</v>
      </c>
      <c r="X49" s="3"/>
      <c r="Y49" s="3">
        <v>657886</v>
      </c>
      <c r="Z49" s="3"/>
      <c r="AA49" s="3">
        <v>116904</v>
      </c>
      <c r="AB49" s="3"/>
      <c r="AC49" s="3">
        <v>1405933</v>
      </c>
      <c r="AD49" s="3" t="s">
        <v>248</v>
      </c>
      <c r="AF49" s="103" t="s">
        <v>157</v>
      </c>
      <c r="AH49" s="3">
        <v>22259</v>
      </c>
      <c r="AI49" s="3"/>
      <c r="AJ49" s="3">
        <v>1242976</v>
      </c>
      <c r="AK49" s="3"/>
      <c r="AL49" s="3"/>
      <c r="AM49" s="3"/>
      <c r="AN49" s="3">
        <v>0</v>
      </c>
      <c r="AO49" s="3"/>
      <c r="AP49" s="3">
        <v>0</v>
      </c>
      <c r="AQ49" s="3"/>
      <c r="AR49" s="3">
        <v>44807</v>
      </c>
      <c r="AS49" s="3"/>
      <c r="AT49" s="3">
        <v>195303</v>
      </c>
      <c r="AU49" s="3"/>
      <c r="AV49" s="3"/>
      <c r="AW49" s="3"/>
      <c r="AX49" s="3">
        <v>300544</v>
      </c>
      <c r="AY49" s="3"/>
      <c r="AZ49" s="3">
        <v>92652</v>
      </c>
      <c r="BA49" s="3"/>
      <c r="BB49" s="3">
        <f t="shared" si="3"/>
        <v>13758685</v>
      </c>
      <c r="BC49" s="3"/>
      <c r="BD49" s="3">
        <v>2396</v>
      </c>
      <c r="BE49" s="3"/>
      <c r="BF49" s="3"/>
      <c r="BG49" s="3"/>
      <c r="BH49" s="3"/>
      <c r="BI49" s="3"/>
      <c r="BJ49" s="3">
        <v>0</v>
      </c>
      <c r="BK49" s="3" t="s">
        <v>248</v>
      </c>
      <c r="BM49" s="103" t="s">
        <v>157</v>
      </c>
      <c r="BN49" s="3"/>
      <c r="BO49" s="3">
        <f t="shared" si="4"/>
        <v>13761081</v>
      </c>
      <c r="BP49" s="3"/>
      <c r="BQ49" s="3">
        <f>GenRev!AW49-BO49</f>
        <v>-441302</v>
      </c>
      <c r="BR49" s="3"/>
      <c r="BS49" s="3">
        <v>9218032</v>
      </c>
      <c r="BT49" s="3"/>
      <c r="BU49" s="3">
        <v>0</v>
      </c>
      <c r="BV49" s="3"/>
      <c r="BW49" s="3">
        <f t="shared" si="1"/>
        <v>8776730</v>
      </c>
      <c r="BX49" s="3"/>
      <c r="BY49" s="16">
        <f>+BW49-GenBS!AE49</f>
        <v>0</v>
      </c>
    </row>
    <row r="50" spans="1:77" s="103" customFormat="1">
      <c r="A50" s="3" t="s">
        <v>249</v>
      </c>
      <c r="C50" s="103" t="s">
        <v>196</v>
      </c>
      <c r="E50" s="103">
        <v>63495</v>
      </c>
      <c r="G50" s="3">
        <v>464668</v>
      </c>
      <c r="H50" s="3"/>
      <c r="I50" s="3">
        <v>301212</v>
      </c>
      <c r="J50" s="3"/>
      <c r="K50" s="3">
        <v>3389637</v>
      </c>
      <c r="L50" s="3"/>
      <c r="M50" s="3">
        <v>1377</v>
      </c>
      <c r="N50" s="3"/>
      <c r="O50" s="3">
        <v>6946</v>
      </c>
      <c r="P50" s="3"/>
      <c r="Q50" s="3">
        <v>234179</v>
      </c>
      <c r="R50" s="3"/>
      <c r="S50" s="3">
        <v>267727</v>
      </c>
      <c r="T50" s="3"/>
      <c r="U50" s="3">
        <v>20066</v>
      </c>
      <c r="V50" s="3"/>
      <c r="W50" s="3">
        <v>710048</v>
      </c>
      <c r="X50" s="3"/>
      <c r="Y50" s="3">
        <v>409151</v>
      </c>
      <c r="Z50" s="3"/>
      <c r="AA50" s="3">
        <v>0</v>
      </c>
      <c r="AB50" s="3"/>
      <c r="AC50" s="3">
        <v>490114</v>
      </c>
      <c r="AD50" s="3" t="s">
        <v>249</v>
      </c>
      <c r="AF50" s="103" t="s">
        <v>196</v>
      </c>
      <c r="AH50" s="3">
        <v>53905</v>
      </c>
      <c r="AI50" s="3"/>
      <c r="AJ50" s="3">
        <v>95228</v>
      </c>
      <c r="AK50" s="3"/>
      <c r="AL50" s="3"/>
      <c r="AM50" s="3"/>
      <c r="AN50" s="3">
        <v>0</v>
      </c>
      <c r="AO50" s="3"/>
      <c r="AP50" s="3">
        <v>3839</v>
      </c>
      <c r="AQ50" s="3"/>
      <c r="AR50" s="3">
        <v>43953</v>
      </c>
      <c r="AS50" s="3"/>
      <c r="AT50" s="3">
        <v>1532123</v>
      </c>
      <c r="AU50" s="3"/>
      <c r="AV50" s="3"/>
      <c r="AW50" s="3"/>
      <c r="AX50" s="3">
        <v>0</v>
      </c>
      <c r="AY50" s="3"/>
      <c r="AZ50" s="3">
        <v>0</v>
      </c>
      <c r="BA50" s="3"/>
      <c r="BB50" s="3">
        <f t="shared" si="3"/>
        <v>8024173</v>
      </c>
      <c r="BC50" s="3"/>
      <c r="BD50" s="3">
        <v>33333</v>
      </c>
      <c r="BE50" s="3"/>
      <c r="BF50" s="3"/>
      <c r="BG50" s="3"/>
      <c r="BH50" s="3"/>
      <c r="BI50" s="3"/>
      <c r="BJ50" s="3">
        <v>0</v>
      </c>
      <c r="BK50" s="3" t="s">
        <v>249</v>
      </c>
      <c r="BM50" s="103" t="s">
        <v>196</v>
      </c>
      <c r="BN50" s="3"/>
      <c r="BO50" s="3">
        <f t="shared" si="4"/>
        <v>8057506</v>
      </c>
      <c r="BP50" s="3"/>
      <c r="BQ50" s="3">
        <f>GenRev!AW50-BO50</f>
        <v>-1621203</v>
      </c>
      <c r="BR50" s="3"/>
      <c r="BS50" s="3">
        <v>11340473</v>
      </c>
      <c r="BT50" s="3"/>
      <c r="BU50" s="3">
        <v>0</v>
      </c>
      <c r="BV50" s="3"/>
      <c r="BW50" s="3">
        <f t="shared" si="1"/>
        <v>9719270</v>
      </c>
      <c r="BX50" s="3"/>
      <c r="BY50" s="16">
        <f>+BW50-GenBS!AE50</f>
        <v>0</v>
      </c>
    </row>
    <row r="51" spans="1:77" s="103" customFormat="1">
      <c r="A51" s="3" t="s">
        <v>383</v>
      </c>
      <c r="C51" s="103" t="s">
        <v>192</v>
      </c>
      <c r="E51" s="103">
        <v>51490</v>
      </c>
      <c r="G51" s="3">
        <v>0</v>
      </c>
      <c r="H51" s="3"/>
      <c r="I51" s="3">
        <v>65808</v>
      </c>
      <c r="J51" s="3"/>
      <c r="K51" s="3">
        <v>3477727</v>
      </c>
      <c r="L51" s="3"/>
      <c r="M51" s="3">
        <v>463</v>
      </c>
      <c r="N51" s="3"/>
      <c r="O51" s="3">
        <v>116451</v>
      </c>
      <c r="P51" s="3"/>
      <c r="Q51" s="3">
        <v>394970</v>
      </c>
      <c r="R51" s="3"/>
      <c r="S51" s="3">
        <v>362269</v>
      </c>
      <c r="T51" s="3"/>
      <c r="U51" s="3">
        <v>12762</v>
      </c>
      <c r="V51" s="3"/>
      <c r="W51" s="3">
        <v>677962</v>
      </c>
      <c r="X51" s="3"/>
      <c r="Y51" s="3">
        <v>354019</v>
      </c>
      <c r="Z51" s="3"/>
      <c r="AA51" s="3">
        <v>0</v>
      </c>
      <c r="AB51" s="3"/>
      <c r="AC51" s="3">
        <v>938667</v>
      </c>
      <c r="AD51" s="3" t="s">
        <v>383</v>
      </c>
      <c r="AF51" s="103" t="s">
        <v>192</v>
      </c>
      <c r="AH51" s="3">
        <v>9835</v>
      </c>
      <c r="AI51" s="3"/>
      <c r="AJ51" s="3">
        <v>86070</v>
      </c>
      <c r="AK51" s="3"/>
      <c r="AL51" s="3"/>
      <c r="AM51" s="3"/>
      <c r="AN51" s="3">
        <v>0</v>
      </c>
      <c r="AO51" s="3"/>
      <c r="AP51" s="3">
        <v>0</v>
      </c>
      <c r="AQ51" s="3"/>
      <c r="AR51" s="3">
        <v>58785</v>
      </c>
      <c r="AS51" s="3"/>
      <c r="AT51" s="3">
        <v>0</v>
      </c>
      <c r="AU51" s="3"/>
      <c r="AV51" s="3"/>
      <c r="AW51" s="3"/>
      <c r="AX51" s="3">
        <v>0</v>
      </c>
      <c r="AY51" s="3"/>
      <c r="AZ51" s="3">
        <v>0</v>
      </c>
      <c r="BA51" s="3"/>
      <c r="BB51" s="3">
        <f t="shared" si="3"/>
        <v>6555788</v>
      </c>
      <c r="BC51" s="3"/>
      <c r="BD51" s="3">
        <v>18332</v>
      </c>
      <c r="BE51" s="3"/>
      <c r="BF51" s="3"/>
      <c r="BG51" s="3"/>
      <c r="BH51" s="3"/>
      <c r="BI51" s="3"/>
      <c r="BJ51" s="3">
        <v>0</v>
      </c>
      <c r="BK51" s="3" t="s">
        <v>383</v>
      </c>
      <c r="BM51" s="103" t="s">
        <v>192</v>
      </c>
      <c r="BN51" s="3"/>
      <c r="BO51" s="3">
        <f t="shared" si="4"/>
        <v>6574120</v>
      </c>
      <c r="BP51" s="3"/>
      <c r="BQ51" s="3">
        <f>GenRev!AW51-BO51</f>
        <v>-175514</v>
      </c>
      <c r="BR51" s="3"/>
      <c r="BS51" s="3">
        <v>2542635</v>
      </c>
      <c r="BT51" s="3"/>
      <c r="BU51" s="3">
        <v>0</v>
      </c>
      <c r="BV51" s="3"/>
      <c r="BW51" s="3">
        <f t="shared" si="1"/>
        <v>2367121</v>
      </c>
      <c r="BX51" s="3"/>
      <c r="BY51" s="16">
        <f>+BW51-GenBS!AE51</f>
        <v>0</v>
      </c>
    </row>
    <row r="52" spans="1:77" s="103" customFormat="1">
      <c r="A52" s="3" t="s">
        <v>205</v>
      </c>
      <c r="C52" s="103" t="s">
        <v>150</v>
      </c>
      <c r="E52" s="103">
        <v>50799</v>
      </c>
      <c r="G52" s="3">
        <v>143895</v>
      </c>
      <c r="H52" s="3"/>
      <c r="I52" s="3">
        <v>0</v>
      </c>
      <c r="J52" s="3"/>
      <c r="K52" s="3">
        <v>2610724</v>
      </c>
      <c r="L52" s="3"/>
      <c r="M52" s="3">
        <v>10561</v>
      </c>
      <c r="N52" s="3"/>
      <c r="O52" s="3">
        <v>0</v>
      </c>
      <c r="P52" s="3"/>
      <c r="Q52" s="3">
        <v>392584</v>
      </c>
      <c r="R52" s="3"/>
      <c r="S52" s="3">
        <v>96258</v>
      </c>
      <c r="T52" s="3"/>
      <c r="U52" s="3">
        <v>37226</v>
      </c>
      <c r="V52" s="3"/>
      <c r="W52" s="3">
        <v>451755</v>
      </c>
      <c r="X52" s="3"/>
      <c r="Y52" s="3">
        <v>363543</v>
      </c>
      <c r="Z52" s="3"/>
      <c r="AA52" s="3">
        <v>5070</v>
      </c>
      <c r="AB52" s="3"/>
      <c r="AC52" s="3">
        <v>458600</v>
      </c>
      <c r="AD52" s="3" t="s">
        <v>205</v>
      </c>
      <c r="AF52" s="103" t="s">
        <v>150</v>
      </c>
      <c r="AH52" s="3">
        <v>30246</v>
      </c>
      <c r="AI52" s="3"/>
      <c r="AJ52" s="3">
        <v>41278</v>
      </c>
      <c r="AK52" s="3"/>
      <c r="AL52" s="3"/>
      <c r="AM52" s="3"/>
      <c r="AN52" s="3">
        <v>0</v>
      </c>
      <c r="AO52" s="3"/>
      <c r="AP52" s="3">
        <v>0</v>
      </c>
      <c r="AQ52" s="3"/>
      <c r="AR52" s="3">
        <v>8948</v>
      </c>
      <c r="AS52" s="3"/>
      <c r="AT52" s="3">
        <v>375</v>
      </c>
      <c r="AU52" s="3"/>
      <c r="AV52" s="3"/>
      <c r="AW52" s="3"/>
      <c r="AX52" s="3">
        <v>0</v>
      </c>
      <c r="AY52" s="3"/>
      <c r="AZ52" s="3">
        <v>0</v>
      </c>
      <c r="BA52" s="3"/>
      <c r="BB52" s="3">
        <f t="shared" si="3"/>
        <v>4651063</v>
      </c>
      <c r="BC52" s="3"/>
      <c r="BD52" s="3">
        <v>110000</v>
      </c>
      <c r="BE52" s="3"/>
      <c r="BF52" s="3"/>
      <c r="BG52" s="3"/>
      <c r="BH52" s="3"/>
      <c r="BI52" s="3"/>
      <c r="BJ52" s="3">
        <v>0</v>
      </c>
      <c r="BK52" s="3" t="s">
        <v>205</v>
      </c>
      <c r="BM52" s="103" t="s">
        <v>150</v>
      </c>
      <c r="BN52" s="3"/>
      <c r="BO52" s="3">
        <f t="shared" si="4"/>
        <v>4761063</v>
      </c>
      <c r="BP52" s="3"/>
      <c r="BQ52" s="3">
        <f>GenRev!AW52-BO52</f>
        <v>648994</v>
      </c>
      <c r="BR52" s="3"/>
      <c r="BS52" s="3">
        <v>3645780</v>
      </c>
      <c r="BT52" s="3"/>
      <c r="BU52" s="3">
        <v>0</v>
      </c>
      <c r="BV52" s="3"/>
      <c r="BW52" s="3">
        <f t="shared" si="1"/>
        <v>4294774</v>
      </c>
      <c r="BX52" s="3"/>
      <c r="BY52" s="16">
        <f>+BW52-GenBS!AE52</f>
        <v>0</v>
      </c>
    </row>
    <row r="53" spans="1:77" s="103" customFormat="1">
      <c r="A53" s="3" t="s">
        <v>365</v>
      </c>
      <c r="C53" s="103" t="s">
        <v>152</v>
      </c>
      <c r="E53" s="103">
        <v>51532</v>
      </c>
      <c r="G53" s="3">
        <v>0</v>
      </c>
      <c r="H53" s="3"/>
      <c r="I53" s="3">
        <v>700881</v>
      </c>
      <c r="J53" s="3"/>
      <c r="K53" s="3">
        <v>5469247</v>
      </c>
      <c r="L53" s="3"/>
      <c r="M53" s="3">
        <v>0</v>
      </c>
      <c r="N53" s="3"/>
      <c r="O53" s="3">
        <v>0</v>
      </c>
      <c r="P53" s="3"/>
      <c r="Q53" s="3">
        <v>682017</v>
      </c>
      <c r="R53" s="3"/>
      <c r="S53" s="3">
        <v>688454</v>
      </c>
      <c r="T53" s="3"/>
      <c r="U53" s="3">
        <v>42730</v>
      </c>
      <c r="V53" s="3"/>
      <c r="W53" s="3">
        <v>991058</v>
      </c>
      <c r="X53" s="3"/>
      <c r="Y53" s="3">
        <v>513964</v>
      </c>
      <c r="Z53" s="3"/>
      <c r="AA53" s="3">
        <v>168884</v>
      </c>
      <c r="AB53" s="3"/>
      <c r="AC53" s="3">
        <v>1231846</v>
      </c>
      <c r="AD53" s="3" t="s">
        <v>365</v>
      </c>
      <c r="AF53" s="103" t="s">
        <v>152</v>
      </c>
      <c r="AH53" s="3">
        <v>38293</v>
      </c>
      <c r="AI53" s="3"/>
      <c r="AJ53" s="3">
        <v>23453</v>
      </c>
      <c r="AK53" s="3"/>
      <c r="AL53" s="3"/>
      <c r="AM53" s="3"/>
      <c r="AN53" s="3">
        <v>0</v>
      </c>
      <c r="AO53" s="3"/>
      <c r="AP53" s="3">
        <v>0</v>
      </c>
      <c r="AQ53" s="3"/>
      <c r="AR53" s="3">
        <v>24006</v>
      </c>
      <c r="AS53" s="3"/>
      <c r="AT53" s="3">
        <v>0</v>
      </c>
      <c r="AU53" s="3"/>
      <c r="AV53" s="3"/>
      <c r="AW53" s="3"/>
      <c r="AX53" s="3">
        <v>460305</v>
      </c>
      <c r="AY53" s="3"/>
      <c r="AZ53" s="3">
        <v>111570</v>
      </c>
      <c r="BA53" s="3"/>
      <c r="BB53" s="3">
        <f t="shared" si="3"/>
        <v>11146708</v>
      </c>
      <c r="BC53" s="3"/>
      <c r="BD53" s="3">
        <v>151531</v>
      </c>
      <c r="BE53" s="3"/>
      <c r="BF53" s="3"/>
      <c r="BG53" s="3"/>
      <c r="BH53" s="3"/>
      <c r="BI53" s="3"/>
      <c r="BJ53" s="3">
        <v>0</v>
      </c>
      <c r="BK53" s="3" t="s">
        <v>365</v>
      </c>
      <c r="BM53" s="103" t="s">
        <v>152</v>
      </c>
      <c r="BN53" s="3"/>
      <c r="BO53" s="3">
        <f t="shared" si="4"/>
        <v>11298239</v>
      </c>
      <c r="BP53" s="3"/>
      <c r="BQ53" s="3">
        <f>GenRev!AW53-BO53</f>
        <v>295458</v>
      </c>
      <c r="BR53" s="3"/>
      <c r="BS53" s="3">
        <v>7943186</v>
      </c>
      <c r="BT53" s="3"/>
      <c r="BU53" s="3">
        <v>0</v>
      </c>
      <c r="BV53" s="3"/>
      <c r="BW53" s="3">
        <f t="shared" si="1"/>
        <v>8238644</v>
      </c>
      <c r="BX53" s="3"/>
      <c r="BY53" s="16">
        <f>+BW53-GenBS!AE53</f>
        <v>0</v>
      </c>
    </row>
    <row r="54" spans="1:77" s="103" customFormat="1">
      <c r="A54" s="3" t="s">
        <v>219</v>
      </c>
      <c r="C54" s="103" t="s">
        <v>195</v>
      </c>
      <c r="E54" s="103">
        <v>62026</v>
      </c>
      <c r="G54" s="3">
        <v>944686</v>
      </c>
      <c r="H54" s="3"/>
      <c r="I54" s="3">
        <v>119250</v>
      </c>
      <c r="J54" s="3"/>
      <c r="K54" s="3">
        <v>3067362</v>
      </c>
      <c r="L54" s="3"/>
      <c r="M54" s="3">
        <v>7864</v>
      </c>
      <c r="N54" s="3"/>
      <c r="O54" s="3">
        <v>148</v>
      </c>
      <c r="P54" s="3"/>
      <c r="Q54" s="3">
        <v>857973</v>
      </c>
      <c r="R54" s="3"/>
      <c r="S54" s="3">
        <v>552403</v>
      </c>
      <c r="T54" s="3"/>
      <c r="U54" s="3">
        <v>19492</v>
      </c>
      <c r="V54" s="3"/>
      <c r="W54" s="3">
        <v>360264</v>
      </c>
      <c r="X54" s="3"/>
      <c r="Y54" s="3">
        <v>224246</v>
      </c>
      <c r="Z54" s="3"/>
      <c r="AA54" s="3">
        <v>43465</v>
      </c>
      <c r="AB54" s="3"/>
      <c r="AC54" s="3">
        <v>780040</v>
      </c>
      <c r="AD54" s="3" t="s">
        <v>219</v>
      </c>
      <c r="AF54" s="103" t="s">
        <v>195</v>
      </c>
      <c r="AH54" s="3">
        <v>0</v>
      </c>
      <c r="AI54" s="3"/>
      <c r="AJ54" s="3">
        <v>163609</v>
      </c>
      <c r="AK54" s="3"/>
      <c r="AL54" s="3"/>
      <c r="AM54" s="3"/>
      <c r="AN54" s="3">
        <v>0</v>
      </c>
      <c r="AO54" s="3"/>
      <c r="AP54" s="3">
        <v>0</v>
      </c>
      <c r="AQ54" s="3"/>
      <c r="AR54" s="3">
        <v>54560</v>
      </c>
      <c r="AS54" s="3"/>
      <c r="AT54" s="3">
        <v>197653</v>
      </c>
      <c r="AU54" s="3"/>
      <c r="AV54" s="3"/>
      <c r="AW54" s="3"/>
      <c r="AX54" s="3">
        <v>0</v>
      </c>
      <c r="AY54" s="3"/>
      <c r="AZ54" s="3">
        <v>0</v>
      </c>
      <c r="BA54" s="3"/>
      <c r="BB54" s="3">
        <f t="shared" si="3"/>
        <v>7393015</v>
      </c>
      <c r="BC54" s="3"/>
      <c r="BD54" s="3">
        <v>0</v>
      </c>
      <c r="BE54" s="3"/>
      <c r="BF54" s="3"/>
      <c r="BG54" s="3"/>
      <c r="BH54" s="3"/>
      <c r="BI54" s="3"/>
      <c r="BJ54" s="3">
        <v>0</v>
      </c>
      <c r="BK54" s="3" t="s">
        <v>219</v>
      </c>
      <c r="BM54" s="103" t="s">
        <v>195</v>
      </c>
      <c r="BN54" s="3"/>
      <c r="BO54" s="3">
        <f t="shared" si="4"/>
        <v>7393015</v>
      </c>
      <c r="BP54" s="3"/>
      <c r="BQ54" s="3">
        <f>GenRev!AW54-BO54</f>
        <v>-317582</v>
      </c>
      <c r="BR54" s="3"/>
      <c r="BS54" s="3">
        <v>9898092</v>
      </c>
      <c r="BT54" s="3"/>
      <c r="BU54" s="3">
        <v>0</v>
      </c>
      <c r="BV54" s="3"/>
      <c r="BW54" s="3">
        <f t="shared" si="1"/>
        <v>9580510</v>
      </c>
      <c r="BX54" s="3"/>
      <c r="BY54" s="16">
        <f>+BW54-GenBS!AE54</f>
        <v>0</v>
      </c>
    </row>
    <row r="55" spans="1:77" s="103" customFormat="1">
      <c r="A55" s="3" t="s">
        <v>272</v>
      </c>
      <c r="C55" s="103" t="s">
        <v>214</v>
      </c>
      <c r="E55" s="103">
        <v>63511</v>
      </c>
      <c r="G55" s="3">
        <v>1767483</v>
      </c>
      <c r="H55" s="3"/>
      <c r="I55" s="3">
        <v>473229</v>
      </c>
      <c r="J55" s="3"/>
      <c r="K55" s="3">
        <v>3297153</v>
      </c>
      <c r="L55" s="3"/>
      <c r="M55" s="3">
        <v>0</v>
      </c>
      <c r="N55" s="3"/>
      <c r="O55" s="3">
        <v>144766</v>
      </c>
      <c r="P55" s="3"/>
      <c r="Q55" s="3">
        <v>703018</v>
      </c>
      <c r="R55" s="3"/>
      <c r="S55" s="3">
        <v>991451</v>
      </c>
      <c r="T55" s="3"/>
      <c r="U55" s="3">
        <v>62859</v>
      </c>
      <c r="V55" s="3"/>
      <c r="W55" s="3">
        <v>1332083</v>
      </c>
      <c r="X55" s="3"/>
      <c r="Y55" s="3">
        <v>470019</v>
      </c>
      <c r="Z55" s="3"/>
      <c r="AA55" s="3">
        <v>0</v>
      </c>
      <c r="AB55" s="3"/>
      <c r="AC55" s="3">
        <v>1480535</v>
      </c>
      <c r="AD55" s="3" t="s">
        <v>272</v>
      </c>
      <c r="AF55" s="103" t="s">
        <v>214</v>
      </c>
      <c r="AH55" s="3">
        <v>25234</v>
      </c>
      <c r="AI55" s="3"/>
      <c r="AJ55" s="3">
        <v>238119</v>
      </c>
      <c r="AK55" s="3"/>
      <c r="AL55" s="3"/>
      <c r="AM55" s="3"/>
      <c r="AN55" s="3">
        <v>0</v>
      </c>
      <c r="AO55" s="3"/>
      <c r="AP55" s="3">
        <v>0</v>
      </c>
      <c r="AQ55" s="3"/>
      <c r="AR55" s="3">
        <v>65794</v>
      </c>
      <c r="AS55" s="3"/>
      <c r="AT55" s="3">
        <v>27191</v>
      </c>
      <c r="AU55" s="3"/>
      <c r="AV55" s="3"/>
      <c r="AW55" s="3"/>
      <c r="AX55" s="3">
        <v>19783</v>
      </c>
      <c r="AY55" s="3"/>
      <c r="AZ55" s="3">
        <v>17609</v>
      </c>
      <c r="BA55" s="3"/>
      <c r="BB55" s="3">
        <f t="shared" si="3"/>
        <v>11116326</v>
      </c>
      <c r="BC55" s="3"/>
      <c r="BD55" s="3">
        <v>1079081</v>
      </c>
      <c r="BE55" s="3"/>
      <c r="BF55" s="3"/>
      <c r="BG55" s="3"/>
      <c r="BH55" s="3"/>
      <c r="BI55" s="3"/>
      <c r="BJ55" s="3">
        <v>0</v>
      </c>
      <c r="BK55" s="3" t="s">
        <v>272</v>
      </c>
      <c r="BM55" s="103" t="s">
        <v>214</v>
      </c>
      <c r="BN55" s="3"/>
      <c r="BO55" s="3">
        <f t="shared" si="4"/>
        <v>12195407</v>
      </c>
      <c r="BP55" s="3"/>
      <c r="BQ55" s="3">
        <f>GenRev!AW55-BO55</f>
        <v>432064</v>
      </c>
      <c r="BR55" s="3"/>
      <c r="BS55" s="3">
        <v>8382946</v>
      </c>
      <c r="BT55" s="3"/>
      <c r="BU55" s="3">
        <v>0</v>
      </c>
      <c r="BV55" s="3"/>
      <c r="BW55" s="3">
        <f t="shared" si="1"/>
        <v>8815010</v>
      </c>
      <c r="BX55" s="3"/>
      <c r="BY55" s="16">
        <f>+BW55-GenBS!AE55</f>
        <v>0</v>
      </c>
    </row>
    <row r="56" spans="1:77" s="103" customFormat="1">
      <c r="A56" s="3" t="s">
        <v>285</v>
      </c>
      <c r="C56" s="103" t="s">
        <v>145</v>
      </c>
      <c r="E56" s="103">
        <v>51607</v>
      </c>
      <c r="G56" s="3">
        <v>173286</v>
      </c>
      <c r="H56" s="3"/>
      <c r="I56" s="3">
        <v>0</v>
      </c>
      <c r="J56" s="3"/>
      <c r="K56" s="3">
        <v>3330436</v>
      </c>
      <c r="L56" s="3"/>
      <c r="M56" s="3">
        <v>0</v>
      </c>
      <c r="N56" s="3"/>
      <c r="O56" s="3">
        <v>0</v>
      </c>
      <c r="P56" s="3"/>
      <c r="Q56" s="3">
        <v>288032</v>
      </c>
      <c r="R56" s="3"/>
      <c r="S56" s="3">
        <v>97532</v>
      </c>
      <c r="T56" s="3"/>
      <c r="U56" s="3">
        <v>111465</v>
      </c>
      <c r="V56" s="3"/>
      <c r="W56" s="3">
        <v>699874</v>
      </c>
      <c r="X56" s="3"/>
      <c r="Y56" s="3">
        <v>419004</v>
      </c>
      <c r="Z56" s="3"/>
      <c r="AA56" s="3">
        <v>68934</v>
      </c>
      <c r="AB56" s="3"/>
      <c r="AC56" s="3">
        <v>803015</v>
      </c>
      <c r="AD56" s="3" t="s">
        <v>285</v>
      </c>
      <c r="AF56" s="103" t="s">
        <v>145</v>
      </c>
      <c r="AH56" s="3">
        <v>2038</v>
      </c>
      <c r="AI56" s="3"/>
      <c r="AJ56" s="3">
        <v>69392</v>
      </c>
      <c r="AK56" s="3"/>
      <c r="AL56" s="3"/>
      <c r="AM56" s="3"/>
      <c r="AN56" s="3">
        <v>0</v>
      </c>
      <c r="AO56" s="3"/>
      <c r="AP56" s="3">
        <v>250</v>
      </c>
      <c r="AQ56" s="3"/>
      <c r="AR56" s="3">
        <v>7072</v>
      </c>
      <c r="AS56" s="3"/>
      <c r="AT56" s="3">
        <v>0</v>
      </c>
      <c r="AU56" s="3"/>
      <c r="AV56" s="3"/>
      <c r="AW56" s="3"/>
      <c r="AX56" s="3">
        <v>0</v>
      </c>
      <c r="AY56" s="3"/>
      <c r="AZ56" s="3">
        <v>0</v>
      </c>
      <c r="BA56" s="3"/>
      <c r="BB56" s="3">
        <f t="shared" si="3"/>
        <v>6070330</v>
      </c>
      <c r="BC56" s="3"/>
      <c r="BD56" s="3">
        <v>225000</v>
      </c>
      <c r="BE56" s="3"/>
      <c r="BF56" s="3"/>
      <c r="BG56" s="3"/>
      <c r="BH56" s="3"/>
      <c r="BI56" s="3"/>
      <c r="BJ56" s="3">
        <v>0</v>
      </c>
      <c r="BK56" s="3" t="s">
        <v>285</v>
      </c>
      <c r="BM56" s="103" t="s">
        <v>145</v>
      </c>
      <c r="BN56" s="3"/>
      <c r="BO56" s="3">
        <f t="shared" si="4"/>
        <v>6295330</v>
      </c>
      <c r="BP56" s="3"/>
      <c r="BQ56" s="3">
        <f>GenRev!AW56-BO56</f>
        <v>707279</v>
      </c>
      <c r="BR56" s="3"/>
      <c r="BS56" s="3">
        <v>2766961</v>
      </c>
      <c r="BT56" s="3"/>
      <c r="BU56" s="3">
        <v>0</v>
      </c>
      <c r="BV56" s="3"/>
      <c r="BW56" s="3">
        <f t="shared" si="1"/>
        <v>3474240</v>
      </c>
      <c r="BX56" s="3"/>
      <c r="BY56" s="16">
        <f>+BW56-GenBS!AE56</f>
        <v>0</v>
      </c>
    </row>
    <row r="57" spans="1:77" s="103" customFormat="1">
      <c r="A57" s="3" t="s">
        <v>215</v>
      </c>
      <c r="C57" s="103" t="s">
        <v>216</v>
      </c>
      <c r="E57" s="103">
        <v>65268</v>
      </c>
      <c r="G57" s="3">
        <v>289553</v>
      </c>
      <c r="H57" s="3"/>
      <c r="I57" s="3">
        <v>0</v>
      </c>
      <c r="J57" s="3"/>
      <c r="K57" s="3">
        <v>4632164</v>
      </c>
      <c r="L57" s="3"/>
      <c r="M57" s="3">
        <v>0</v>
      </c>
      <c r="N57" s="3"/>
      <c r="O57" s="3">
        <v>0</v>
      </c>
      <c r="P57" s="3"/>
      <c r="Q57" s="3">
        <v>445944</v>
      </c>
      <c r="R57" s="3"/>
      <c r="S57" s="3">
        <v>251398</v>
      </c>
      <c r="T57" s="3"/>
      <c r="U57" s="3">
        <v>96280</v>
      </c>
      <c r="V57" s="3"/>
      <c r="W57" s="3">
        <v>1195085</v>
      </c>
      <c r="X57" s="3"/>
      <c r="Y57" s="3">
        <v>413315</v>
      </c>
      <c r="Z57" s="3"/>
      <c r="AA57" s="3">
        <v>160082</v>
      </c>
      <c r="AB57" s="3"/>
      <c r="AC57" s="3">
        <v>918471</v>
      </c>
      <c r="AD57" s="3" t="s">
        <v>215</v>
      </c>
      <c r="AF57" s="103" t="s">
        <v>216</v>
      </c>
      <c r="AH57" s="3">
        <v>5561</v>
      </c>
      <c r="AI57" s="3"/>
      <c r="AJ57" s="3">
        <v>1410264</v>
      </c>
      <c r="AK57" s="3"/>
      <c r="AL57" s="3"/>
      <c r="AM57" s="3"/>
      <c r="AN57" s="3">
        <v>0</v>
      </c>
      <c r="AO57" s="3"/>
      <c r="AP57" s="3">
        <v>1853</v>
      </c>
      <c r="AQ57" s="3"/>
      <c r="AR57" s="3">
        <v>39079</v>
      </c>
      <c r="AS57" s="3"/>
      <c r="AT57" s="3">
        <v>2404870</v>
      </c>
      <c r="AU57" s="3"/>
      <c r="AV57" s="3"/>
      <c r="AW57" s="3"/>
      <c r="AX57" s="3">
        <v>81735</v>
      </c>
      <c r="AY57" s="3"/>
      <c r="AZ57" s="3">
        <v>38121</v>
      </c>
      <c r="BA57" s="3"/>
      <c r="BB57" s="3">
        <f t="shared" si="3"/>
        <v>12383775</v>
      </c>
      <c r="BC57" s="3"/>
      <c r="BD57" s="3">
        <v>298047</v>
      </c>
      <c r="BE57" s="3"/>
      <c r="BF57" s="3"/>
      <c r="BG57" s="3"/>
      <c r="BH57" s="3"/>
      <c r="BI57" s="3"/>
      <c r="BJ57" s="3">
        <v>0</v>
      </c>
      <c r="BK57" s="3" t="s">
        <v>215</v>
      </c>
      <c r="BM57" s="103" t="s">
        <v>216</v>
      </c>
      <c r="BN57" s="3"/>
      <c r="BO57" s="3">
        <f t="shared" si="4"/>
        <v>12681822</v>
      </c>
      <c r="BP57" s="3"/>
      <c r="BQ57" s="3">
        <f>GenRev!AW57-BO57</f>
        <v>-1236393</v>
      </c>
      <c r="BR57" s="3"/>
      <c r="BS57" s="3">
        <v>3739719</v>
      </c>
      <c r="BT57" s="3"/>
      <c r="BU57" s="3">
        <v>0</v>
      </c>
      <c r="BV57" s="3"/>
      <c r="BW57" s="3">
        <f t="shared" si="1"/>
        <v>2503326</v>
      </c>
      <c r="BX57" s="3"/>
      <c r="BY57" s="16">
        <f>+BW57-GenBS!AE57</f>
        <v>0</v>
      </c>
    </row>
    <row r="58" spans="1:77" s="103" customFormat="1">
      <c r="A58" s="3" t="s">
        <v>366</v>
      </c>
      <c r="C58" s="103" t="s">
        <v>197</v>
      </c>
      <c r="E58" s="103">
        <v>51631</v>
      </c>
      <c r="G58" s="3">
        <v>2167402</v>
      </c>
      <c r="H58" s="3"/>
      <c r="I58" s="3">
        <v>790135</v>
      </c>
      <c r="J58" s="3"/>
      <c r="K58" s="3">
        <v>4263139</v>
      </c>
      <c r="L58" s="3"/>
      <c r="M58" s="3">
        <v>0</v>
      </c>
      <c r="N58" s="3"/>
      <c r="O58" s="3">
        <v>0</v>
      </c>
      <c r="P58" s="3"/>
      <c r="Q58" s="3">
        <v>1077000</v>
      </c>
      <c r="R58" s="3"/>
      <c r="S58" s="3">
        <v>321795</v>
      </c>
      <c r="T58" s="3"/>
      <c r="U58" s="3">
        <v>66272</v>
      </c>
      <c r="V58" s="3"/>
      <c r="W58" s="3">
        <v>2046273</v>
      </c>
      <c r="X58" s="3"/>
      <c r="Y58" s="3">
        <v>573818</v>
      </c>
      <c r="Z58" s="3"/>
      <c r="AA58" s="3">
        <v>6988</v>
      </c>
      <c r="AB58" s="3"/>
      <c r="AC58" s="3">
        <v>1105997</v>
      </c>
      <c r="AD58" s="3" t="s">
        <v>366</v>
      </c>
      <c r="AF58" s="103" t="s">
        <v>197</v>
      </c>
      <c r="AH58" s="3">
        <v>20826</v>
      </c>
      <c r="AI58" s="3"/>
      <c r="AJ58" s="3">
        <v>85170</v>
      </c>
      <c r="AK58" s="3"/>
      <c r="AL58" s="3"/>
      <c r="AM58" s="3"/>
      <c r="AN58" s="3">
        <v>0</v>
      </c>
      <c r="AO58" s="3"/>
      <c r="AP58" s="3">
        <v>1861</v>
      </c>
      <c r="AQ58" s="3"/>
      <c r="AR58" s="3">
        <v>118688</v>
      </c>
      <c r="AS58" s="3"/>
      <c r="AT58" s="3">
        <v>0</v>
      </c>
      <c r="AU58" s="3"/>
      <c r="AV58" s="3"/>
      <c r="AW58" s="3"/>
      <c r="AX58" s="3">
        <v>172000</v>
      </c>
      <c r="AY58" s="3"/>
      <c r="AZ58" s="3">
        <v>264816</v>
      </c>
      <c r="BA58" s="3"/>
      <c r="BB58" s="3">
        <f t="shared" si="3"/>
        <v>13082180</v>
      </c>
      <c r="BC58" s="3"/>
      <c r="BD58" s="3">
        <v>299510</v>
      </c>
      <c r="BE58" s="3"/>
      <c r="BF58" s="3"/>
      <c r="BG58" s="3"/>
      <c r="BH58" s="3"/>
      <c r="BI58" s="3"/>
      <c r="BJ58" s="3">
        <v>0</v>
      </c>
      <c r="BK58" s="3" t="s">
        <v>366</v>
      </c>
      <c r="BM58" s="103" t="s">
        <v>197</v>
      </c>
      <c r="BN58" s="3"/>
      <c r="BO58" s="3">
        <f t="shared" si="4"/>
        <v>13381690</v>
      </c>
      <c r="BP58" s="3"/>
      <c r="BQ58" s="3">
        <f>GenRev!AW58-BO58</f>
        <v>-625719</v>
      </c>
      <c r="BR58" s="3"/>
      <c r="BS58" s="3">
        <v>7637777</v>
      </c>
      <c r="BT58" s="3"/>
      <c r="BU58" s="3">
        <v>0</v>
      </c>
      <c r="BV58" s="3"/>
      <c r="BW58" s="3">
        <f t="shared" si="1"/>
        <v>7012058</v>
      </c>
      <c r="BX58" s="3"/>
      <c r="BY58" s="16">
        <f>+BW58-GenBS!AE58</f>
        <v>0</v>
      </c>
    </row>
    <row r="59" spans="1:77" s="103" customFormat="1">
      <c r="A59" s="3" t="s">
        <v>206</v>
      </c>
      <c r="C59" s="103" t="s">
        <v>154</v>
      </c>
      <c r="E59" s="103">
        <v>62802</v>
      </c>
      <c r="G59" s="3">
        <v>250065</v>
      </c>
      <c r="H59" s="3"/>
      <c r="I59" s="3">
        <v>138134</v>
      </c>
      <c r="J59" s="3"/>
      <c r="K59" s="3">
        <v>3529948</v>
      </c>
      <c r="L59" s="3"/>
      <c r="M59" s="3">
        <v>348553</v>
      </c>
      <c r="N59" s="3"/>
      <c r="O59" s="3">
        <v>0</v>
      </c>
      <c r="P59" s="3"/>
      <c r="Q59" s="3">
        <v>481755</v>
      </c>
      <c r="R59" s="3"/>
      <c r="S59" s="3">
        <v>162475</v>
      </c>
      <c r="T59" s="3"/>
      <c r="U59" s="3">
        <v>70536</v>
      </c>
      <c r="V59" s="3"/>
      <c r="W59" s="3">
        <v>401312</v>
      </c>
      <c r="X59" s="3"/>
      <c r="Y59" s="3">
        <v>475558</v>
      </c>
      <c r="Z59" s="3"/>
      <c r="AA59" s="3">
        <v>0</v>
      </c>
      <c r="AB59" s="3"/>
      <c r="AC59" s="3">
        <v>745241</v>
      </c>
      <c r="AD59" s="3" t="s">
        <v>206</v>
      </c>
      <c r="AF59" s="103" t="s">
        <v>154</v>
      </c>
      <c r="AH59" s="3">
        <v>0</v>
      </c>
      <c r="AI59" s="3"/>
      <c r="AJ59" s="3">
        <v>95167</v>
      </c>
      <c r="AK59" s="3"/>
      <c r="AL59" s="3"/>
      <c r="AM59" s="3"/>
      <c r="AN59" s="3">
        <v>0</v>
      </c>
      <c r="AO59" s="3"/>
      <c r="AP59" s="3">
        <v>0</v>
      </c>
      <c r="AQ59" s="3"/>
      <c r="AR59" s="3">
        <v>56397</v>
      </c>
      <c r="AS59" s="3"/>
      <c r="AT59" s="3">
        <v>0</v>
      </c>
      <c r="AU59" s="3"/>
      <c r="AV59" s="3"/>
      <c r="AW59" s="3"/>
      <c r="AX59" s="3">
        <v>0</v>
      </c>
      <c r="AY59" s="3"/>
      <c r="AZ59" s="3">
        <v>0</v>
      </c>
      <c r="BA59" s="3"/>
      <c r="BB59" s="3">
        <f t="shared" si="3"/>
        <v>6755141</v>
      </c>
      <c r="BC59" s="3"/>
      <c r="BD59" s="3">
        <v>60000</v>
      </c>
      <c r="BE59" s="3"/>
      <c r="BF59" s="3"/>
      <c r="BG59" s="3"/>
      <c r="BH59" s="3"/>
      <c r="BI59" s="3"/>
      <c r="BJ59" s="3">
        <v>0</v>
      </c>
      <c r="BK59" s="3" t="s">
        <v>206</v>
      </c>
      <c r="BM59" s="103" t="s">
        <v>154</v>
      </c>
      <c r="BN59" s="3"/>
      <c r="BO59" s="3">
        <f t="shared" si="4"/>
        <v>6815141</v>
      </c>
      <c r="BP59" s="3"/>
      <c r="BQ59" s="3">
        <f>GenRev!AW59-BO59</f>
        <v>1173176</v>
      </c>
      <c r="BR59" s="3"/>
      <c r="BS59" s="3">
        <v>9919884</v>
      </c>
      <c r="BT59" s="3"/>
      <c r="BU59" s="3">
        <v>0</v>
      </c>
      <c r="BV59" s="3"/>
      <c r="BW59" s="3">
        <f t="shared" si="1"/>
        <v>11093060</v>
      </c>
      <c r="BX59" s="3"/>
      <c r="BY59" s="16">
        <f>+BW59-GenBS!AE59</f>
        <v>0</v>
      </c>
    </row>
    <row r="60" spans="1:77" s="103" customFormat="1">
      <c r="A60" s="3" t="s">
        <v>354</v>
      </c>
      <c r="C60" s="103" t="s">
        <v>180</v>
      </c>
      <c r="E60" s="103">
        <v>62125</v>
      </c>
      <c r="G60" s="3">
        <v>1755035</v>
      </c>
      <c r="H60" s="3"/>
      <c r="I60" s="3">
        <v>368110</v>
      </c>
      <c r="J60" s="3"/>
      <c r="K60" s="3">
        <v>7172648</v>
      </c>
      <c r="L60" s="3"/>
      <c r="M60" s="3">
        <v>0</v>
      </c>
      <c r="N60" s="3"/>
      <c r="O60" s="3">
        <v>100516</v>
      </c>
      <c r="P60" s="3"/>
      <c r="Q60" s="3">
        <v>1344345</v>
      </c>
      <c r="R60" s="3"/>
      <c r="S60" s="3">
        <v>845352</v>
      </c>
      <c r="T60" s="3"/>
      <c r="U60" s="3">
        <v>44977</v>
      </c>
      <c r="V60" s="3"/>
      <c r="W60" s="3">
        <v>496425</v>
      </c>
      <c r="X60" s="3"/>
      <c r="Y60" s="3">
        <v>473173</v>
      </c>
      <c r="Z60" s="3"/>
      <c r="AA60" s="3">
        <v>180450</v>
      </c>
      <c r="AB60" s="3"/>
      <c r="AC60" s="3">
        <v>1178707</v>
      </c>
      <c r="AD60" s="3" t="s">
        <v>354</v>
      </c>
      <c r="AF60" s="103" t="s">
        <v>180</v>
      </c>
      <c r="AH60" s="3">
        <v>63538</v>
      </c>
      <c r="AI60" s="3"/>
      <c r="AJ60" s="3">
        <v>955094</v>
      </c>
      <c r="AK60" s="3"/>
      <c r="AL60" s="3"/>
      <c r="AM60" s="3"/>
      <c r="AN60" s="3">
        <v>0</v>
      </c>
      <c r="AO60" s="3"/>
      <c r="AP60" s="3">
        <f>609+371308</f>
        <v>371917</v>
      </c>
      <c r="AQ60" s="3"/>
      <c r="AR60" s="3">
        <v>36735</v>
      </c>
      <c r="AS60" s="3"/>
      <c r="AT60" s="3">
        <v>29758</v>
      </c>
      <c r="AU60" s="3"/>
      <c r="AV60" s="3"/>
      <c r="AW60" s="3"/>
      <c r="AX60" s="3">
        <v>0</v>
      </c>
      <c r="AY60" s="3"/>
      <c r="AZ60" s="3">
        <v>0</v>
      </c>
      <c r="BA60" s="3"/>
      <c r="BB60" s="3">
        <f t="shared" si="3"/>
        <v>15416780</v>
      </c>
      <c r="BC60" s="3"/>
      <c r="BD60" s="3">
        <v>609252</v>
      </c>
      <c r="BE60" s="3"/>
      <c r="BF60" s="3"/>
      <c r="BG60" s="3"/>
      <c r="BH60" s="3"/>
      <c r="BI60" s="3"/>
      <c r="BJ60" s="3">
        <v>0</v>
      </c>
      <c r="BK60" s="3" t="s">
        <v>354</v>
      </c>
      <c r="BM60" s="103" t="s">
        <v>180</v>
      </c>
      <c r="BN60" s="3"/>
      <c r="BO60" s="3">
        <f t="shared" si="4"/>
        <v>16026032</v>
      </c>
      <c r="BP60" s="3"/>
      <c r="BQ60" s="3">
        <f>GenRev!AW60-BO60</f>
        <v>270886</v>
      </c>
      <c r="BR60" s="3"/>
      <c r="BS60" s="3">
        <v>3392835</v>
      </c>
      <c r="BT60" s="3"/>
      <c r="BU60" s="3">
        <v>0</v>
      </c>
      <c r="BV60" s="3"/>
      <c r="BW60" s="3">
        <f t="shared" si="1"/>
        <v>3663721</v>
      </c>
      <c r="BX60" s="3"/>
      <c r="BY60" s="16">
        <f>+BW60-GenBS!AE60</f>
        <v>0</v>
      </c>
    </row>
    <row r="61" spans="1:77" s="103" customFormat="1">
      <c r="A61" s="3" t="s">
        <v>250</v>
      </c>
      <c r="C61" s="103" t="s">
        <v>191</v>
      </c>
      <c r="E61" s="103">
        <v>51458</v>
      </c>
      <c r="G61" s="3">
        <v>161045</v>
      </c>
      <c r="H61" s="3"/>
      <c r="I61" s="3">
        <v>185148</v>
      </c>
      <c r="J61" s="3"/>
      <c r="K61" s="3">
        <v>7939406</v>
      </c>
      <c r="L61" s="3"/>
      <c r="M61" s="3">
        <v>0</v>
      </c>
      <c r="N61" s="3"/>
      <c r="O61" s="3">
        <v>0</v>
      </c>
      <c r="P61" s="3"/>
      <c r="Q61" s="3">
        <v>468599</v>
      </c>
      <c r="R61" s="3"/>
      <c r="S61" s="3">
        <v>632795</v>
      </c>
      <c r="T61" s="3"/>
      <c r="U61" s="3">
        <v>46946</v>
      </c>
      <c r="V61" s="3"/>
      <c r="W61" s="3">
        <v>868117</v>
      </c>
      <c r="X61" s="3"/>
      <c r="Y61" s="3">
        <v>492457</v>
      </c>
      <c r="Z61" s="3"/>
      <c r="AA61" s="3">
        <v>0</v>
      </c>
      <c r="AB61" s="3"/>
      <c r="AC61" s="3">
        <v>1186401</v>
      </c>
      <c r="AD61" s="3" t="s">
        <v>250</v>
      </c>
      <c r="AF61" s="103" t="s">
        <v>191</v>
      </c>
      <c r="AH61" s="3">
        <v>66208</v>
      </c>
      <c r="AI61" s="3"/>
      <c r="AJ61" s="3">
        <v>0</v>
      </c>
      <c r="AK61" s="3"/>
      <c r="AL61" s="3"/>
      <c r="AM61" s="3"/>
      <c r="AN61" s="3">
        <v>0</v>
      </c>
      <c r="AO61" s="3"/>
      <c r="AP61" s="3">
        <v>0</v>
      </c>
      <c r="AQ61" s="3"/>
      <c r="AR61" s="3">
        <v>14614</v>
      </c>
      <c r="AS61" s="3"/>
      <c r="AT61" s="3">
        <v>73364</v>
      </c>
      <c r="AU61" s="3"/>
      <c r="AV61" s="3"/>
      <c r="AW61" s="3"/>
      <c r="AX61" s="3">
        <v>9539</v>
      </c>
      <c r="AY61" s="3"/>
      <c r="AZ61" s="3">
        <v>99312</v>
      </c>
      <c r="BA61" s="3"/>
      <c r="BB61" s="3">
        <f t="shared" si="3"/>
        <v>12243951</v>
      </c>
      <c r="BC61" s="3"/>
      <c r="BD61" s="3">
        <v>1209321</v>
      </c>
      <c r="BE61" s="3"/>
      <c r="BF61" s="3"/>
      <c r="BG61" s="3"/>
      <c r="BH61" s="3"/>
      <c r="BI61" s="3"/>
      <c r="BJ61" s="3">
        <v>0</v>
      </c>
      <c r="BK61" s="3" t="s">
        <v>250</v>
      </c>
      <c r="BM61" s="103" t="s">
        <v>191</v>
      </c>
      <c r="BN61" s="3"/>
      <c r="BO61" s="3">
        <f t="shared" si="4"/>
        <v>13453272</v>
      </c>
      <c r="BP61" s="3"/>
      <c r="BQ61" s="3">
        <f>GenRev!AW61-BO61</f>
        <v>471169</v>
      </c>
      <c r="BR61" s="3"/>
      <c r="BS61" s="3">
        <v>5405872</v>
      </c>
      <c r="BT61" s="3"/>
      <c r="BU61" s="3">
        <v>0</v>
      </c>
      <c r="BV61" s="3"/>
      <c r="BW61" s="3">
        <f t="shared" si="1"/>
        <v>5877041</v>
      </c>
      <c r="BX61" s="3"/>
      <c r="BY61" s="16">
        <f>+BW61-GenBS!AE61</f>
        <v>0</v>
      </c>
    </row>
    <row r="62" spans="1:77" s="103" customFormat="1">
      <c r="A62" s="3" t="s">
        <v>251</v>
      </c>
      <c r="C62" s="103" t="s">
        <v>200</v>
      </c>
      <c r="E62" s="103">
        <v>51672</v>
      </c>
      <c r="G62" s="3">
        <v>0</v>
      </c>
      <c r="H62" s="3"/>
      <c r="I62" s="3">
        <v>0</v>
      </c>
      <c r="J62" s="3"/>
      <c r="K62" s="3">
        <v>3726147</v>
      </c>
      <c r="L62" s="3"/>
      <c r="M62" s="3">
        <v>0</v>
      </c>
      <c r="N62" s="3"/>
      <c r="O62" s="3">
        <v>0</v>
      </c>
      <c r="P62" s="3"/>
      <c r="Q62" s="3">
        <v>309095</v>
      </c>
      <c r="R62" s="3"/>
      <c r="S62" s="3">
        <v>216743</v>
      </c>
      <c r="T62" s="3"/>
      <c r="U62" s="3">
        <v>101595</v>
      </c>
      <c r="V62" s="3"/>
      <c r="W62" s="3">
        <v>373124</v>
      </c>
      <c r="X62" s="3"/>
      <c r="Y62" s="3">
        <v>331893</v>
      </c>
      <c r="Z62" s="3"/>
      <c r="AA62" s="3">
        <v>28002</v>
      </c>
      <c r="AB62" s="3"/>
      <c r="AC62" s="3">
        <v>583331</v>
      </c>
      <c r="AD62" s="3" t="s">
        <v>251</v>
      </c>
      <c r="AF62" s="103" t="s">
        <v>200</v>
      </c>
      <c r="AH62" s="3">
        <v>2940</v>
      </c>
      <c r="AI62" s="3"/>
      <c r="AJ62" s="3">
        <v>351481</v>
      </c>
      <c r="AK62" s="3"/>
      <c r="AL62" s="3"/>
      <c r="AM62" s="3"/>
      <c r="AN62" s="3">
        <v>0</v>
      </c>
      <c r="AO62" s="3"/>
      <c r="AP62" s="3">
        <v>0</v>
      </c>
      <c r="AQ62" s="3"/>
      <c r="AR62" s="3">
        <v>67365</v>
      </c>
      <c r="AS62" s="3"/>
      <c r="AT62" s="3">
        <v>0</v>
      </c>
      <c r="AU62" s="3"/>
      <c r="AV62" s="3"/>
      <c r="AW62" s="3"/>
      <c r="AX62" s="3">
        <v>0</v>
      </c>
      <c r="AY62" s="3"/>
      <c r="AZ62" s="3">
        <v>0</v>
      </c>
      <c r="BA62" s="3"/>
      <c r="BB62" s="3">
        <f t="shared" si="3"/>
        <v>6091716</v>
      </c>
      <c r="BC62" s="3"/>
      <c r="BD62" s="3">
        <v>350040</v>
      </c>
      <c r="BE62" s="3"/>
      <c r="BF62" s="3"/>
      <c r="BG62" s="3"/>
      <c r="BH62" s="3"/>
      <c r="BI62" s="3"/>
      <c r="BJ62" s="3">
        <v>0</v>
      </c>
      <c r="BK62" s="3" t="s">
        <v>251</v>
      </c>
      <c r="BM62" s="103" t="s">
        <v>200</v>
      </c>
      <c r="BN62" s="3"/>
      <c r="BO62" s="3">
        <f t="shared" si="4"/>
        <v>6441756</v>
      </c>
      <c r="BP62" s="3"/>
      <c r="BQ62" s="3">
        <f>GenRev!AW62-BO62</f>
        <v>1020020</v>
      </c>
      <c r="BR62" s="3"/>
      <c r="BS62" s="3">
        <v>3634592</v>
      </c>
      <c r="BT62" s="3"/>
      <c r="BU62" s="3">
        <v>0</v>
      </c>
      <c r="BV62" s="3"/>
      <c r="BW62" s="3">
        <f t="shared" si="1"/>
        <v>4654612</v>
      </c>
      <c r="BX62" s="3"/>
      <c r="BY62" s="16">
        <f>+BW62-GenBS!AE62</f>
        <v>0</v>
      </c>
    </row>
    <row r="63" spans="1:77" s="103" customFormat="1">
      <c r="A63" s="3" t="s">
        <v>385</v>
      </c>
      <c r="C63" s="103" t="s">
        <v>201</v>
      </c>
      <c r="E63" s="103">
        <v>51474</v>
      </c>
      <c r="G63" s="3">
        <v>0</v>
      </c>
      <c r="H63" s="3"/>
      <c r="I63" s="3">
        <v>166664</v>
      </c>
      <c r="J63" s="3"/>
      <c r="K63" s="3">
        <v>6451361</v>
      </c>
      <c r="L63" s="3"/>
      <c r="M63" s="3">
        <v>0</v>
      </c>
      <c r="N63" s="3"/>
      <c r="O63" s="3">
        <v>0</v>
      </c>
      <c r="P63" s="3"/>
      <c r="Q63" s="3">
        <v>743128</v>
      </c>
      <c r="R63" s="3"/>
      <c r="S63" s="3">
        <v>326562</v>
      </c>
      <c r="T63" s="3"/>
      <c r="U63" s="3">
        <v>21800</v>
      </c>
      <c r="V63" s="3"/>
      <c r="W63" s="3">
        <v>1096160</v>
      </c>
      <c r="X63" s="3"/>
      <c r="Y63" s="3">
        <v>508113</v>
      </c>
      <c r="Z63" s="3"/>
      <c r="AA63" s="3">
        <v>0</v>
      </c>
      <c r="AB63" s="3"/>
      <c r="AC63" s="3">
        <v>1286041</v>
      </c>
      <c r="AD63" s="3" t="s">
        <v>385</v>
      </c>
      <c r="AF63" s="103" t="s">
        <v>201</v>
      </c>
      <c r="AH63" s="3">
        <v>80183</v>
      </c>
      <c r="AI63" s="3"/>
      <c r="AJ63" s="3">
        <v>802074</v>
      </c>
      <c r="AK63" s="3"/>
      <c r="AL63" s="3"/>
      <c r="AM63" s="3"/>
      <c r="AN63" s="3">
        <v>0</v>
      </c>
      <c r="AO63" s="3"/>
      <c r="AP63" s="3">
        <v>10237</v>
      </c>
      <c r="AQ63" s="3"/>
      <c r="AR63" s="3">
        <v>86513</v>
      </c>
      <c r="AS63" s="3"/>
      <c r="AT63" s="3">
        <v>169880</v>
      </c>
      <c r="AU63" s="3"/>
      <c r="AV63" s="3"/>
      <c r="AW63" s="3"/>
      <c r="AX63" s="3">
        <v>111262</v>
      </c>
      <c r="AY63" s="3"/>
      <c r="AZ63" s="3">
        <v>41025</v>
      </c>
      <c r="BA63" s="3"/>
      <c r="BB63" s="3">
        <f t="shared" si="3"/>
        <v>11901003</v>
      </c>
      <c r="BC63" s="3"/>
      <c r="BD63" s="3">
        <v>709841</v>
      </c>
      <c r="BE63" s="3"/>
      <c r="BF63" s="3"/>
      <c r="BG63" s="3"/>
      <c r="BH63" s="3"/>
      <c r="BI63" s="3"/>
      <c r="BJ63" s="3">
        <v>0</v>
      </c>
      <c r="BK63" s="3" t="s">
        <v>385</v>
      </c>
      <c r="BM63" s="103" t="s">
        <v>201</v>
      </c>
      <c r="BN63" s="3"/>
      <c r="BO63" s="3">
        <f t="shared" si="4"/>
        <v>12610844</v>
      </c>
      <c r="BP63" s="3"/>
      <c r="BQ63" s="3">
        <f>GenRev!AW63-BO63</f>
        <v>3602904</v>
      </c>
      <c r="BR63" s="3"/>
      <c r="BS63" s="3">
        <v>6148680</v>
      </c>
      <c r="BT63" s="3"/>
      <c r="BU63" s="3">
        <v>0</v>
      </c>
      <c r="BV63" s="3"/>
      <c r="BW63" s="3">
        <f t="shared" si="1"/>
        <v>9751584</v>
      </c>
      <c r="BX63" s="3"/>
      <c r="BY63" s="16">
        <f>+BW63-GenBS!AE63</f>
        <v>0</v>
      </c>
    </row>
    <row r="64" spans="1:77" s="103" customFormat="1">
      <c r="A64" s="3" t="s">
        <v>264</v>
      </c>
      <c r="C64" s="103" t="s">
        <v>202</v>
      </c>
      <c r="E64" s="103">
        <v>51698</v>
      </c>
      <c r="G64" s="3">
        <v>891745</v>
      </c>
      <c r="H64" s="3"/>
      <c r="I64" s="3">
        <v>0</v>
      </c>
      <c r="J64" s="3"/>
      <c r="K64" s="3">
        <v>2210508</v>
      </c>
      <c r="L64" s="3"/>
      <c r="M64" s="3">
        <v>0</v>
      </c>
      <c r="N64" s="3"/>
      <c r="O64" s="3">
        <v>0</v>
      </c>
      <c r="P64" s="3"/>
      <c r="Q64" s="3">
        <v>83848</v>
      </c>
      <c r="R64" s="3"/>
      <c r="S64" s="3">
        <v>203872</v>
      </c>
      <c r="T64" s="3"/>
      <c r="U64" s="3">
        <v>33090</v>
      </c>
      <c r="V64" s="3"/>
      <c r="W64" s="3">
        <v>466681</v>
      </c>
      <c r="X64" s="3"/>
      <c r="Y64" s="3">
        <v>335649</v>
      </c>
      <c r="Z64" s="3"/>
      <c r="AA64" s="3">
        <v>23506</v>
      </c>
      <c r="AB64" s="3"/>
      <c r="AC64" s="3">
        <v>667394</v>
      </c>
      <c r="AD64" s="3" t="s">
        <v>264</v>
      </c>
      <c r="AF64" s="103" t="s">
        <v>202</v>
      </c>
      <c r="AH64" s="3">
        <v>4469</v>
      </c>
      <c r="AI64" s="3"/>
      <c r="AJ64" s="3">
        <v>306005</v>
      </c>
      <c r="AK64" s="3"/>
      <c r="AL64" s="3"/>
      <c r="AM64" s="3"/>
      <c r="AN64" s="3">
        <v>0</v>
      </c>
      <c r="AO64" s="3"/>
      <c r="AP64" s="3">
        <v>0</v>
      </c>
      <c r="AQ64" s="3"/>
      <c r="AR64" s="3">
        <v>4056</v>
      </c>
      <c r="AS64" s="3"/>
      <c r="AT64" s="3">
        <v>0</v>
      </c>
      <c r="AU64" s="3"/>
      <c r="AV64" s="3"/>
      <c r="AW64" s="3"/>
      <c r="AX64" s="3">
        <v>120850</v>
      </c>
      <c r="AY64" s="3"/>
      <c r="AZ64" s="3">
        <v>50931</v>
      </c>
      <c r="BA64" s="3"/>
      <c r="BB64" s="3">
        <f t="shared" si="3"/>
        <v>5402604</v>
      </c>
      <c r="BC64" s="3"/>
      <c r="BD64" s="3">
        <v>70000</v>
      </c>
      <c r="BE64" s="3"/>
      <c r="BF64" s="3"/>
      <c r="BG64" s="3"/>
      <c r="BH64" s="3"/>
      <c r="BI64" s="3"/>
      <c r="BJ64" s="3">
        <v>0</v>
      </c>
      <c r="BK64" s="3" t="s">
        <v>264</v>
      </c>
      <c r="BM64" s="103" t="s">
        <v>202</v>
      </c>
      <c r="BN64" s="3"/>
      <c r="BO64" s="3">
        <f t="shared" si="4"/>
        <v>5472604</v>
      </c>
      <c r="BP64" s="3"/>
      <c r="BQ64" s="3">
        <f>GenRev!AW64-BO64</f>
        <v>157756</v>
      </c>
      <c r="BR64" s="3"/>
      <c r="BS64" s="3">
        <v>3416173</v>
      </c>
      <c r="BT64" s="3"/>
      <c r="BU64" s="3">
        <v>0</v>
      </c>
      <c r="BV64" s="3"/>
      <c r="BW64" s="3">
        <f t="shared" si="1"/>
        <v>3573929</v>
      </c>
      <c r="BX64" s="3"/>
      <c r="BY64" s="16">
        <f>+BW64-GenBS!AE64</f>
        <v>0</v>
      </c>
    </row>
    <row r="65" spans="1:77" s="103" customFormat="1">
      <c r="A65" s="3" t="s">
        <v>352</v>
      </c>
      <c r="C65" s="103" t="s">
        <v>203</v>
      </c>
      <c r="E65" s="103">
        <v>51714</v>
      </c>
      <c r="G65" s="3">
        <v>1755958</v>
      </c>
      <c r="H65" s="3"/>
      <c r="I65" s="3">
        <v>0</v>
      </c>
      <c r="J65" s="3"/>
      <c r="K65" s="3">
        <v>4875682</v>
      </c>
      <c r="L65" s="3"/>
      <c r="M65" s="3">
        <v>25548</v>
      </c>
      <c r="N65" s="3"/>
      <c r="O65" s="3">
        <v>0</v>
      </c>
      <c r="P65" s="3"/>
      <c r="Q65" s="3">
        <v>373728</v>
      </c>
      <c r="R65" s="3"/>
      <c r="S65" s="3">
        <v>1484042</v>
      </c>
      <c r="T65" s="3"/>
      <c r="U65" s="3">
        <v>52282</v>
      </c>
      <c r="V65" s="3"/>
      <c r="W65" s="3">
        <v>884104</v>
      </c>
      <c r="X65" s="3"/>
      <c r="Y65" s="3">
        <v>485022</v>
      </c>
      <c r="Z65" s="3"/>
      <c r="AA65" s="3">
        <v>0</v>
      </c>
      <c r="AB65" s="3"/>
      <c r="AC65" s="3">
        <v>824502</v>
      </c>
      <c r="AD65" s="3" t="s">
        <v>352</v>
      </c>
      <c r="AF65" s="103" t="s">
        <v>203</v>
      </c>
      <c r="AH65" s="3">
        <v>2783</v>
      </c>
      <c r="AI65" s="3"/>
      <c r="AJ65" s="3">
        <v>0</v>
      </c>
      <c r="AK65" s="3"/>
      <c r="AL65" s="3"/>
      <c r="AM65" s="3"/>
      <c r="AN65" s="3">
        <v>0</v>
      </c>
      <c r="AO65" s="3"/>
      <c r="AP65" s="3">
        <v>2451</v>
      </c>
      <c r="AQ65" s="3"/>
      <c r="AR65" s="3">
        <v>0</v>
      </c>
      <c r="AS65" s="3"/>
      <c r="AT65" s="3">
        <v>0</v>
      </c>
      <c r="AU65" s="3"/>
      <c r="AV65" s="3"/>
      <c r="AW65" s="3"/>
      <c r="AX65" s="3">
        <v>0</v>
      </c>
      <c r="AY65" s="3"/>
      <c r="AZ65" s="3">
        <v>0</v>
      </c>
      <c r="BA65" s="3"/>
      <c r="BB65" s="3">
        <f t="shared" si="3"/>
        <v>10766102</v>
      </c>
      <c r="BC65" s="3"/>
      <c r="BD65" s="3">
        <v>164757</v>
      </c>
      <c r="BE65" s="3"/>
      <c r="BF65" s="3"/>
      <c r="BG65" s="3"/>
      <c r="BH65" s="3"/>
      <c r="BI65" s="3"/>
      <c r="BJ65" s="3">
        <v>0</v>
      </c>
      <c r="BK65" s="3" t="s">
        <v>352</v>
      </c>
      <c r="BM65" s="103" t="s">
        <v>203</v>
      </c>
      <c r="BN65" s="3"/>
      <c r="BO65" s="3">
        <f t="shared" si="4"/>
        <v>10930859</v>
      </c>
      <c r="BP65" s="3"/>
      <c r="BQ65" s="3">
        <f>GenRev!AW65-BO65</f>
        <v>308979</v>
      </c>
      <c r="BR65" s="3"/>
      <c r="BS65" s="3">
        <v>6626056</v>
      </c>
      <c r="BT65" s="3"/>
      <c r="BU65" s="3">
        <v>0</v>
      </c>
      <c r="BV65" s="3"/>
      <c r="BW65" s="3">
        <f t="shared" si="1"/>
        <v>6935035</v>
      </c>
      <c r="BX65" s="3"/>
      <c r="BY65" s="16">
        <f>+BW65-GenBS!AE65</f>
        <v>0</v>
      </c>
    </row>
    <row r="66" spans="1:77" s="15" customFormat="1">
      <c r="A66" s="3"/>
      <c r="G66" s="3"/>
      <c r="H66" s="3"/>
      <c r="I66" s="3"/>
      <c r="J66" s="3"/>
      <c r="K66" s="3"/>
      <c r="L66" s="3"/>
      <c r="M66" s="2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16"/>
    </row>
    <row r="67" spans="1:77" s="15" customForma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57"/>
      <c r="M67" s="26"/>
      <c r="AC67" s="33"/>
      <c r="AH67" s="3"/>
      <c r="AI67" s="3"/>
      <c r="AJ67" s="3"/>
      <c r="AK67" s="3"/>
      <c r="AL67" s="3"/>
      <c r="AM67" s="3"/>
      <c r="AN67" s="16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C67" s="16"/>
      <c r="BD67" s="3"/>
      <c r="BE67" s="3"/>
      <c r="BF67" s="3"/>
      <c r="BG67" s="3"/>
      <c r="BH67" s="3"/>
      <c r="BI67" s="3"/>
      <c r="BJ67" s="16"/>
      <c r="BO67" s="3"/>
      <c r="BP67" s="3"/>
      <c r="BQ67" s="3"/>
      <c r="BR67" s="3"/>
      <c r="BS67" s="3"/>
      <c r="BT67" s="3"/>
      <c r="BU67" s="3"/>
      <c r="BV67" s="3"/>
      <c r="BW67" s="16"/>
    </row>
    <row r="68" spans="1:77" s="15" customFormat="1">
      <c r="A68" s="34" t="s">
        <v>253</v>
      </c>
      <c r="M68" s="26"/>
      <c r="AD68" s="34" t="s">
        <v>253</v>
      </c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4" t="s">
        <v>253</v>
      </c>
      <c r="BO68" s="3"/>
      <c r="BP68" s="3"/>
      <c r="BQ68" s="3"/>
      <c r="BR68" s="3"/>
      <c r="BS68" s="3"/>
      <c r="BT68" s="3"/>
      <c r="BU68" s="3"/>
      <c r="BV68" s="3"/>
      <c r="BW68" s="3"/>
    </row>
    <row r="69" spans="1:77" s="15" customFormat="1">
      <c r="A69" s="34"/>
      <c r="M69" s="26"/>
      <c r="AD69" s="34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4"/>
      <c r="BO69" s="3"/>
      <c r="BP69" s="3"/>
      <c r="BQ69" s="3"/>
      <c r="BR69" s="3"/>
      <c r="BS69" s="3"/>
      <c r="BT69" s="3"/>
      <c r="BU69" s="3"/>
      <c r="BV69" s="3"/>
      <c r="BW69" s="3"/>
    </row>
    <row r="70" spans="1:77" s="61" customFormat="1" hidden="1">
      <c r="A70" s="58" t="s">
        <v>327</v>
      </c>
      <c r="B70" s="58"/>
      <c r="C70" s="58" t="s">
        <v>260</v>
      </c>
      <c r="E70" s="75">
        <v>45740</v>
      </c>
      <c r="G70" s="58">
        <v>0</v>
      </c>
      <c r="H70" s="58"/>
      <c r="I70" s="58">
        <v>0</v>
      </c>
      <c r="J70" s="58"/>
      <c r="K70" s="58">
        <v>0</v>
      </c>
      <c r="L70" s="58"/>
      <c r="M70" s="58">
        <v>0</v>
      </c>
      <c r="N70" s="58"/>
      <c r="O70" s="58">
        <v>0</v>
      </c>
      <c r="P70" s="58"/>
      <c r="Q70" s="58">
        <v>0</v>
      </c>
      <c r="R70" s="58"/>
      <c r="S70" s="58">
        <v>0</v>
      </c>
      <c r="T70" s="58"/>
      <c r="U70" s="58">
        <v>0</v>
      </c>
      <c r="V70" s="58"/>
      <c r="W70" s="58">
        <v>0</v>
      </c>
      <c r="X70" s="58"/>
      <c r="Y70" s="58">
        <v>0</v>
      </c>
      <c r="Z70" s="58"/>
      <c r="AA70" s="58">
        <v>0</v>
      </c>
      <c r="AB70" s="58"/>
      <c r="AC70" s="58">
        <v>0</v>
      </c>
      <c r="AD70" s="58" t="s">
        <v>327</v>
      </c>
      <c r="AF70" s="58" t="s">
        <v>260</v>
      </c>
      <c r="AH70" s="58">
        <v>0</v>
      </c>
      <c r="AI70" s="58"/>
      <c r="AJ70" s="58">
        <v>0</v>
      </c>
      <c r="AK70" s="58"/>
      <c r="AL70" s="58"/>
      <c r="AM70" s="58"/>
      <c r="AN70" s="58">
        <v>0</v>
      </c>
      <c r="AO70" s="58"/>
      <c r="AP70" s="58">
        <v>0</v>
      </c>
      <c r="AQ70" s="58"/>
      <c r="AR70" s="58">
        <v>0</v>
      </c>
      <c r="AS70" s="58"/>
      <c r="AT70" s="58">
        <v>0</v>
      </c>
      <c r="AU70" s="58"/>
      <c r="AV70" s="58"/>
      <c r="AW70" s="58"/>
      <c r="AX70" s="58">
        <v>0</v>
      </c>
      <c r="AY70" s="58"/>
      <c r="AZ70" s="58">
        <v>0</v>
      </c>
      <c r="BA70" s="58"/>
      <c r="BB70" s="58">
        <f t="shared" si="3"/>
        <v>0</v>
      </c>
      <c r="BC70" s="58"/>
      <c r="BD70" s="58">
        <v>0</v>
      </c>
      <c r="BE70" s="58"/>
      <c r="BF70" s="58"/>
      <c r="BG70" s="58"/>
      <c r="BH70" s="58"/>
      <c r="BI70" s="58"/>
      <c r="BJ70" s="58">
        <v>0</v>
      </c>
      <c r="BK70" s="58" t="s">
        <v>327</v>
      </c>
      <c r="BM70" s="58" t="s">
        <v>260</v>
      </c>
      <c r="BO70" s="58">
        <f t="shared" ref="BO70:BO93" si="5">+BJ70+BF70+BD70+BB70</f>
        <v>0</v>
      </c>
      <c r="BP70" s="58"/>
      <c r="BQ70" s="58">
        <f>GenRev!AW70-BO70</f>
        <v>0</v>
      </c>
      <c r="BR70" s="58"/>
      <c r="BS70" s="58">
        <v>0</v>
      </c>
      <c r="BT70" s="58"/>
      <c r="BU70" s="58"/>
      <c r="BV70" s="58"/>
      <c r="BW70" s="58">
        <f>+BS70+BQ70+BU70</f>
        <v>0</v>
      </c>
      <c r="BY70" s="76">
        <f>+BW70-GenBS!AE70</f>
        <v>0</v>
      </c>
    </row>
    <row r="71" spans="1:77" s="61" customFormat="1" hidden="1">
      <c r="A71" s="58" t="s">
        <v>328</v>
      </c>
      <c r="B71" s="58"/>
      <c r="C71" s="58" t="s">
        <v>144</v>
      </c>
      <c r="E71" s="75">
        <v>45849</v>
      </c>
      <c r="G71" s="58">
        <v>0</v>
      </c>
      <c r="H71" s="58"/>
      <c r="I71" s="58">
        <v>0</v>
      </c>
      <c r="J71" s="58"/>
      <c r="K71" s="58">
        <v>0</v>
      </c>
      <c r="L71" s="58"/>
      <c r="M71" s="58">
        <v>0</v>
      </c>
      <c r="N71" s="58"/>
      <c r="O71" s="58">
        <v>0</v>
      </c>
      <c r="P71" s="58"/>
      <c r="Q71" s="58">
        <v>0</v>
      </c>
      <c r="R71" s="58"/>
      <c r="S71" s="58">
        <v>0</v>
      </c>
      <c r="T71" s="58"/>
      <c r="U71" s="58">
        <v>0</v>
      </c>
      <c r="V71" s="58"/>
      <c r="W71" s="58">
        <v>0</v>
      </c>
      <c r="X71" s="58"/>
      <c r="Y71" s="58">
        <v>0</v>
      </c>
      <c r="Z71" s="58"/>
      <c r="AA71" s="58">
        <v>0</v>
      </c>
      <c r="AB71" s="58"/>
      <c r="AC71" s="58">
        <v>0</v>
      </c>
      <c r="AD71" s="58" t="s">
        <v>328</v>
      </c>
      <c r="AE71" s="58"/>
      <c r="AF71" s="58" t="s">
        <v>144</v>
      </c>
      <c r="AG71" s="58"/>
      <c r="AH71" s="58">
        <v>0</v>
      </c>
      <c r="AI71" s="58"/>
      <c r="AJ71" s="58">
        <v>0</v>
      </c>
      <c r="AK71" s="58"/>
      <c r="AL71" s="58"/>
      <c r="AM71" s="58"/>
      <c r="AN71" s="58">
        <v>0</v>
      </c>
      <c r="AO71" s="58"/>
      <c r="AP71" s="58">
        <v>0</v>
      </c>
      <c r="AQ71" s="58"/>
      <c r="AR71" s="58">
        <v>0</v>
      </c>
      <c r="AS71" s="58"/>
      <c r="AT71" s="58">
        <v>0</v>
      </c>
      <c r="AU71" s="58"/>
      <c r="AV71" s="58"/>
      <c r="AW71" s="58"/>
      <c r="AX71" s="58">
        <v>0</v>
      </c>
      <c r="AY71" s="58"/>
      <c r="AZ71" s="58">
        <v>0</v>
      </c>
      <c r="BA71" s="58"/>
      <c r="BB71" s="58">
        <f t="shared" si="3"/>
        <v>0</v>
      </c>
      <c r="BC71" s="58"/>
      <c r="BD71" s="58">
        <v>0</v>
      </c>
      <c r="BE71" s="58"/>
      <c r="BF71" s="58"/>
      <c r="BG71" s="58"/>
      <c r="BH71" s="58"/>
      <c r="BI71" s="58"/>
      <c r="BJ71" s="58">
        <v>0</v>
      </c>
      <c r="BK71" s="58" t="s">
        <v>328</v>
      </c>
      <c r="BL71" s="58"/>
      <c r="BM71" s="58" t="s">
        <v>144</v>
      </c>
      <c r="BN71" s="58"/>
      <c r="BO71" s="58">
        <f t="shared" si="5"/>
        <v>0</v>
      </c>
      <c r="BP71" s="58"/>
      <c r="BQ71" s="58">
        <f>GenRev!AW71-BO71</f>
        <v>0</v>
      </c>
      <c r="BR71" s="58"/>
      <c r="BS71" s="58">
        <v>0</v>
      </c>
      <c r="BT71" s="58"/>
      <c r="BU71" s="58"/>
      <c r="BV71" s="58"/>
      <c r="BW71" s="58">
        <f>+BS71+BQ71+BU71</f>
        <v>0</v>
      </c>
      <c r="BX71" s="58"/>
      <c r="BY71" s="60">
        <f>+BW71-GenBS!AE71</f>
        <v>0</v>
      </c>
    </row>
    <row r="72" spans="1:77" s="103" customFormat="1">
      <c r="A72" s="3" t="s">
        <v>148</v>
      </c>
      <c r="C72" s="103" t="s">
        <v>145</v>
      </c>
      <c r="E72" s="103">
        <v>135145</v>
      </c>
      <c r="G72" s="19">
        <v>205535</v>
      </c>
      <c r="H72" s="19"/>
      <c r="I72" s="19">
        <v>1870537</v>
      </c>
      <c r="J72" s="19"/>
      <c r="K72" s="19">
        <v>0</v>
      </c>
      <c r="L72" s="19"/>
      <c r="M72" s="71">
        <v>39546</v>
      </c>
      <c r="N72" s="19"/>
      <c r="O72" s="19">
        <v>0</v>
      </c>
      <c r="P72" s="19"/>
      <c r="Q72" s="19">
        <v>841204</v>
      </c>
      <c r="R72" s="19"/>
      <c r="S72" s="19">
        <v>437810</v>
      </c>
      <c r="T72" s="19"/>
      <c r="U72" s="19">
        <v>68421</v>
      </c>
      <c r="V72" s="19"/>
      <c r="W72" s="19">
        <v>323285</v>
      </c>
      <c r="X72" s="19"/>
      <c r="Y72" s="19">
        <v>350405</v>
      </c>
      <c r="Z72" s="19"/>
      <c r="AA72" s="19">
        <v>0</v>
      </c>
      <c r="AB72" s="19"/>
      <c r="AC72" s="19">
        <v>5349</v>
      </c>
      <c r="AD72" s="3" t="s">
        <v>148</v>
      </c>
      <c r="AE72" s="19"/>
      <c r="AF72" s="19" t="s">
        <v>145</v>
      </c>
      <c r="AG72" s="19"/>
      <c r="AH72" s="19">
        <v>0</v>
      </c>
      <c r="AI72" s="19"/>
      <c r="AJ72" s="19">
        <v>6918</v>
      </c>
      <c r="AK72" s="19"/>
      <c r="AL72" s="19"/>
      <c r="AM72" s="19"/>
      <c r="AN72" s="19">
        <v>0</v>
      </c>
      <c r="AO72" s="19"/>
      <c r="AP72" s="19">
        <v>0</v>
      </c>
      <c r="AQ72" s="19"/>
      <c r="AR72" s="19">
        <v>0</v>
      </c>
      <c r="AS72" s="19"/>
      <c r="AT72" s="19">
        <v>2244</v>
      </c>
      <c r="AU72" s="19"/>
      <c r="AV72" s="19"/>
      <c r="AW72" s="19"/>
      <c r="AX72" s="19">
        <v>0</v>
      </c>
      <c r="AY72" s="19"/>
      <c r="AZ72" s="19">
        <v>0</v>
      </c>
      <c r="BA72" s="19"/>
      <c r="BB72" s="19">
        <f t="shared" si="3"/>
        <v>4151254</v>
      </c>
      <c r="BC72" s="19"/>
      <c r="BD72" s="19">
        <v>0</v>
      </c>
      <c r="BE72" s="19"/>
      <c r="BF72" s="19"/>
      <c r="BG72" s="19"/>
      <c r="BH72" s="19"/>
      <c r="BI72" s="19"/>
      <c r="BJ72" s="19">
        <v>212877</v>
      </c>
      <c r="BK72" s="3" t="s">
        <v>148</v>
      </c>
      <c r="BL72" s="19"/>
      <c r="BM72" s="19" t="s">
        <v>145</v>
      </c>
      <c r="BN72" s="19"/>
      <c r="BO72" s="19">
        <f t="shared" si="5"/>
        <v>4364131</v>
      </c>
      <c r="BP72" s="19"/>
      <c r="BQ72" s="19">
        <f>GenRev!AW72-BO72</f>
        <v>-181358</v>
      </c>
      <c r="BR72" s="19"/>
      <c r="BS72" s="19">
        <v>645619</v>
      </c>
      <c r="BT72" s="19"/>
      <c r="BU72" s="19">
        <v>0</v>
      </c>
      <c r="BV72" s="19"/>
      <c r="BW72" s="19">
        <f>+BS72+BQ72+BU72</f>
        <v>464261</v>
      </c>
      <c r="BX72" s="19"/>
      <c r="BY72" s="115">
        <f>+BW72-GenBS!AE72</f>
        <v>0</v>
      </c>
    </row>
    <row r="73" spans="1:77" s="59" customFormat="1" hidden="1">
      <c r="A73" s="58" t="s">
        <v>329</v>
      </c>
      <c r="B73" s="58"/>
      <c r="C73" s="58" t="s">
        <v>261</v>
      </c>
      <c r="E73" s="59">
        <v>45930</v>
      </c>
      <c r="G73" s="58">
        <v>0</v>
      </c>
      <c r="H73" s="58"/>
      <c r="I73" s="58">
        <v>0</v>
      </c>
      <c r="J73" s="58"/>
      <c r="K73" s="58">
        <v>0</v>
      </c>
      <c r="L73" s="58"/>
      <c r="M73" s="58">
        <v>0</v>
      </c>
      <c r="N73" s="58"/>
      <c r="O73" s="58">
        <v>0</v>
      </c>
      <c r="P73" s="58"/>
      <c r="Q73" s="58">
        <v>0</v>
      </c>
      <c r="R73" s="58"/>
      <c r="S73" s="58">
        <v>0</v>
      </c>
      <c r="T73" s="58"/>
      <c r="U73" s="58">
        <v>0</v>
      </c>
      <c r="V73" s="58"/>
      <c r="W73" s="58">
        <v>0</v>
      </c>
      <c r="X73" s="58"/>
      <c r="Y73" s="58">
        <v>0</v>
      </c>
      <c r="Z73" s="58"/>
      <c r="AA73" s="58">
        <v>0</v>
      </c>
      <c r="AB73" s="58"/>
      <c r="AC73" s="58">
        <v>0</v>
      </c>
      <c r="AD73" s="58" t="s">
        <v>329</v>
      </c>
      <c r="AE73" s="58"/>
      <c r="AF73" s="58" t="s">
        <v>261</v>
      </c>
      <c r="AG73" s="58"/>
      <c r="AH73" s="58">
        <v>0</v>
      </c>
      <c r="AI73" s="58"/>
      <c r="AJ73" s="58">
        <v>0</v>
      </c>
      <c r="AK73" s="58"/>
      <c r="AL73" s="58"/>
      <c r="AM73" s="58"/>
      <c r="AN73" s="58">
        <v>0</v>
      </c>
      <c r="AO73" s="58"/>
      <c r="AP73" s="58">
        <v>0</v>
      </c>
      <c r="AQ73" s="58"/>
      <c r="AR73" s="58">
        <v>0</v>
      </c>
      <c r="AS73" s="58"/>
      <c r="AT73" s="58">
        <v>0</v>
      </c>
      <c r="AU73" s="58"/>
      <c r="AV73" s="58"/>
      <c r="AW73" s="58"/>
      <c r="AX73" s="58">
        <v>0</v>
      </c>
      <c r="AY73" s="58"/>
      <c r="AZ73" s="58">
        <v>0</v>
      </c>
      <c r="BA73" s="58"/>
      <c r="BB73" s="58">
        <f t="shared" si="3"/>
        <v>0</v>
      </c>
      <c r="BC73" s="58"/>
      <c r="BD73" s="58">
        <v>0</v>
      </c>
      <c r="BE73" s="58"/>
      <c r="BF73" s="58"/>
      <c r="BG73" s="58"/>
      <c r="BH73" s="58"/>
      <c r="BI73" s="58"/>
      <c r="BJ73" s="58">
        <v>0</v>
      </c>
      <c r="BK73" s="58" t="s">
        <v>329</v>
      </c>
      <c r="BL73" s="58"/>
      <c r="BM73" s="58" t="s">
        <v>261</v>
      </c>
      <c r="BN73" s="58"/>
      <c r="BO73" s="58">
        <f t="shared" si="5"/>
        <v>0</v>
      </c>
      <c r="BP73" s="58"/>
      <c r="BQ73" s="58">
        <f>GenRev!AW73-BO73</f>
        <v>0</v>
      </c>
      <c r="BR73" s="58"/>
      <c r="BS73" s="58">
        <v>0</v>
      </c>
      <c r="BT73" s="58"/>
      <c r="BU73" s="58"/>
      <c r="BV73" s="58"/>
      <c r="BW73" s="58">
        <f>+BS73+BQ73+BU73</f>
        <v>0</v>
      </c>
      <c r="BX73" s="58"/>
      <c r="BY73" s="60">
        <f>+BW73-GenBS!AE73</f>
        <v>0</v>
      </c>
    </row>
    <row r="74" spans="1:77" s="103" customFormat="1">
      <c r="A74" s="103" t="s">
        <v>286</v>
      </c>
      <c r="C74" s="103" t="s">
        <v>150</v>
      </c>
      <c r="E74" s="103">
        <v>46029</v>
      </c>
      <c r="G74" s="3">
        <v>300372</v>
      </c>
      <c r="H74" s="3"/>
      <c r="I74" s="3">
        <v>1718580</v>
      </c>
      <c r="J74" s="3"/>
      <c r="K74" s="3">
        <v>0</v>
      </c>
      <c r="L74" s="3"/>
      <c r="M74" s="26">
        <v>0</v>
      </c>
      <c r="N74" s="3"/>
      <c r="O74" s="3">
        <v>0</v>
      </c>
      <c r="P74" s="3"/>
      <c r="Q74" s="3">
        <v>1102386</v>
      </c>
      <c r="R74" s="3"/>
      <c r="S74" s="3">
        <v>382874</v>
      </c>
      <c r="T74" s="3"/>
      <c r="U74" s="3">
        <v>38576</v>
      </c>
      <c r="V74" s="3"/>
      <c r="W74" s="3">
        <v>247070</v>
      </c>
      <c r="X74" s="3"/>
      <c r="Y74" s="3">
        <v>155200</v>
      </c>
      <c r="Z74" s="3"/>
      <c r="AA74" s="3">
        <v>0</v>
      </c>
      <c r="AB74" s="3"/>
      <c r="AC74" s="3">
        <v>62791</v>
      </c>
      <c r="AD74" s="103" t="s">
        <v>286</v>
      </c>
      <c r="AF74" s="103" t="s">
        <v>150</v>
      </c>
      <c r="AH74" s="3">
        <v>0</v>
      </c>
      <c r="AI74" s="3"/>
      <c r="AJ74" s="3">
        <v>171726</v>
      </c>
      <c r="AK74" s="3"/>
      <c r="AL74" s="3"/>
      <c r="AM74" s="3"/>
      <c r="AN74" s="3">
        <v>0</v>
      </c>
      <c r="AO74" s="3"/>
      <c r="AP74" s="3">
        <v>0</v>
      </c>
      <c r="AQ74" s="3"/>
      <c r="AR74" s="3">
        <v>0</v>
      </c>
      <c r="AS74" s="3"/>
      <c r="AT74" s="3">
        <v>0</v>
      </c>
      <c r="AU74" s="3"/>
      <c r="AV74" s="3"/>
      <c r="AW74" s="3"/>
      <c r="AX74" s="3">
        <v>0</v>
      </c>
      <c r="AY74" s="3"/>
      <c r="AZ74" s="3">
        <v>0</v>
      </c>
      <c r="BA74" s="3"/>
      <c r="BB74" s="3">
        <f t="shared" si="3"/>
        <v>4179575</v>
      </c>
      <c r="BC74" s="3"/>
      <c r="BD74" s="3">
        <v>0</v>
      </c>
      <c r="BE74" s="3"/>
      <c r="BF74" s="3"/>
      <c r="BG74" s="3"/>
      <c r="BH74" s="3"/>
      <c r="BI74" s="3"/>
      <c r="BJ74" s="3">
        <v>0</v>
      </c>
      <c r="BK74" s="103" t="s">
        <v>286</v>
      </c>
      <c r="BM74" s="103" t="s">
        <v>150</v>
      </c>
      <c r="BN74" s="3"/>
      <c r="BO74" s="3">
        <f t="shared" si="5"/>
        <v>4179575</v>
      </c>
      <c r="BP74" s="3"/>
      <c r="BQ74" s="3">
        <f>GenRev!AW74-BO74</f>
        <v>17570</v>
      </c>
      <c r="BR74" s="3"/>
      <c r="BS74" s="3">
        <v>1619171</v>
      </c>
      <c r="BT74" s="3"/>
      <c r="BU74" s="3">
        <v>0</v>
      </c>
      <c r="BV74" s="3"/>
      <c r="BW74" s="3">
        <f>+BS74+BQ74+BU74</f>
        <v>1636741</v>
      </c>
      <c r="BX74" s="3"/>
      <c r="BY74" s="16">
        <f>+BW74-GenBS!AE74</f>
        <v>0</v>
      </c>
    </row>
    <row r="75" spans="1:77" s="103" customFormat="1">
      <c r="A75" s="103" t="s">
        <v>287</v>
      </c>
      <c r="C75" s="103" t="s">
        <v>147</v>
      </c>
      <c r="E75" s="103">
        <v>46086</v>
      </c>
      <c r="G75" s="3">
        <v>4420857</v>
      </c>
      <c r="H75" s="3"/>
      <c r="I75" s="3">
        <v>2445079</v>
      </c>
      <c r="J75" s="3"/>
      <c r="K75" s="3">
        <v>0</v>
      </c>
      <c r="L75" s="3"/>
      <c r="M75" s="26">
        <v>0</v>
      </c>
      <c r="N75" s="3"/>
      <c r="O75" s="3">
        <v>0</v>
      </c>
      <c r="P75" s="3"/>
      <c r="Q75" s="3">
        <v>3000863</v>
      </c>
      <c r="R75" s="3"/>
      <c r="S75" s="3">
        <v>1614837</v>
      </c>
      <c r="T75" s="3"/>
      <c r="U75" s="3">
        <v>10654</v>
      </c>
      <c r="V75" s="3"/>
      <c r="W75" s="3">
        <v>2031071</v>
      </c>
      <c r="X75" s="3"/>
      <c r="Y75" s="3">
        <v>421199</v>
      </c>
      <c r="Z75" s="3"/>
      <c r="AA75" s="3">
        <v>71432</v>
      </c>
      <c r="AB75" s="3"/>
      <c r="AC75" s="3">
        <v>682787</v>
      </c>
      <c r="AD75" s="103" t="s">
        <v>287</v>
      </c>
      <c r="AF75" s="103" t="s">
        <v>147</v>
      </c>
      <c r="AH75" s="3">
        <v>196717</v>
      </c>
      <c r="AI75" s="3"/>
      <c r="AJ75" s="3">
        <v>2133541</v>
      </c>
      <c r="AK75" s="3"/>
      <c r="AL75" s="3"/>
      <c r="AM75" s="3"/>
      <c r="AN75" s="3">
        <v>0</v>
      </c>
      <c r="AO75" s="3"/>
      <c r="AP75" s="3">
        <v>0</v>
      </c>
      <c r="AQ75" s="3"/>
      <c r="AR75" s="3">
        <v>0</v>
      </c>
      <c r="AS75" s="3"/>
      <c r="AT75" s="3">
        <v>0</v>
      </c>
      <c r="AU75" s="3"/>
      <c r="AV75" s="3"/>
      <c r="AW75" s="3"/>
      <c r="AX75" s="3">
        <v>88000</v>
      </c>
      <c r="AY75" s="3"/>
      <c r="AZ75" s="3">
        <v>116955</v>
      </c>
      <c r="BA75" s="3"/>
      <c r="BB75" s="3">
        <f t="shared" si="3"/>
        <v>17233992</v>
      </c>
      <c r="BC75" s="3"/>
      <c r="BD75" s="3">
        <v>2150</v>
      </c>
      <c r="BE75" s="3"/>
      <c r="BF75" s="3"/>
      <c r="BG75" s="3"/>
      <c r="BH75" s="3"/>
      <c r="BI75" s="3"/>
      <c r="BJ75" s="3">
        <v>0</v>
      </c>
      <c r="BK75" s="103" t="s">
        <v>287</v>
      </c>
      <c r="BM75" s="103" t="s">
        <v>147</v>
      </c>
      <c r="BN75" s="3"/>
      <c r="BO75" s="3">
        <f t="shared" si="5"/>
        <v>17236142</v>
      </c>
      <c r="BP75" s="3"/>
      <c r="BQ75" s="3">
        <f>GenRev!AW75-BO75</f>
        <v>631030</v>
      </c>
      <c r="BR75" s="3"/>
      <c r="BS75" s="3">
        <v>967029</v>
      </c>
      <c r="BT75" s="3"/>
      <c r="BU75" s="3">
        <v>0</v>
      </c>
      <c r="BV75" s="3"/>
      <c r="BW75" s="3">
        <f t="shared" ref="BW75:BW131" si="6">+BS75+BQ75+BU75</f>
        <v>1598059</v>
      </c>
      <c r="BX75" s="3"/>
      <c r="BY75" s="16">
        <f>+BW75-GenBS!AE75</f>
        <v>0</v>
      </c>
    </row>
    <row r="76" spans="1:77" s="103" customFormat="1">
      <c r="A76" s="103" t="s">
        <v>288</v>
      </c>
      <c r="C76" s="103" t="s">
        <v>152</v>
      </c>
      <c r="E76" s="103">
        <v>46227</v>
      </c>
      <c r="G76" s="3">
        <v>3394</v>
      </c>
      <c r="H76" s="3"/>
      <c r="I76" s="3">
        <v>1174978</v>
      </c>
      <c r="J76" s="3"/>
      <c r="K76" s="3">
        <v>75956</v>
      </c>
      <c r="L76" s="3"/>
      <c r="M76" s="3">
        <v>0</v>
      </c>
      <c r="N76" s="3"/>
      <c r="O76" s="3">
        <v>7175</v>
      </c>
      <c r="P76" s="3"/>
      <c r="Q76" s="3">
        <v>2366677</v>
      </c>
      <c r="R76" s="3"/>
      <c r="S76" s="3">
        <v>1585186</v>
      </c>
      <c r="T76" s="3"/>
      <c r="U76" s="3">
        <v>15985</v>
      </c>
      <c r="V76" s="3"/>
      <c r="W76" s="3">
        <v>707155</v>
      </c>
      <c r="X76" s="3"/>
      <c r="Y76" s="3">
        <v>195617</v>
      </c>
      <c r="Z76" s="3"/>
      <c r="AA76" s="3">
        <v>5044</v>
      </c>
      <c r="AB76" s="3"/>
      <c r="AC76" s="3">
        <v>106047</v>
      </c>
      <c r="AD76" s="103" t="s">
        <v>288</v>
      </c>
      <c r="AF76" s="103" t="s">
        <v>152</v>
      </c>
      <c r="AH76" s="3">
        <v>0</v>
      </c>
      <c r="AI76" s="3"/>
      <c r="AJ76" s="3">
        <v>31639</v>
      </c>
      <c r="AK76" s="3"/>
      <c r="AL76" s="3"/>
      <c r="AM76" s="3"/>
      <c r="AN76" s="3">
        <v>0</v>
      </c>
      <c r="AO76" s="3"/>
      <c r="AP76" s="3">
        <v>0</v>
      </c>
      <c r="AQ76" s="3"/>
      <c r="AR76" s="3">
        <v>0</v>
      </c>
      <c r="AS76" s="3"/>
      <c r="AT76" s="3">
        <v>0</v>
      </c>
      <c r="AU76" s="3"/>
      <c r="AV76" s="3"/>
      <c r="AW76" s="3"/>
      <c r="AX76" s="3">
        <v>84786</v>
      </c>
      <c r="AY76" s="3"/>
      <c r="AZ76" s="3">
        <v>0</v>
      </c>
      <c r="BA76" s="3"/>
      <c r="BB76" s="3">
        <f t="shared" si="3"/>
        <v>6359639</v>
      </c>
      <c r="BC76" s="3"/>
      <c r="BD76" s="3">
        <v>0</v>
      </c>
      <c r="BE76" s="3"/>
      <c r="BF76" s="3"/>
      <c r="BG76" s="3"/>
      <c r="BH76" s="3"/>
      <c r="BI76" s="3"/>
      <c r="BJ76" s="3">
        <v>0</v>
      </c>
      <c r="BK76" s="103" t="s">
        <v>288</v>
      </c>
      <c r="BM76" s="103" t="s">
        <v>152</v>
      </c>
      <c r="BN76" s="3"/>
      <c r="BO76" s="3">
        <f t="shared" si="5"/>
        <v>6359639</v>
      </c>
      <c r="BP76" s="3"/>
      <c r="BQ76" s="3">
        <f>GenRev!AW76-BO76</f>
        <v>-630473</v>
      </c>
      <c r="BR76" s="3"/>
      <c r="BS76" s="3">
        <v>1843466</v>
      </c>
      <c r="BT76" s="3"/>
      <c r="BU76" s="3">
        <v>0</v>
      </c>
      <c r="BV76" s="3"/>
      <c r="BW76" s="3">
        <f t="shared" si="6"/>
        <v>1212993</v>
      </c>
      <c r="BX76" s="3"/>
      <c r="BY76" s="16">
        <f>+BW76-GenBS!AE76</f>
        <v>0</v>
      </c>
    </row>
    <row r="77" spans="1:77" s="103" customFormat="1">
      <c r="A77" s="3" t="s">
        <v>153</v>
      </c>
      <c r="C77" s="103" t="s">
        <v>154</v>
      </c>
      <c r="E77" s="103">
        <v>46292</v>
      </c>
      <c r="F77" s="3"/>
      <c r="G77" s="3">
        <v>105506</v>
      </c>
      <c r="H77" s="3"/>
      <c r="I77" s="3">
        <v>6039061</v>
      </c>
      <c r="J77" s="3"/>
      <c r="K77" s="3">
        <v>0</v>
      </c>
      <c r="L77" s="3"/>
      <c r="M77" s="3">
        <v>11185</v>
      </c>
      <c r="N77" s="3"/>
      <c r="O77" s="3">
        <v>0</v>
      </c>
      <c r="P77" s="3"/>
      <c r="Q77" s="3">
        <v>3873178</v>
      </c>
      <c r="R77" s="3"/>
      <c r="S77" s="3">
        <v>5377051</v>
      </c>
      <c r="T77" s="3"/>
      <c r="U77" s="3">
        <v>195320</v>
      </c>
      <c r="V77" s="3"/>
      <c r="W77" s="3">
        <v>424234</v>
      </c>
      <c r="X77" s="3"/>
      <c r="Y77" s="3">
        <v>253925</v>
      </c>
      <c r="Z77" s="3"/>
      <c r="AA77" s="3">
        <v>0</v>
      </c>
      <c r="AB77" s="3"/>
      <c r="AC77" s="3">
        <v>0</v>
      </c>
      <c r="AD77" s="3" t="s">
        <v>153</v>
      </c>
      <c r="AF77" s="103" t="s">
        <v>154</v>
      </c>
      <c r="AH77" s="3">
        <v>0</v>
      </c>
      <c r="AI77" s="3"/>
      <c r="AJ77" s="3">
        <v>41477</v>
      </c>
      <c r="AK77" s="3"/>
      <c r="AL77" s="3"/>
      <c r="AM77" s="3"/>
      <c r="AN77" s="3">
        <v>0</v>
      </c>
      <c r="AO77" s="3"/>
      <c r="AP77" s="3">
        <v>0</v>
      </c>
      <c r="AQ77" s="3"/>
      <c r="AR77" s="3">
        <v>0</v>
      </c>
      <c r="AS77" s="3"/>
      <c r="AT77" s="3">
        <v>23560</v>
      </c>
      <c r="AU77" s="3"/>
      <c r="AV77" s="3"/>
      <c r="AW77" s="3"/>
      <c r="AX77" s="3">
        <v>0</v>
      </c>
      <c r="AY77" s="3"/>
      <c r="AZ77" s="3">
        <v>0</v>
      </c>
      <c r="BA77" s="3"/>
      <c r="BB77" s="3">
        <f t="shared" si="3"/>
        <v>16344497</v>
      </c>
      <c r="BC77" s="3"/>
      <c r="BD77" s="3">
        <v>10000</v>
      </c>
      <c r="BE77" s="3"/>
      <c r="BF77" s="3"/>
      <c r="BG77" s="3"/>
      <c r="BH77" s="3"/>
      <c r="BI77" s="3"/>
      <c r="BJ77" s="3">
        <v>0</v>
      </c>
      <c r="BK77" s="3" t="s">
        <v>153</v>
      </c>
      <c r="BM77" s="103" t="s">
        <v>154</v>
      </c>
      <c r="BN77" s="3"/>
      <c r="BO77" s="3">
        <f t="shared" si="5"/>
        <v>16354497</v>
      </c>
      <c r="BP77" s="3"/>
      <c r="BQ77" s="3">
        <f>GenRev!AW77-BO77</f>
        <v>747488</v>
      </c>
      <c r="BR77" s="3"/>
      <c r="BS77" s="3">
        <v>4614896</v>
      </c>
      <c r="BT77" s="3"/>
      <c r="BU77" s="3">
        <v>0</v>
      </c>
      <c r="BV77" s="3"/>
      <c r="BW77" s="3">
        <f t="shared" si="6"/>
        <v>5362384</v>
      </c>
      <c r="BX77" s="3"/>
      <c r="BY77" s="16">
        <f>+BW77-GenBS!AE77</f>
        <v>0</v>
      </c>
    </row>
    <row r="78" spans="1:77" s="89" customFormat="1" hidden="1">
      <c r="A78" s="89" t="s">
        <v>276</v>
      </c>
      <c r="C78" s="89" t="s">
        <v>155</v>
      </c>
      <c r="E78" s="89">
        <v>46375</v>
      </c>
      <c r="G78" s="88">
        <v>0</v>
      </c>
      <c r="H78" s="88"/>
      <c r="I78" s="88">
        <v>0</v>
      </c>
      <c r="J78" s="88"/>
      <c r="K78" s="88">
        <v>0</v>
      </c>
      <c r="L78" s="88"/>
      <c r="M78" s="88">
        <v>0</v>
      </c>
      <c r="N78" s="88"/>
      <c r="O78" s="88">
        <v>0</v>
      </c>
      <c r="P78" s="88"/>
      <c r="Q78" s="88">
        <v>0</v>
      </c>
      <c r="R78" s="88"/>
      <c r="S78" s="88">
        <v>0</v>
      </c>
      <c r="T78" s="88"/>
      <c r="U78" s="88">
        <v>0</v>
      </c>
      <c r="V78" s="88"/>
      <c r="W78" s="88">
        <v>0</v>
      </c>
      <c r="X78" s="88"/>
      <c r="Y78" s="88">
        <v>0</v>
      </c>
      <c r="Z78" s="88"/>
      <c r="AA78" s="88">
        <v>0</v>
      </c>
      <c r="AB78" s="88"/>
      <c r="AC78" s="88">
        <v>0</v>
      </c>
      <c r="AD78" s="89" t="s">
        <v>276</v>
      </c>
      <c r="AF78" s="89" t="s">
        <v>155</v>
      </c>
      <c r="AH78" s="88">
        <v>0</v>
      </c>
      <c r="AI78" s="88"/>
      <c r="AJ78" s="88">
        <v>0</v>
      </c>
      <c r="AK78" s="88"/>
      <c r="AL78" s="88"/>
      <c r="AM78" s="88"/>
      <c r="AN78" s="88">
        <v>0</v>
      </c>
      <c r="AO78" s="88"/>
      <c r="AP78" s="88">
        <v>0</v>
      </c>
      <c r="AQ78" s="88"/>
      <c r="AR78" s="88">
        <v>0</v>
      </c>
      <c r="AS78" s="88"/>
      <c r="AT78" s="88">
        <v>0</v>
      </c>
      <c r="AU78" s="88"/>
      <c r="AV78" s="88"/>
      <c r="AW78" s="88"/>
      <c r="AX78" s="88">
        <v>0</v>
      </c>
      <c r="AY78" s="88"/>
      <c r="AZ78" s="88">
        <v>0</v>
      </c>
      <c r="BA78" s="88"/>
      <c r="BB78" s="88">
        <f t="shared" si="3"/>
        <v>0</v>
      </c>
      <c r="BC78" s="88"/>
      <c r="BD78" s="88">
        <v>0</v>
      </c>
      <c r="BE78" s="88"/>
      <c r="BF78" s="88"/>
      <c r="BG78" s="88"/>
      <c r="BH78" s="88"/>
      <c r="BI78" s="88"/>
      <c r="BJ78" s="88">
        <v>0</v>
      </c>
      <c r="BK78" s="89" t="s">
        <v>276</v>
      </c>
      <c r="BM78" s="89" t="s">
        <v>155</v>
      </c>
      <c r="BN78" s="88"/>
      <c r="BO78" s="88">
        <f t="shared" si="5"/>
        <v>0</v>
      </c>
      <c r="BP78" s="88"/>
      <c r="BQ78" s="88">
        <f>GenRev!AW78-BO78</f>
        <v>0</v>
      </c>
      <c r="BR78" s="88"/>
      <c r="BS78" s="88">
        <v>0</v>
      </c>
      <c r="BT78" s="88"/>
      <c r="BU78" s="88"/>
      <c r="BV78" s="88"/>
      <c r="BW78" s="88">
        <f t="shared" si="6"/>
        <v>0</v>
      </c>
      <c r="BX78" s="88"/>
      <c r="BY78" s="90">
        <f>+BW78-GenBS!AE78</f>
        <v>0</v>
      </c>
    </row>
    <row r="79" spans="1:77" s="103" customFormat="1">
      <c r="A79" s="103" t="s">
        <v>304</v>
      </c>
      <c r="C79" s="103" t="s">
        <v>156</v>
      </c>
      <c r="E79" s="103">
        <v>46417</v>
      </c>
      <c r="G79" s="3">
        <v>940834</v>
      </c>
      <c r="H79" s="3"/>
      <c r="I79" s="3">
        <v>1829037</v>
      </c>
      <c r="J79" s="3"/>
      <c r="K79" s="3">
        <v>0</v>
      </c>
      <c r="L79" s="3"/>
      <c r="M79" s="3">
        <v>0</v>
      </c>
      <c r="N79" s="3"/>
      <c r="O79" s="3">
        <v>0</v>
      </c>
      <c r="P79" s="3"/>
      <c r="Q79" s="3">
        <v>2759011</v>
      </c>
      <c r="R79" s="3"/>
      <c r="S79" s="3">
        <v>3011651</v>
      </c>
      <c r="T79" s="3"/>
      <c r="U79" s="3">
        <v>30898</v>
      </c>
      <c r="V79" s="3"/>
      <c r="W79" s="3">
        <v>446913</v>
      </c>
      <c r="X79" s="3"/>
      <c r="Y79" s="3">
        <v>236481</v>
      </c>
      <c r="Z79" s="3"/>
      <c r="AA79" s="3">
        <v>0</v>
      </c>
      <c r="AB79" s="3"/>
      <c r="AC79" s="3">
        <v>187331</v>
      </c>
      <c r="AD79" s="103" t="s">
        <v>304</v>
      </c>
      <c r="AF79" s="103" t="s">
        <v>156</v>
      </c>
      <c r="AH79" s="3">
        <v>471823</v>
      </c>
      <c r="AI79" s="3"/>
      <c r="AJ79" s="3">
        <v>376533</v>
      </c>
      <c r="AK79" s="3"/>
      <c r="AL79" s="3"/>
      <c r="AM79" s="3"/>
      <c r="AN79" s="3">
        <v>0</v>
      </c>
      <c r="AO79" s="3"/>
      <c r="AP79" s="3">
        <v>108915</v>
      </c>
      <c r="AQ79" s="3"/>
      <c r="AR79" s="3">
        <v>0</v>
      </c>
      <c r="AS79" s="3"/>
      <c r="AT79" s="3">
        <v>0</v>
      </c>
      <c r="AU79" s="3"/>
      <c r="AV79" s="3"/>
      <c r="AW79" s="3"/>
      <c r="AX79" s="3">
        <v>55297</v>
      </c>
      <c r="AY79" s="3"/>
      <c r="AZ79" s="3">
        <v>23819</v>
      </c>
      <c r="BA79" s="3"/>
      <c r="BB79" s="3">
        <f t="shared" si="3"/>
        <v>10478543</v>
      </c>
      <c r="BC79" s="3"/>
      <c r="BD79" s="3">
        <v>0</v>
      </c>
      <c r="BE79" s="3"/>
      <c r="BF79" s="3"/>
      <c r="BG79" s="3"/>
      <c r="BH79" s="3"/>
      <c r="BI79" s="3"/>
      <c r="BJ79" s="3">
        <v>0</v>
      </c>
      <c r="BK79" s="103" t="s">
        <v>304</v>
      </c>
      <c r="BM79" s="103" t="s">
        <v>156</v>
      </c>
      <c r="BN79" s="3"/>
      <c r="BO79" s="3">
        <f t="shared" si="5"/>
        <v>10478543</v>
      </c>
      <c r="BP79" s="3"/>
      <c r="BQ79" s="3">
        <f>GenRev!AW79-BO79</f>
        <v>-510284</v>
      </c>
      <c r="BR79" s="3"/>
      <c r="BS79" s="3">
        <v>459566</v>
      </c>
      <c r="BT79" s="3"/>
      <c r="BU79" s="3">
        <v>0</v>
      </c>
      <c r="BV79" s="3"/>
      <c r="BW79" s="3">
        <f t="shared" si="6"/>
        <v>-50718</v>
      </c>
      <c r="BX79" s="3"/>
      <c r="BY79" s="16">
        <f>+BW79-GenBS!AE79</f>
        <v>0</v>
      </c>
    </row>
    <row r="80" spans="1:77" s="103" customFormat="1">
      <c r="A80" s="3" t="s">
        <v>306</v>
      </c>
      <c r="C80" s="103" t="s">
        <v>157</v>
      </c>
      <c r="E80" s="103">
        <v>46532</v>
      </c>
      <c r="G80" s="3">
        <v>1179255</v>
      </c>
      <c r="H80" s="3"/>
      <c r="I80" s="3">
        <v>27821010</v>
      </c>
      <c r="J80" s="3"/>
      <c r="K80" s="3">
        <v>544475</v>
      </c>
      <c r="L80" s="3"/>
      <c r="M80" s="3">
        <v>0</v>
      </c>
      <c r="N80" s="3"/>
      <c r="O80" s="3">
        <v>0</v>
      </c>
      <c r="P80" s="3"/>
      <c r="Q80" s="3">
        <v>5486236</v>
      </c>
      <c r="R80" s="3"/>
      <c r="S80" s="3">
        <v>6088896</v>
      </c>
      <c r="T80" s="3"/>
      <c r="U80" s="3">
        <v>53504</v>
      </c>
      <c r="V80" s="3"/>
      <c r="W80" s="3">
        <v>10075054</v>
      </c>
      <c r="X80" s="3"/>
      <c r="Y80" s="3">
        <v>1092200</v>
      </c>
      <c r="Z80" s="3"/>
      <c r="AA80" s="3">
        <v>47769</v>
      </c>
      <c r="AB80" s="3"/>
      <c r="AC80" s="3">
        <v>1606895</v>
      </c>
      <c r="AD80" s="3" t="s">
        <v>306</v>
      </c>
      <c r="AF80" s="103" t="s">
        <v>157</v>
      </c>
      <c r="AH80" s="3">
        <v>3213</v>
      </c>
      <c r="AI80" s="3"/>
      <c r="AJ80" s="3">
        <v>37721</v>
      </c>
      <c r="AK80" s="3"/>
      <c r="AL80" s="3"/>
      <c r="AM80" s="3"/>
      <c r="AN80" s="3">
        <v>0</v>
      </c>
      <c r="AO80" s="3"/>
      <c r="AP80" s="3">
        <v>0</v>
      </c>
      <c r="AQ80" s="3"/>
      <c r="AR80" s="3">
        <v>61534</v>
      </c>
      <c r="AS80" s="3"/>
      <c r="AT80" s="3">
        <v>5947818</v>
      </c>
      <c r="AU80" s="3"/>
      <c r="AV80" s="3"/>
      <c r="AW80" s="3"/>
      <c r="AX80" s="3">
        <v>21749</v>
      </c>
      <c r="AY80" s="3"/>
      <c r="AZ80" s="3">
        <v>2016</v>
      </c>
      <c r="BA80" s="3"/>
      <c r="BB80" s="3">
        <f t="shared" si="3"/>
        <v>60069345</v>
      </c>
      <c r="BC80" s="3"/>
      <c r="BD80" s="3">
        <v>0</v>
      </c>
      <c r="BE80" s="3"/>
      <c r="BF80" s="3"/>
      <c r="BG80" s="3"/>
      <c r="BH80" s="3"/>
      <c r="BI80" s="3"/>
      <c r="BJ80" s="3">
        <v>0</v>
      </c>
      <c r="BK80" s="3" t="s">
        <v>306</v>
      </c>
      <c r="BM80" s="103" t="s">
        <v>157</v>
      </c>
      <c r="BN80" s="3"/>
      <c r="BO80" s="3">
        <f t="shared" si="5"/>
        <v>60069345</v>
      </c>
      <c r="BP80" s="3"/>
      <c r="BQ80" s="3">
        <f>GenRev!AW80-BO80</f>
        <v>-8594949</v>
      </c>
      <c r="BR80" s="3"/>
      <c r="BS80" s="3">
        <v>22603052</v>
      </c>
      <c r="BT80" s="3"/>
      <c r="BU80" s="3">
        <v>0</v>
      </c>
      <c r="BV80" s="3"/>
      <c r="BW80" s="3">
        <f t="shared" si="6"/>
        <v>14008103</v>
      </c>
      <c r="BX80" s="3"/>
      <c r="BY80" s="16">
        <f>+BW80-GenBS!AE80</f>
        <v>0</v>
      </c>
    </row>
    <row r="81" spans="1:77" s="59" customFormat="1" hidden="1">
      <c r="A81" s="58" t="s">
        <v>309</v>
      </c>
      <c r="C81" s="59" t="s">
        <v>158</v>
      </c>
      <c r="E81" s="59">
        <v>46615</v>
      </c>
      <c r="G81" s="58">
        <v>0</v>
      </c>
      <c r="H81" s="58"/>
      <c r="I81" s="58">
        <v>0</v>
      </c>
      <c r="J81" s="58"/>
      <c r="K81" s="58">
        <v>0</v>
      </c>
      <c r="L81" s="58"/>
      <c r="M81" s="58">
        <v>0</v>
      </c>
      <c r="N81" s="58"/>
      <c r="O81" s="58">
        <v>0</v>
      </c>
      <c r="P81" s="58"/>
      <c r="Q81" s="58">
        <v>0</v>
      </c>
      <c r="R81" s="58"/>
      <c r="S81" s="58">
        <v>0</v>
      </c>
      <c r="T81" s="58"/>
      <c r="U81" s="58">
        <v>0</v>
      </c>
      <c r="V81" s="58"/>
      <c r="W81" s="58">
        <v>0</v>
      </c>
      <c r="X81" s="58"/>
      <c r="Y81" s="58">
        <v>0</v>
      </c>
      <c r="Z81" s="58"/>
      <c r="AA81" s="58">
        <v>0</v>
      </c>
      <c r="AB81" s="58"/>
      <c r="AC81" s="58">
        <v>0</v>
      </c>
      <c r="AD81" s="58" t="s">
        <v>309</v>
      </c>
      <c r="AF81" s="59" t="s">
        <v>158</v>
      </c>
      <c r="AH81" s="58">
        <v>0</v>
      </c>
      <c r="AI81" s="58"/>
      <c r="AJ81" s="58">
        <v>0</v>
      </c>
      <c r="AK81" s="58"/>
      <c r="AL81" s="58"/>
      <c r="AM81" s="58"/>
      <c r="AN81" s="58">
        <v>0</v>
      </c>
      <c r="AO81" s="58"/>
      <c r="AP81" s="58">
        <v>0</v>
      </c>
      <c r="AQ81" s="58"/>
      <c r="AR81" s="58">
        <v>0</v>
      </c>
      <c r="AS81" s="58"/>
      <c r="AT81" s="58">
        <v>0</v>
      </c>
      <c r="AU81" s="58"/>
      <c r="AV81" s="58"/>
      <c r="AW81" s="58"/>
      <c r="AX81" s="58">
        <v>0</v>
      </c>
      <c r="AY81" s="58"/>
      <c r="AZ81" s="58">
        <v>0</v>
      </c>
      <c r="BA81" s="58"/>
      <c r="BB81" s="58">
        <f t="shared" si="3"/>
        <v>0</v>
      </c>
      <c r="BC81" s="58"/>
      <c r="BD81" s="58">
        <v>0</v>
      </c>
      <c r="BE81" s="58"/>
      <c r="BF81" s="58"/>
      <c r="BG81" s="58"/>
      <c r="BH81" s="58"/>
      <c r="BI81" s="58"/>
      <c r="BJ81" s="58">
        <v>0</v>
      </c>
      <c r="BK81" s="58" t="s">
        <v>309</v>
      </c>
      <c r="BM81" s="59" t="s">
        <v>158</v>
      </c>
      <c r="BN81" s="58"/>
      <c r="BO81" s="58">
        <f t="shared" si="5"/>
        <v>0</v>
      </c>
      <c r="BP81" s="58"/>
      <c r="BQ81" s="58">
        <f>GenRev!AW81-BO81</f>
        <v>0</v>
      </c>
      <c r="BR81" s="58"/>
      <c r="BS81" s="58">
        <v>0</v>
      </c>
      <c r="BT81" s="58"/>
      <c r="BU81" s="58"/>
      <c r="BV81" s="58"/>
      <c r="BW81" s="58">
        <f t="shared" si="6"/>
        <v>0</v>
      </c>
      <c r="BX81" s="58"/>
      <c r="BY81" s="60">
        <f>+BW81-GenBS!AE81</f>
        <v>0</v>
      </c>
    </row>
    <row r="82" spans="1:77" s="89" customFormat="1" hidden="1">
      <c r="A82" s="88" t="s">
        <v>305</v>
      </c>
      <c r="C82" s="89" t="s">
        <v>159</v>
      </c>
      <c r="E82" s="89">
        <v>46730</v>
      </c>
      <c r="G82" s="88">
        <v>0</v>
      </c>
      <c r="H82" s="88"/>
      <c r="I82" s="88">
        <v>0</v>
      </c>
      <c r="J82" s="88"/>
      <c r="K82" s="88">
        <v>0</v>
      </c>
      <c r="L82" s="88"/>
      <c r="M82" s="88">
        <v>0</v>
      </c>
      <c r="N82" s="88"/>
      <c r="O82" s="88">
        <v>0</v>
      </c>
      <c r="P82" s="88"/>
      <c r="Q82" s="88">
        <v>0</v>
      </c>
      <c r="R82" s="88"/>
      <c r="S82" s="88">
        <v>0</v>
      </c>
      <c r="T82" s="88"/>
      <c r="U82" s="88">
        <v>0</v>
      </c>
      <c r="V82" s="88"/>
      <c r="W82" s="88">
        <v>0</v>
      </c>
      <c r="X82" s="88"/>
      <c r="Y82" s="88">
        <v>0</v>
      </c>
      <c r="Z82" s="88"/>
      <c r="AA82" s="88">
        <v>0</v>
      </c>
      <c r="AB82" s="88"/>
      <c r="AC82" s="88">
        <v>0</v>
      </c>
      <c r="AD82" s="88" t="s">
        <v>305</v>
      </c>
      <c r="AF82" s="89" t="s">
        <v>159</v>
      </c>
      <c r="AH82" s="88">
        <v>0</v>
      </c>
      <c r="AI82" s="88"/>
      <c r="AJ82" s="88">
        <v>0</v>
      </c>
      <c r="AK82" s="88"/>
      <c r="AL82" s="88"/>
      <c r="AM82" s="88"/>
      <c r="AN82" s="88">
        <v>0</v>
      </c>
      <c r="AO82" s="88"/>
      <c r="AP82" s="88">
        <v>0</v>
      </c>
      <c r="AQ82" s="88"/>
      <c r="AR82" s="88">
        <v>0</v>
      </c>
      <c r="AS82" s="88"/>
      <c r="AT82" s="88">
        <v>0</v>
      </c>
      <c r="AU82" s="88"/>
      <c r="AV82" s="88"/>
      <c r="AW82" s="88"/>
      <c r="AX82" s="88">
        <v>0</v>
      </c>
      <c r="AY82" s="88"/>
      <c r="AZ82" s="88">
        <v>0</v>
      </c>
      <c r="BA82" s="88"/>
      <c r="BB82" s="88">
        <f t="shared" si="3"/>
        <v>0</v>
      </c>
      <c r="BC82" s="88"/>
      <c r="BD82" s="88">
        <v>0</v>
      </c>
      <c r="BE82" s="88"/>
      <c r="BF82" s="88"/>
      <c r="BG82" s="88"/>
      <c r="BH82" s="88"/>
      <c r="BI82" s="88"/>
      <c r="BJ82" s="88">
        <v>0</v>
      </c>
      <c r="BK82" s="88" t="s">
        <v>305</v>
      </c>
      <c r="BM82" s="89" t="s">
        <v>159</v>
      </c>
      <c r="BN82" s="88"/>
      <c r="BO82" s="88">
        <f t="shared" si="5"/>
        <v>0</v>
      </c>
      <c r="BP82" s="88"/>
      <c r="BQ82" s="88">
        <f>GenRev!AW82-BO82</f>
        <v>0</v>
      </c>
      <c r="BR82" s="88"/>
      <c r="BS82" s="88">
        <v>0</v>
      </c>
      <c r="BT82" s="88"/>
      <c r="BU82" s="88"/>
      <c r="BV82" s="88"/>
      <c r="BW82" s="88">
        <f t="shared" si="6"/>
        <v>0</v>
      </c>
      <c r="BX82" s="88"/>
      <c r="BY82" s="90">
        <f>+BW82-GenBS!AE82</f>
        <v>0</v>
      </c>
    </row>
    <row r="83" spans="1:77" s="103" customFormat="1">
      <c r="A83" s="3" t="s">
        <v>303</v>
      </c>
      <c r="C83" s="103" t="s">
        <v>198</v>
      </c>
      <c r="E83" s="103">
        <v>50260</v>
      </c>
      <c r="G83" s="3">
        <v>760949</v>
      </c>
      <c r="H83" s="3"/>
      <c r="I83" s="3">
        <v>1580393</v>
      </c>
      <c r="J83" s="3"/>
      <c r="K83" s="3">
        <v>0</v>
      </c>
      <c r="L83" s="3"/>
      <c r="M83" s="3">
        <v>0</v>
      </c>
      <c r="N83" s="3"/>
      <c r="O83" s="3">
        <v>480652</v>
      </c>
      <c r="P83" s="3"/>
      <c r="Q83" s="3">
        <v>2670344</v>
      </c>
      <c r="R83" s="3"/>
      <c r="S83" s="3">
        <v>2914446</v>
      </c>
      <c r="T83" s="3"/>
      <c r="U83" s="3">
        <v>27731</v>
      </c>
      <c r="V83" s="3"/>
      <c r="W83" s="3">
        <v>363916</v>
      </c>
      <c r="X83" s="3"/>
      <c r="Y83" s="3">
        <v>278304</v>
      </c>
      <c r="Z83" s="3"/>
      <c r="AA83" s="3">
        <v>189818</v>
      </c>
      <c r="AB83" s="3"/>
      <c r="AC83" s="3">
        <v>198853</v>
      </c>
      <c r="AD83" s="3" t="s">
        <v>303</v>
      </c>
      <c r="AF83" s="103" t="s">
        <v>198</v>
      </c>
      <c r="AH83" s="3">
        <v>39580</v>
      </c>
      <c r="AI83" s="3"/>
      <c r="AJ83" s="3">
        <v>532233</v>
      </c>
      <c r="AK83" s="3"/>
      <c r="AL83" s="3"/>
      <c r="AM83" s="3"/>
      <c r="AN83" s="3">
        <v>0</v>
      </c>
      <c r="AO83" s="3"/>
      <c r="AP83" s="3">
        <v>0</v>
      </c>
      <c r="AQ83" s="3"/>
      <c r="AR83" s="3">
        <v>0</v>
      </c>
      <c r="AS83" s="3"/>
      <c r="AT83" s="3">
        <v>170429</v>
      </c>
      <c r="AU83" s="3"/>
      <c r="AV83" s="3"/>
      <c r="AW83" s="3"/>
      <c r="AX83" s="3">
        <v>129031</v>
      </c>
      <c r="AY83" s="3"/>
      <c r="AZ83" s="3">
        <v>21942</v>
      </c>
      <c r="BA83" s="3"/>
      <c r="BB83" s="3">
        <f t="shared" ref="BB83:BB131" si="7">SUM(G83:AZ83)</f>
        <v>10358621</v>
      </c>
      <c r="BC83" s="3"/>
      <c r="BD83" s="3">
        <v>0</v>
      </c>
      <c r="BE83" s="3"/>
      <c r="BF83" s="3"/>
      <c r="BG83" s="3"/>
      <c r="BH83" s="3"/>
      <c r="BI83" s="3"/>
      <c r="BJ83" s="3">
        <v>0</v>
      </c>
      <c r="BK83" s="3" t="s">
        <v>303</v>
      </c>
      <c r="BM83" s="103" t="s">
        <v>198</v>
      </c>
      <c r="BN83" s="3"/>
      <c r="BO83" s="3">
        <f t="shared" si="5"/>
        <v>10358621</v>
      </c>
      <c r="BP83" s="3"/>
      <c r="BQ83" s="3">
        <f>GenRev!AW83-BO83</f>
        <v>-297697</v>
      </c>
      <c r="BR83" s="3"/>
      <c r="BS83" s="3">
        <v>1038074</v>
      </c>
      <c r="BT83" s="3"/>
      <c r="BU83" s="3">
        <v>0</v>
      </c>
      <c r="BV83" s="3"/>
      <c r="BW83" s="3">
        <f t="shared" si="6"/>
        <v>740377</v>
      </c>
      <c r="BX83" s="3"/>
      <c r="BY83" s="16">
        <f>+BW83-GenBS!AE83</f>
        <v>0</v>
      </c>
    </row>
    <row r="84" spans="1:77" s="103" customFormat="1">
      <c r="A84" s="3" t="s">
        <v>312</v>
      </c>
      <c r="C84" s="103" t="s">
        <v>162</v>
      </c>
      <c r="E84" s="103">
        <v>46938</v>
      </c>
      <c r="G84" s="3">
        <v>392746</v>
      </c>
      <c r="H84" s="3"/>
      <c r="I84" s="3">
        <v>8936899</v>
      </c>
      <c r="J84" s="3"/>
      <c r="K84" s="3">
        <v>0</v>
      </c>
      <c r="L84" s="3"/>
      <c r="M84" s="3">
        <v>0</v>
      </c>
      <c r="N84" s="3"/>
      <c r="O84" s="3">
        <v>829</v>
      </c>
      <c r="P84" s="3"/>
      <c r="Q84" s="3">
        <v>8208802</v>
      </c>
      <c r="R84" s="3"/>
      <c r="S84" s="3">
        <v>10607880</v>
      </c>
      <c r="T84" s="3"/>
      <c r="U84" s="3">
        <v>59271</v>
      </c>
      <c r="V84" s="3"/>
      <c r="W84" s="3">
        <v>7774412</v>
      </c>
      <c r="X84" s="3"/>
      <c r="Y84" s="3">
        <v>1731126</v>
      </c>
      <c r="Z84" s="3"/>
      <c r="AA84" s="3">
        <v>526946</v>
      </c>
      <c r="AB84" s="3"/>
      <c r="AC84" s="3">
        <v>1011625</v>
      </c>
      <c r="AD84" s="3" t="s">
        <v>312</v>
      </c>
      <c r="AF84" s="103" t="s">
        <v>162</v>
      </c>
      <c r="AH84" s="3">
        <v>182668</v>
      </c>
      <c r="AI84" s="3"/>
      <c r="AJ84" s="3">
        <v>36164712</v>
      </c>
      <c r="AK84" s="3"/>
      <c r="AL84" s="3"/>
      <c r="AM84" s="3"/>
      <c r="AN84" s="3">
        <v>0</v>
      </c>
      <c r="AO84" s="3"/>
      <c r="AP84" s="3">
        <v>63880</v>
      </c>
      <c r="AQ84" s="3"/>
      <c r="AR84" s="3">
        <v>138149</v>
      </c>
      <c r="AS84" s="3"/>
      <c r="AT84" s="3">
        <v>7096</v>
      </c>
      <c r="AU84" s="3"/>
      <c r="AV84" s="3"/>
      <c r="AW84" s="3"/>
      <c r="AX84" s="3">
        <v>314662</v>
      </c>
      <c r="AY84" s="3"/>
      <c r="AZ84" s="3">
        <v>112763</v>
      </c>
      <c r="BA84" s="3"/>
      <c r="BB84" s="3">
        <f t="shared" si="7"/>
        <v>76234466</v>
      </c>
      <c r="BC84" s="3"/>
      <c r="BD84" s="3">
        <v>151394</v>
      </c>
      <c r="BE84" s="3"/>
      <c r="BF84" s="3"/>
      <c r="BG84" s="3"/>
      <c r="BH84" s="3"/>
      <c r="BI84" s="3"/>
      <c r="BJ84" s="3">
        <v>0</v>
      </c>
      <c r="BK84" s="3" t="s">
        <v>312</v>
      </c>
      <c r="BM84" s="103" t="s">
        <v>162</v>
      </c>
      <c r="BN84" s="3"/>
      <c r="BO84" s="3">
        <f t="shared" si="5"/>
        <v>76385860</v>
      </c>
      <c r="BP84" s="3"/>
      <c r="BQ84" s="3">
        <f>GenRev!AW84-BO84</f>
        <v>-5704326</v>
      </c>
      <c r="BR84" s="3"/>
      <c r="BS84" s="3">
        <v>12068973</v>
      </c>
      <c r="BT84" s="3"/>
      <c r="BU84" s="3">
        <v>0</v>
      </c>
      <c r="BV84" s="3"/>
      <c r="BW84" s="3">
        <f t="shared" si="6"/>
        <v>6364647</v>
      </c>
      <c r="BX84" s="3"/>
      <c r="BY84" s="16">
        <f>+BW84-GenBS!AE84</f>
        <v>0</v>
      </c>
    </row>
    <row r="85" spans="1:77" s="89" customFormat="1" hidden="1">
      <c r="A85" s="89" t="s">
        <v>274</v>
      </c>
      <c r="C85" s="89" t="s">
        <v>160</v>
      </c>
      <c r="E85" s="89">
        <v>125690</v>
      </c>
      <c r="G85" s="88">
        <v>0</v>
      </c>
      <c r="H85" s="88"/>
      <c r="I85" s="88">
        <v>0</v>
      </c>
      <c r="J85" s="88"/>
      <c r="K85" s="88">
        <v>0</v>
      </c>
      <c r="L85" s="88"/>
      <c r="M85" s="88">
        <v>0</v>
      </c>
      <c r="N85" s="88"/>
      <c r="O85" s="88">
        <v>0</v>
      </c>
      <c r="P85" s="88"/>
      <c r="Q85" s="88">
        <v>0</v>
      </c>
      <c r="R85" s="88"/>
      <c r="S85" s="88">
        <v>0</v>
      </c>
      <c r="T85" s="88"/>
      <c r="U85" s="88">
        <v>0</v>
      </c>
      <c r="V85" s="88"/>
      <c r="W85" s="88">
        <v>0</v>
      </c>
      <c r="X85" s="88"/>
      <c r="Y85" s="88">
        <v>0</v>
      </c>
      <c r="Z85" s="88"/>
      <c r="AA85" s="88">
        <v>0</v>
      </c>
      <c r="AB85" s="88"/>
      <c r="AC85" s="88">
        <v>0</v>
      </c>
      <c r="AD85" s="89" t="s">
        <v>274</v>
      </c>
      <c r="AF85" s="89" t="s">
        <v>160</v>
      </c>
      <c r="AH85" s="88">
        <v>0</v>
      </c>
      <c r="AI85" s="88"/>
      <c r="AJ85" s="88">
        <v>0</v>
      </c>
      <c r="AK85" s="88"/>
      <c r="AL85" s="88"/>
      <c r="AM85" s="88"/>
      <c r="AN85" s="88">
        <v>0</v>
      </c>
      <c r="AO85" s="88"/>
      <c r="AP85" s="88">
        <v>0</v>
      </c>
      <c r="AQ85" s="88"/>
      <c r="AR85" s="88">
        <v>0</v>
      </c>
      <c r="AS85" s="88"/>
      <c r="AT85" s="88">
        <v>0</v>
      </c>
      <c r="AU85" s="88"/>
      <c r="AV85" s="88"/>
      <c r="AW85" s="88"/>
      <c r="AX85" s="88">
        <v>0</v>
      </c>
      <c r="AY85" s="88"/>
      <c r="AZ85" s="88">
        <v>0</v>
      </c>
      <c r="BA85" s="88"/>
      <c r="BB85" s="88">
        <f t="shared" si="7"/>
        <v>0</v>
      </c>
      <c r="BC85" s="88"/>
      <c r="BD85" s="88">
        <v>0</v>
      </c>
      <c r="BE85" s="88"/>
      <c r="BF85" s="88"/>
      <c r="BG85" s="88"/>
      <c r="BH85" s="88"/>
      <c r="BI85" s="88"/>
      <c r="BJ85" s="88">
        <v>0</v>
      </c>
      <c r="BK85" s="89" t="s">
        <v>274</v>
      </c>
      <c r="BM85" s="89" t="s">
        <v>160</v>
      </c>
      <c r="BN85" s="88"/>
      <c r="BO85" s="88">
        <f t="shared" si="5"/>
        <v>0</v>
      </c>
      <c r="BP85" s="88"/>
      <c r="BQ85" s="88">
        <f>GenRev!AW85-BO85</f>
        <v>0</v>
      </c>
      <c r="BR85" s="88"/>
      <c r="BS85" s="88">
        <v>0</v>
      </c>
      <c r="BT85" s="88"/>
      <c r="BU85" s="88"/>
      <c r="BV85" s="88"/>
      <c r="BW85" s="88">
        <f t="shared" si="6"/>
        <v>0</v>
      </c>
      <c r="BX85" s="88"/>
      <c r="BY85" s="90">
        <f>+BW85-GenBS!AE85</f>
        <v>0</v>
      </c>
    </row>
    <row r="86" spans="1:77" s="103" customFormat="1">
      <c r="A86" s="3" t="s">
        <v>314</v>
      </c>
      <c r="C86" s="103" t="s">
        <v>161</v>
      </c>
      <c r="E86" s="103">
        <v>46839</v>
      </c>
      <c r="G86" s="3">
        <v>272865</v>
      </c>
      <c r="H86" s="3"/>
      <c r="I86" s="3">
        <v>1982000</v>
      </c>
      <c r="J86" s="3"/>
      <c r="K86" s="3">
        <v>0</v>
      </c>
      <c r="L86" s="3"/>
      <c r="M86" s="3">
        <v>0</v>
      </c>
      <c r="N86" s="3"/>
      <c r="O86" s="3">
        <v>0</v>
      </c>
      <c r="P86" s="3"/>
      <c r="Q86" s="3">
        <v>2034429</v>
      </c>
      <c r="R86" s="3"/>
      <c r="S86" s="3">
        <v>2614543</v>
      </c>
      <c r="T86" s="3"/>
      <c r="U86" s="3">
        <v>26925</v>
      </c>
      <c r="V86" s="3"/>
      <c r="W86" s="3">
        <v>1210221</v>
      </c>
      <c r="X86" s="3"/>
      <c r="Y86" s="3">
        <v>211651</v>
      </c>
      <c r="Z86" s="3"/>
      <c r="AA86" s="3">
        <v>0</v>
      </c>
      <c r="AB86" s="3"/>
      <c r="AC86" s="3">
        <v>117179</v>
      </c>
      <c r="AD86" s="3" t="s">
        <v>314</v>
      </c>
      <c r="AF86" s="103" t="s">
        <v>161</v>
      </c>
      <c r="AH86" s="3">
        <v>0</v>
      </c>
      <c r="AI86" s="3"/>
      <c r="AJ86" s="3">
        <v>117872</v>
      </c>
      <c r="AK86" s="3"/>
      <c r="AL86" s="3"/>
      <c r="AM86" s="3"/>
      <c r="AN86" s="3">
        <v>0</v>
      </c>
      <c r="AO86" s="3"/>
      <c r="AP86" s="3">
        <v>0</v>
      </c>
      <c r="AQ86" s="3"/>
      <c r="AR86" s="3">
        <v>0</v>
      </c>
      <c r="AS86" s="3"/>
      <c r="AT86" s="3">
        <v>0</v>
      </c>
      <c r="AU86" s="3"/>
      <c r="AV86" s="3"/>
      <c r="AW86" s="3"/>
      <c r="AX86" s="3">
        <v>7341</v>
      </c>
      <c r="AY86" s="3"/>
      <c r="AZ86" s="3">
        <v>774</v>
      </c>
      <c r="BA86" s="3"/>
      <c r="BB86" s="3">
        <f t="shared" si="7"/>
        <v>8595800</v>
      </c>
      <c r="BC86" s="3"/>
      <c r="BD86" s="3">
        <v>0</v>
      </c>
      <c r="BE86" s="3"/>
      <c r="BF86" s="3"/>
      <c r="BG86" s="3"/>
      <c r="BH86" s="3"/>
      <c r="BI86" s="3"/>
      <c r="BJ86" s="3">
        <v>0</v>
      </c>
      <c r="BK86" s="3" t="s">
        <v>314</v>
      </c>
      <c r="BM86" s="103" t="s">
        <v>161</v>
      </c>
      <c r="BN86" s="3"/>
      <c r="BO86" s="3">
        <f t="shared" si="5"/>
        <v>8595800</v>
      </c>
      <c r="BP86" s="3"/>
      <c r="BQ86" s="3">
        <f>GenRev!AW86-BO86</f>
        <v>-383461</v>
      </c>
      <c r="BR86" s="3"/>
      <c r="BS86" s="3">
        <v>1053161</v>
      </c>
      <c r="BT86" s="3"/>
      <c r="BU86" s="3">
        <v>0</v>
      </c>
      <c r="BV86" s="3"/>
      <c r="BW86" s="3">
        <f t="shared" si="6"/>
        <v>669700</v>
      </c>
      <c r="BX86" s="3"/>
      <c r="BY86" s="16">
        <f>+BW86-GenBS!AE86</f>
        <v>0</v>
      </c>
    </row>
    <row r="87" spans="1:77" s="103" customFormat="1">
      <c r="A87" s="3" t="s">
        <v>164</v>
      </c>
      <c r="C87" s="103" t="s">
        <v>165</v>
      </c>
      <c r="E87" s="103">
        <v>125682</v>
      </c>
      <c r="G87" s="3">
        <v>708105</v>
      </c>
      <c r="H87" s="3"/>
      <c r="I87" s="3">
        <v>56652</v>
      </c>
      <c r="J87" s="3"/>
      <c r="K87" s="3">
        <v>0</v>
      </c>
      <c r="L87" s="3"/>
      <c r="M87" s="3">
        <v>0</v>
      </c>
      <c r="N87" s="3"/>
      <c r="O87" s="3">
        <v>0</v>
      </c>
      <c r="P87" s="3"/>
      <c r="Q87" s="3">
        <v>388083</v>
      </c>
      <c r="R87" s="3"/>
      <c r="S87" s="3">
        <v>912772</v>
      </c>
      <c r="T87" s="3"/>
      <c r="U87" s="3">
        <v>32905</v>
      </c>
      <c r="V87" s="3"/>
      <c r="W87" s="3">
        <v>591916</v>
      </c>
      <c r="X87" s="3"/>
      <c r="Y87" s="3">
        <v>90116</v>
      </c>
      <c r="Z87" s="3"/>
      <c r="AA87" s="3">
        <v>0</v>
      </c>
      <c r="AB87" s="3"/>
      <c r="AC87" s="3">
        <v>10955</v>
      </c>
      <c r="AD87" s="3" t="s">
        <v>164</v>
      </c>
      <c r="AF87" s="103" t="s">
        <v>165</v>
      </c>
      <c r="AH87" s="3">
        <v>217633</v>
      </c>
      <c r="AI87" s="3"/>
      <c r="AJ87" s="3">
        <v>60834</v>
      </c>
      <c r="AK87" s="3"/>
      <c r="AL87" s="3"/>
      <c r="AM87" s="3"/>
      <c r="AN87" s="3">
        <v>0</v>
      </c>
      <c r="AO87" s="3"/>
      <c r="AP87" s="3">
        <v>20777</v>
      </c>
      <c r="AQ87" s="3"/>
      <c r="AR87" s="3">
        <v>0</v>
      </c>
      <c r="AS87" s="3"/>
      <c r="AT87" s="3">
        <v>7808</v>
      </c>
      <c r="AU87" s="3"/>
      <c r="AV87" s="3"/>
      <c r="AW87" s="3"/>
      <c r="AX87" s="3">
        <v>0</v>
      </c>
      <c r="AY87" s="3"/>
      <c r="AZ87" s="3">
        <v>0</v>
      </c>
      <c r="BA87" s="3"/>
      <c r="BB87" s="3">
        <f t="shared" si="7"/>
        <v>3098556</v>
      </c>
      <c r="BC87" s="3"/>
      <c r="BD87" s="3">
        <v>8122</v>
      </c>
      <c r="BE87" s="3"/>
      <c r="BF87" s="3"/>
      <c r="BG87" s="3"/>
      <c r="BH87" s="3"/>
      <c r="BI87" s="3"/>
      <c r="BJ87" s="3">
        <v>0</v>
      </c>
      <c r="BK87" s="3" t="s">
        <v>164</v>
      </c>
      <c r="BM87" s="103" t="s">
        <v>165</v>
      </c>
      <c r="BN87" s="3"/>
      <c r="BO87" s="3">
        <f t="shared" si="5"/>
        <v>3106678</v>
      </c>
      <c r="BP87" s="3"/>
      <c r="BQ87" s="3">
        <f>GenRev!AW87-BO87</f>
        <v>18764</v>
      </c>
      <c r="BR87" s="3"/>
      <c r="BS87" s="3">
        <v>1073101</v>
      </c>
      <c r="BT87" s="3"/>
      <c r="BU87" s="3">
        <v>0</v>
      </c>
      <c r="BV87" s="3"/>
      <c r="BW87" s="3">
        <f t="shared" si="6"/>
        <v>1091865</v>
      </c>
      <c r="BX87" s="3"/>
      <c r="BY87" s="16">
        <f>+BW87-GenBS!AE87</f>
        <v>0</v>
      </c>
    </row>
    <row r="88" spans="1:77" s="103" customFormat="1">
      <c r="A88" s="107" t="s">
        <v>313</v>
      </c>
      <c r="C88" s="103" t="s">
        <v>166</v>
      </c>
      <c r="E88" s="103">
        <v>47159</v>
      </c>
      <c r="G88" s="3">
        <v>127524</v>
      </c>
      <c r="H88" s="3"/>
      <c r="I88" s="3">
        <v>4162542</v>
      </c>
      <c r="J88" s="3"/>
      <c r="K88" s="3">
        <v>391326</v>
      </c>
      <c r="L88" s="3"/>
      <c r="M88" s="3">
        <v>3901</v>
      </c>
      <c r="N88" s="3"/>
      <c r="O88" s="3">
        <v>0</v>
      </c>
      <c r="P88" s="3"/>
      <c r="Q88" s="3">
        <v>3784111</v>
      </c>
      <c r="R88" s="3"/>
      <c r="S88" s="3">
        <v>1815745</v>
      </c>
      <c r="T88" s="3"/>
      <c r="U88" s="3">
        <v>24218</v>
      </c>
      <c r="V88" s="3"/>
      <c r="W88" s="3">
        <v>1288650</v>
      </c>
      <c r="X88" s="3"/>
      <c r="Y88" s="3">
        <v>267253</v>
      </c>
      <c r="Z88" s="3"/>
      <c r="AA88" s="3">
        <v>24280</v>
      </c>
      <c r="AB88" s="3"/>
      <c r="AC88" s="3">
        <v>98346</v>
      </c>
      <c r="AD88" s="107" t="s">
        <v>313</v>
      </c>
      <c r="AF88" s="103" t="s">
        <v>166</v>
      </c>
      <c r="AH88" s="3">
        <v>2426</v>
      </c>
      <c r="AI88" s="3"/>
      <c r="AJ88" s="3">
        <v>193002</v>
      </c>
      <c r="AK88" s="3"/>
      <c r="AL88" s="3"/>
      <c r="AM88" s="3"/>
      <c r="AN88" s="3">
        <v>0</v>
      </c>
      <c r="AO88" s="3"/>
      <c r="AP88" s="3">
        <v>0</v>
      </c>
      <c r="AQ88" s="3"/>
      <c r="AR88" s="3">
        <v>0</v>
      </c>
      <c r="AS88" s="3"/>
      <c r="AT88" s="3">
        <v>0</v>
      </c>
      <c r="AU88" s="3"/>
      <c r="AV88" s="3"/>
      <c r="AW88" s="3"/>
      <c r="AX88" s="3">
        <v>0</v>
      </c>
      <c r="AY88" s="3"/>
      <c r="AZ88" s="3">
        <v>0</v>
      </c>
      <c r="BA88" s="3"/>
      <c r="BB88" s="3">
        <f t="shared" si="7"/>
        <v>12183324</v>
      </c>
      <c r="BC88" s="3"/>
      <c r="BD88" s="3">
        <v>0</v>
      </c>
      <c r="BE88" s="3"/>
      <c r="BF88" s="3"/>
      <c r="BG88" s="3"/>
      <c r="BH88" s="3"/>
      <c r="BI88" s="3"/>
      <c r="BJ88" s="3">
        <v>0</v>
      </c>
      <c r="BK88" s="107" t="s">
        <v>313</v>
      </c>
      <c r="BM88" s="103" t="s">
        <v>166</v>
      </c>
      <c r="BN88" s="3"/>
      <c r="BO88" s="3">
        <f t="shared" si="5"/>
        <v>12183324</v>
      </c>
      <c r="BP88" s="3"/>
      <c r="BQ88" s="3">
        <f>GenRev!AW88-BO88</f>
        <v>-48996</v>
      </c>
      <c r="BR88" s="3"/>
      <c r="BS88" s="3">
        <v>1197635</v>
      </c>
      <c r="BT88" s="3"/>
      <c r="BU88" s="3">
        <v>0</v>
      </c>
      <c r="BV88" s="3"/>
      <c r="BW88" s="3">
        <f t="shared" si="6"/>
        <v>1148639</v>
      </c>
      <c r="BX88" s="3"/>
      <c r="BY88" s="16">
        <f>+BW88-GenBS!AE88</f>
        <v>0</v>
      </c>
    </row>
    <row r="89" spans="1:77" s="103" customFormat="1">
      <c r="A89" s="103" t="s">
        <v>291</v>
      </c>
      <c r="C89" s="103" t="s">
        <v>167</v>
      </c>
      <c r="E89" s="103">
        <v>47233</v>
      </c>
      <c r="G89" s="3">
        <v>455671</v>
      </c>
      <c r="H89" s="3"/>
      <c r="I89" s="3">
        <v>2757192</v>
      </c>
      <c r="J89" s="3"/>
      <c r="K89" s="3">
        <v>0</v>
      </c>
      <c r="L89" s="3"/>
      <c r="M89" s="3">
        <v>0</v>
      </c>
      <c r="N89" s="3"/>
      <c r="O89" s="3">
        <v>0</v>
      </c>
      <c r="P89" s="3"/>
      <c r="Q89" s="3">
        <v>5563641</v>
      </c>
      <c r="R89" s="3"/>
      <c r="S89" s="3">
        <v>1943443</v>
      </c>
      <c r="T89" s="3"/>
      <c r="U89" s="3">
        <v>27540</v>
      </c>
      <c r="V89" s="3"/>
      <c r="W89" s="3">
        <v>159952</v>
      </c>
      <c r="X89" s="3"/>
      <c r="Y89" s="3">
        <v>254265</v>
      </c>
      <c r="Z89" s="3"/>
      <c r="AA89" s="3">
        <v>10742</v>
      </c>
      <c r="AB89" s="3"/>
      <c r="AC89" s="3">
        <v>170726</v>
      </c>
      <c r="AD89" s="103" t="s">
        <v>291</v>
      </c>
      <c r="AF89" s="103" t="s">
        <v>167</v>
      </c>
      <c r="AH89" s="3">
        <v>0</v>
      </c>
      <c r="AI89" s="3"/>
      <c r="AJ89" s="3">
        <v>125</v>
      </c>
      <c r="AK89" s="3"/>
      <c r="AL89" s="3"/>
      <c r="AM89" s="3"/>
      <c r="AN89" s="3">
        <v>0</v>
      </c>
      <c r="AO89" s="3"/>
      <c r="AP89" s="3">
        <v>0</v>
      </c>
      <c r="AQ89" s="3"/>
      <c r="AR89" s="3">
        <v>0</v>
      </c>
      <c r="AS89" s="3"/>
      <c r="AT89" s="3">
        <v>73420</v>
      </c>
      <c r="AU89" s="3"/>
      <c r="AV89" s="3"/>
      <c r="AW89" s="3"/>
      <c r="AX89" s="3">
        <v>0</v>
      </c>
      <c r="AY89" s="3"/>
      <c r="AZ89" s="3">
        <v>0</v>
      </c>
      <c r="BA89" s="3"/>
      <c r="BB89" s="3">
        <f t="shared" si="7"/>
        <v>11416717</v>
      </c>
      <c r="BC89" s="3"/>
      <c r="BD89" s="3">
        <v>0</v>
      </c>
      <c r="BE89" s="3"/>
      <c r="BF89" s="3"/>
      <c r="BG89" s="3"/>
      <c r="BH89" s="3"/>
      <c r="BI89" s="3"/>
      <c r="BJ89" s="3">
        <v>0</v>
      </c>
      <c r="BK89" s="103" t="s">
        <v>291</v>
      </c>
      <c r="BM89" s="103" t="s">
        <v>167</v>
      </c>
      <c r="BN89" s="3"/>
      <c r="BO89" s="3">
        <f t="shared" si="5"/>
        <v>11416717</v>
      </c>
      <c r="BP89" s="3"/>
      <c r="BQ89" s="3">
        <f>GenRev!AW89-BO89</f>
        <v>-12273</v>
      </c>
      <c r="BR89" s="3"/>
      <c r="BS89" s="3">
        <v>1407176</v>
      </c>
      <c r="BT89" s="3"/>
      <c r="BU89" s="3">
        <v>0</v>
      </c>
      <c r="BV89" s="3"/>
      <c r="BW89" s="3">
        <f t="shared" si="6"/>
        <v>1394903</v>
      </c>
      <c r="BX89" s="3"/>
      <c r="BY89" s="16">
        <f>+BW89-GenBS!AE89</f>
        <v>0</v>
      </c>
    </row>
    <row r="90" spans="1:77" s="103" customFormat="1">
      <c r="A90" s="103" t="s">
        <v>292</v>
      </c>
      <c r="C90" s="103" t="s">
        <v>168</v>
      </c>
      <c r="E90" s="103">
        <v>47324</v>
      </c>
      <c r="G90" s="3">
        <v>0</v>
      </c>
      <c r="H90" s="3"/>
      <c r="I90" s="3">
        <v>7539551</v>
      </c>
      <c r="J90" s="3"/>
      <c r="K90" s="3">
        <v>42144</v>
      </c>
      <c r="L90" s="3"/>
      <c r="M90" s="3">
        <v>0</v>
      </c>
      <c r="N90" s="3"/>
      <c r="O90" s="3">
        <v>0</v>
      </c>
      <c r="P90" s="3"/>
      <c r="Q90" s="3">
        <v>7732080</v>
      </c>
      <c r="R90" s="3"/>
      <c r="S90" s="3">
        <v>5707755</v>
      </c>
      <c r="T90" s="3"/>
      <c r="U90" s="3">
        <v>0</v>
      </c>
      <c r="V90" s="3"/>
      <c r="W90" s="3">
        <f>45727+3126877</f>
        <v>3172604</v>
      </c>
      <c r="X90" s="3"/>
      <c r="Y90" s="3">
        <v>916033</v>
      </c>
      <c r="Z90" s="3"/>
      <c r="AA90" s="3">
        <v>406566</v>
      </c>
      <c r="AB90" s="3"/>
      <c r="AC90" s="3">
        <v>278776</v>
      </c>
      <c r="AD90" s="103" t="s">
        <v>292</v>
      </c>
      <c r="AF90" s="103" t="s">
        <v>168</v>
      </c>
      <c r="AH90" s="3">
        <v>0</v>
      </c>
      <c r="AI90" s="3"/>
      <c r="AJ90" s="3">
        <v>908709</v>
      </c>
      <c r="AK90" s="3"/>
      <c r="AL90" s="3"/>
      <c r="AM90" s="3"/>
      <c r="AN90" s="3">
        <v>0</v>
      </c>
      <c r="AO90" s="3"/>
      <c r="AP90" s="3">
        <v>6002189</v>
      </c>
      <c r="AQ90" s="3"/>
      <c r="AR90" s="3">
        <v>0</v>
      </c>
      <c r="AS90" s="3"/>
      <c r="AT90" s="3">
        <v>4225</v>
      </c>
      <c r="AU90" s="3"/>
      <c r="AV90" s="3"/>
      <c r="AW90" s="3"/>
      <c r="AX90" s="3">
        <v>47000</v>
      </c>
      <c r="AY90" s="3"/>
      <c r="AZ90" s="3">
        <v>100142</v>
      </c>
      <c r="BA90" s="3"/>
      <c r="BB90" s="3">
        <f t="shared" si="7"/>
        <v>32857774</v>
      </c>
      <c r="BC90" s="3"/>
      <c r="BD90" s="3">
        <v>0</v>
      </c>
      <c r="BE90" s="3"/>
      <c r="BF90" s="3"/>
      <c r="BG90" s="3"/>
      <c r="BH90" s="3"/>
      <c r="BI90" s="3"/>
      <c r="BJ90" s="3">
        <v>0</v>
      </c>
      <c r="BK90" s="103" t="s">
        <v>292</v>
      </c>
      <c r="BM90" s="103" t="s">
        <v>168</v>
      </c>
      <c r="BN90" s="3"/>
      <c r="BO90" s="3">
        <f t="shared" si="5"/>
        <v>32857774</v>
      </c>
      <c r="BP90" s="3"/>
      <c r="BQ90" s="3">
        <f>GenRev!AW90-BO90</f>
        <v>-342651</v>
      </c>
      <c r="BR90" s="3"/>
      <c r="BS90" s="3">
        <v>5662023</v>
      </c>
      <c r="BT90" s="3"/>
      <c r="BU90" s="3">
        <v>0</v>
      </c>
      <c r="BV90" s="3"/>
      <c r="BW90" s="3">
        <f t="shared" si="6"/>
        <v>5319372</v>
      </c>
      <c r="BX90" s="3"/>
      <c r="BY90" s="16">
        <f>+BW90-GenBS!AE90</f>
        <v>0</v>
      </c>
    </row>
    <row r="91" spans="1:77" s="103" customFormat="1">
      <c r="A91" s="103" t="s">
        <v>293</v>
      </c>
      <c r="C91" s="103" t="s">
        <v>169</v>
      </c>
      <c r="E91" s="103">
        <v>47407</v>
      </c>
      <c r="G91" s="3">
        <v>74212</v>
      </c>
      <c r="H91" s="3"/>
      <c r="I91" s="3">
        <v>1621563</v>
      </c>
      <c r="J91" s="3"/>
      <c r="K91" s="3">
        <v>0</v>
      </c>
      <c r="L91" s="3"/>
      <c r="M91" s="3">
        <v>0</v>
      </c>
      <c r="N91" s="3"/>
      <c r="O91" s="3">
        <v>0</v>
      </c>
      <c r="P91" s="3"/>
      <c r="Q91" s="3">
        <v>1387299</v>
      </c>
      <c r="R91" s="3"/>
      <c r="S91" s="3">
        <v>1768831</v>
      </c>
      <c r="T91" s="3"/>
      <c r="U91" s="3">
        <v>41191</v>
      </c>
      <c r="V91" s="3"/>
      <c r="W91" s="3">
        <v>576329</v>
      </c>
      <c r="X91" s="3"/>
      <c r="Y91" s="3">
        <v>254632</v>
      </c>
      <c r="Z91" s="3"/>
      <c r="AA91" s="3">
        <v>0</v>
      </c>
      <c r="AB91" s="3"/>
      <c r="AC91" s="3">
        <v>81782</v>
      </c>
      <c r="AD91" s="103" t="s">
        <v>293</v>
      </c>
      <c r="AF91" s="103" t="s">
        <v>169</v>
      </c>
      <c r="AH91" s="3">
        <v>91547</v>
      </c>
      <c r="AI91" s="3"/>
      <c r="AJ91" s="3">
        <v>14698</v>
      </c>
      <c r="AK91" s="3"/>
      <c r="AL91" s="3"/>
      <c r="AM91" s="3"/>
      <c r="AN91" s="3">
        <v>0</v>
      </c>
      <c r="AO91" s="3"/>
      <c r="AP91" s="3">
        <v>4327</v>
      </c>
      <c r="AQ91" s="3"/>
      <c r="AR91" s="3">
        <v>2</v>
      </c>
      <c r="AS91" s="3"/>
      <c r="AT91" s="3">
        <v>0</v>
      </c>
      <c r="AU91" s="3"/>
      <c r="AV91" s="3"/>
      <c r="AW91" s="3"/>
      <c r="AX91" s="3">
        <v>0</v>
      </c>
      <c r="AY91" s="3"/>
      <c r="AZ91" s="3">
        <v>0</v>
      </c>
      <c r="BA91" s="3"/>
      <c r="BB91" s="3">
        <f t="shared" si="7"/>
        <v>5916413</v>
      </c>
      <c r="BC91" s="3"/>
      <c r="BD91" s="3">
        <v>0</v>
      </c>
      <c r="BE91" s="3"/>
      <c r="BF91" s="3"/>
      <c r="BG91" s="3"/>
      <c r="BH91" s="3"/>
      <c r="BI91" s="3"/>
      <c r="BJ91" s="3">
        <v>0</v>
      </c>
      <c r="BK91" s="103" t="s">
        <v>293</v>
      </c>
      <c r="BM91" s="103" t="s">
        <v>169</v>
      </c>
      <c r="BN91" s="3"/>
      <c r="BO91" s="3">
        <f t="shared" si="5"/>
        <v>5916413</v>
      </c>
      <c r="BP91" s="3"/>
      <c r="BQ91" s="3">
        <f>GenRev!AW91-BO91</f>
        <v>52514</v>
      </c>
      <c r="BR91" s="3"/>
      <c r="BS91" s="3">
        <v>393949</v>
      </c>
      <c r="BT91" s="3"/>
      <c r="BU91" s="3">
        <v>0</v>
      </c>
      <c r="BV91" s="3"/>
      <c r="BW91" s="3">
        <f t="shared" si="6"/>
        <v>446463</v>
      </c>
      <c r="BX91" s="3"/>
      <c r="BY91" s="16">
        <f>+BW91-GenBS!AE91</f>
        <v>0</v>
      </c>
    </row>
    <row r="92" spans="1:77" s="59" customFormat="1" hidden="1">
      <c r="A92" s="59" t="s">
        <v>349</v>
      </c>
      <c r="C92" s="59" t="s">
        <v>19</v>
      </c>
      <c r="E92" s="59">
        <v>47480</v>
      </c>
      <c r="G92" s="58">
        <v>0</v>
      </c>
      <c r="H92" s="58"/>
      <c r="I92" s="58">
        <v>0</v>
      </c>
      <c r="J92" s="58"/>
      <c r="K92" s="58">
        <v>0</v>
      </c>
      <c r="L92" s="58"/>
      <c r="M92" s="58">
        <v>0</v>
      </c>
      <c r="N92" s="58"/>
      <c r="O92" s="58">
        <v>0</v>
      </c>
      <c r="P92" s="58"/>
      <c r="Q92" s="58">
        <v>0</v>
      </c>
      <c r="R92" s="58"/>
      <c r="S92" s="58">
        <v>0</v>
      </c>
      <c r="T92" s="58"/>
      <c r="U92" s="58">
        <v>0</v>
      </c>
      <c r="V92" s="58"/>
      <c r="W92" s="58">
        <v>0</v>
      </c>
      <c r="X92" s="58"/>
      <c r="Y92" s="58">
        <v>0</v>
      </c>
      <c r="Z92" s="58"/>
      <c r="AA92" s="58">
        <v>0</v>
      </c>
      <c r="AB92" s="58"/>
      <c r="AC92" s="58">
        <v>0</v>
      </c>
      <c r="AD92" s="59" t="s">
        <v>349</v>
      </c>
      <c r="AF92" s="59" t="s">
        <v>19</v>
      </c>
      <c r="AH92" s="58">
        <v>0</v>
      </c>
      <c r="AI92" s="58"/>
      <c r="AJ92" s="58">
        <v>0</v>
      </c>
      <c r="AK92" s="58"/>
      <c r="AL92" s="58"/>
      <c r="AM92" s="58"/>
      <c r="AN92" s="58">
        <v>0</v>
      </c>
      <c r="AO92" s="58"/>
      <c r="AP92" s="58">
        <v>0</v>
      </c>
      <c r="AQ92" s="58"/>
      <c r="AR92" s="58">
        <v>0</v>
      </c>
      <c r="AS92" s="58"/>
      <c r="AT92" s="58">
        <v>0</v>
      </c>
      <c r="AU92" s="58"/>
      <c r="AV92" s="58"/>
      <c r="AW92" s="58"/>
      <c r="AX92" s="58">
        <v>0</v>
      </c>
      <c r="AY92" s="58"/>
      <c r="AZ92" s="58">
        <v>0</v>
      </c>
      <c r="BA92" s="58"/>
      <c r="BB92" s="58">
        <f t="shared" si="7"/>
        <v>0</v>
      </c>
      <c r="BC92" s="58"/>
      <c r="BD92" s="58">
        <v>0</v>
      </c>
      <c r="BE92" s="58"/>
      <c r="BF92" s="58"/>
      <c r="BG92" s="58"/>
      <c r="BH92" s="58"/>
      <c r="BI92" s="58"/>
      <c r="BJ92" s="58">
        <v>0</v>
      </c>
      <c r="BK92" s="59" t="s">
        <v>349</v>
      </c>
      <c r="BM92" s="59" t="s">
        <v>19</v>
      </c>
      <c r="BN92" s="58"/>
      <c r="BO92" s="58">
        <f t="shared" si="5"/>
        <v>0</v>
      </c>
      <c r="BP92" s="58"/>
      <c r="BQ92" s="58">
        <f>GenRev!AW92-BO92</f>
        <v>0</v>
      </c>
      <c r="BR92" s="58"/>
      <c r="BS92" s="58">
        <v>0</v>
      </c>
      <c r="BT92" s="58"/>
      <c r="BU92" s="58">
        <v>0</v>
      </c>
      <c r="BV92" s="58"/>
      <c r="BW92" s="58">
        <f t="shared" si="6"/>
        <v>0</v>
      </c>
      <c r="BX92" s="58"/>
      <c r="BY92" s="60">
        <f>+BW92-GenBS!AE92</f>
        <v>0</v>
      </c>
    </row>
    <row r="93" spans="1:77" s="103" customFormat="1">
      <c r="A93" s="103" t="s">
        <v>294</v>
      </c>
      <c r="C93" s="103" t="s">
        <v>170</v>
      </c>
      <c r="E93" s="103">
        <v>47779</v>
      </c>
      <c r="G93" s="3">
        <v>283458</v>
      </c>
      <c r="H93" s="3"/>
      <c r="I93" s="3">
        <v>585506</v>
      </c>
      <c r="J93" s="3"/>
      <c r="K93" s="3">
        <v>0</v>
      </c>
      <c r="L93" s="3"/>
      <c r="M93" s="3">
        <v>0</v>
      </c>
      <c r="N93" s="3"/>
      <c r="O93" s="3">
        <v>6400</v>
      </c>
      <c r="P93" s="3"/>
      <c r="Q93" s="3">
        <v>1198101</v>
      </c>
      <c r="R93" s="3"/>
      <c r="S93" s="3">
        <v>2095085</v>
      </c>
      <c r="T93" s="3"/>
      <c r="U93" s="3">
        <v>17363</v>
      </c>
      <c r="V93" s="3"/>
      <c r="W93" s="3">
        <v>730752</v>
      </c>
      <c r="X93" s="3"/>
      <c r="Y93" s="3">
        <v>236628</v>
      </c>
      <c r="Z93" s="3"/>
      <c r="AA93" s="3">
        <v>0</v>
      </c>
      <c r="AB93" s="3"/>
      <c r="AC93" s="3">
        <v>21151</v>
      </c>
      <c r="AD93" s="103" t="s">
        <v>294</v>
      </c>
      <c r="AF93" s="103" t="s">
        <v>170</v>
      </c>
      <c r="AH93" s="3">
        <v>0</v>
      </c>
      <c r="AI93" s="3"/>
      <c r="AJ93" s="3">
        <v>0</v>
      </c>
      <c r="AK93" s="3"/>
      <c r="AL93" s="3"/>
      <c r="AM93" s="3"/>
      <c r="AN93" s="3">
        <v>0</v>
      </c>
      <c r="AO93" s="3"/>
      <c r="AP93" s="3">
        <v>0</v>
      </c>
      <c r="AQ93" s="3"/>
      <c r="AR93" s="3">
        <v>0</v>
      </c>
      <c r="AS93" s="3"/>
      <c r="AT93" s="3">
        <v>0</v>
      </c>
      <c r="AU93" s="3"/>
      <c r="AV93" s="3"/>
      <c r="AW93" s="3"/>
      <c r="AX93" s="3">
        <v>3823</v>
      </c>
      <c r="AY93" s="3"/>
      <c r="AZ93" s="3">
        <v>408</v>
      </c>
      <c r="BA93" s="3"/>
      <c r="BB93" s="3">
        <f t="shared" si="7"/>
        <v>5178675</v>
      </c>
      <c r="BC93" s="3"/>
      <c r="BD93" s="3">
        <v>0</v>
      </c>
      <c r="BE93" s="3"/>
      <c r="BF93" s="3"/>
      <c r="BG93" s="3"/>
      <c r="BH93" s="3"/>
      <c r="BI93" s="3"/>
      <c r="BJ93" s="3">
        <v>0</v>
      </c>
      <c r="BK93" s="103" t="s">
        <v>294</v>
      </c>
      <c r="BM93" s="103" t="s">
        <v>170</v>
      </c>
      <c r="BN93" s="3"/>
      <c r="BO93" s="3">
        <f t="shared" si="5"/>
        <v>5178675</v>
      </c>
      <c r="BP93" s="3"/>
      <c r="BQ93" s="3">
        <f>GenRev!AW93-BO93</f>
        <v>-246124</v>
      </c>
      <c r="BR93" s="3"/>
      <c r="BS93" s="3">
        <v>2470641</v>
      </c>
      <c r="BT93" s="3"/>
      <c r="BU93" s="3">
        <v>0</v>
      </c>
      <c r="BV93" s="3"/>
      <c r="BW93" s="3">
        <f t="shared" si="6"/>
        <v>2224517</v>
      </c>
      <c r="BX93" s="3"/>
      <c r="BY93" s="16">
        <f>+BW93-GenBS!AE93</f>
        <v>0</v>
      </c>
    </row>
    <row r="94" spans="1:77" s="103" customFormat="1">
      <c r="A94" s="103" t="s">
        <v>295</v>
      </c>
      <c r="C94" s="103" t="s">
        <v>171</v>
      </c>
      <c r="E94" s="103">
        <v>47811</v>
      </c>
      <c r="G94" s="3">
        <v>151322</v>
      </c>
      <c r="H94" s="3"/>
      <c r="I94" s="3">
        <v>3091065</v>
      </c>
      <c r="J94" s="3"/>
      <c r="K94" s="3">
        <v>0</v>
      </c>
      <c r="L94" s="3"/>
      <c r="M94" s="3">
        <v>0</v>
      </c>
      <c r="N94" s="3"/>
      <c r="O94" s="3">
        <v>0</v>
      </c>
      <c r="P94" s="3"/>
      <c r="Q94" s="3">
        <v>680544</v>
      </c>
      <c r="R94" s="3"/>
      <c r="S94" s="3">
        <v>462545</v>
      </c>
      <c r="T94" s="3"/>
      <c r="U94" s="3">
        <v>26176</v>
      </c>
      <c r="V94" s="3"/>
      <c r="W94" s="3">
        <v>573063</v>
      </c>
      <c r="X94" s="3"/>
      <c r="Y94" s="3">
        <v>99833</v>
      </c>
      <c r="Z94" s="3"/>
      <c r="AA94" s="3">
        <v>0</v>
      </c>
      <c r="AB94" s="3"/>
      <c r="AC94" s="3">
        <v>27379</v>
      </c>
      <c r="AD94" s="103" t="s">
        <v>295</v>
      </c>
      <c r="AF94" s="103" t="s">
        <v>171</v>
      </c>
      <c r="AH94" s="3">
        <v>0</v>
      </c>
      <c r="AI94" s="3"/>
      <c r="AJ94" s="3">
        <v>3530</v>
      </c>
      <c r="AK94" s="3"/>
      <c r="AL94" s="3"/>
      <c r="AM94" s="3"/>
      <c r="AN94" s="3">
        <v>0</v>
      </c>
      <c r="AO94" s="3"/>
      <c r="AP94" s="3">
        <v>0</v>
      </c>
      <c r="AQ94" s="3"/>
      <c r="AR94" s="3">
        <v>0</v>
      </c>
      <c r="AS94" s="3"/>
      <c r="AT94" s="3">
        <v>0</v>
      </c>
      <c r="AU94" s="3"/>
      <c r="AV94" s="3"/>
      <c r="AW94" s="3"/>
      <c r="AX94" s="3">
        <v>0</v>
      </c>
      <c r="AY94" s="3"/>
      <c r="AZ94" s="3">
        <v>0</v>
      </c>
      <c r="BA94" s="3"/>
      <c r="BB94" s="3">
        <v>5115457</v>
      </c>
      <c r="BC94" s="3"/>
      <c r="BD94" s="3">
        <v>0</v>
      </c>
      <c r="BE94" s="3"/>
      <c r="BF94" s="3"/>
      <c r="BG94" s="3"/>
      <c r="BH94" s="3"/>
      <c r="BI94" s="3"/>
      <c r="BJ94" s="3">
        <v>0</v>
      </c>
      <c r="BK94" s="103" t="s">
        <v>295</v>
      </c>
      <c r="BM94" s="103" t="s">
        <v>171</v>
      </c>
      <c r="BN94" s="3"/>
      <c r="BO94" s="3">
        <v>5115457</v>
      </c>
      <c r="BP94" s="3"/>
      <c r="BQ94" s="3">
        <v>465509</v>
      </c>
      <c r="BR94" s="3"/>
      <c r="BS94" s="3">
        <v>-390906</v>
      </c>
      <c r="BT94" s="3"/>
      <c r="BU94" s="3">
        <v>0</v>
      </c>
      <c r="BV94" s="3"/>
      <c r="BW94" s="3">
        <v>74603</v>
      </c>
      <c r="BX94" s="3"/>
      <c r="BY94" s="16">
        <v>0</v>
      </c>
    </row>
    <row r="95" spans="1:77" s="103" customFormat="1">
      <c r="A95" s="103" t="s">
        <v>296</v>
      </c>
      <c r="C95" s="103" t="s">
        <v>146</v>
      </c>
      <c r="E95" s="103">
        <v>47860</v>
      </c>
      <c r="G95" s="3">
        <v>564763</v>
      </c>
      <c r="H95" s="3"/>
      <c r="I95" s="3">
        <v>3631953</v>
      </c>
      <c r="J95" s="3"/>
      <c r="K95" s="3">
        <v>87116</v>
      </c>
      <c r="L95" s="3"/>
      <c r="M95" s="3">
        <v>0</v>
      </c>
      <c r="N95" s="3"/>
      <c r="O95" s="3">
        <v>196070</v>
      </c>
      <c r="P95" s="3"/>
      <c r="Q95" s="3">
        <v>3160774</v>
      </c>
      <c r="R95" s="3"/>
      <c r="S95" s="3">
        <v>1426603</v>
      </c>
      <c r="T95" s="3"/>
      <c r="U95" s="3">
        <v>0</v>
      </c>
      <c r="V95" s="3"/>
      <c r="W95" s="3">
        <v>1291397</v>
      </c>
      <c r="X95" s="3"/>
      <c r="Y95" s="3">
        <v>226991</v>
      </c>
      <c r="Z95" s="3"/>
      <c r="AA95" s="3">
        <v>0</v>
      </c>
      <c r="AB95" s="3"/>
      <c r="AC95" s="3">
        <v>119029</v>
      </c>
      <c r="AD95" s="103" t="s">
        <v>296</v>
      </c>
      <c r="AF95" s="103" t="s">
        <v>146</v>
      </c>
      <c r="AH95" s="3">
        <v>136022</v>
      </c>
      <c r="AI95" s="3"/>
      <c r="AJ95" s="3">
        <v>814174</v>
      </c>
      <c r="AK95" s="3"/>
      <c r="AL95" s="3"/>
      <c r="AM95" s="3"/>
      <c r="AN95" s="3">
        <v>0</v>
      </c>
      <c r="AO95" s="3"/>
      <c r="AP95" s="3">
        <v>0</v>
      </c>
      <c r="AQ95" s="3"/>
      <c r="AR95" s="3">
        <v>0</v>
      </c>
      <c r="AS95" s="3"/>
      <c r="AT95" s="3">
        <v>0</v>
      </c>
      <c r="AU95" s="3"/>
      <c r="AV95" s="3"/>
      <c r="AW95" s="3"/>
      <c r="AX95" s="3">
        <v>0</v>
      </c>
      <c r="AY95" s="3"/>
      <c r="AZ95" s="3">
        <v>0</v>
      </c>
      <c r="BA95" s="3"/>
      <c r="BB95" s="3">
        <v>11654892</v>
      </c>
      <c r="BC95" s="3"/>
      <c r="BD95" s="3">
        <v>13937</v>
      </c>
      <c r="BE95" s="3"/>
      <c r="BF95" s="3"/>
      <c r="BG95" s="3"/>
      <c r="BH95" s="3"/>
      <c r="BI95" s="3"/>
      <c r="BJ95" s="3">
        <v>0</v>
      </c>
      <c r="BK95" s="103" t="s">
        <v>296</v>
      </c>
      <c r="BM95" s="103" t="s">
        <v>146</v>
      </c>
      <c r="BN95" s="3"/>
      <c r="BO95" s="3">
        <v>11668829</v>
      </c>
      <c r="BP95" s="3"/>
      <c r="BQ95" s="3">
        <v>-177622</v>
      </c>
      <c r="BR95" s="3"/>
      <c r="BS95" s="3">
        <v>1152652</v>
      </c>
      <c r="BT95" s="3"/>
      <c r="BU95" s="3">
        <v>0</v>
      </c>
      <c r="BV95" s="3"/>
      <c r="BW95" s="3">
        <v>975030</v>
      </c>
      <c r="BX95" s="3"/>
      <c r="BY95" s="16">
        <v>0</v>
      </c>
    </row>
    <row r="96" spans="1:77" s="103" customFormat="1">
      <c r="A96" s="103" t="s">
        <v>297</v>
      </c>
      <c r="C96" s="103" t="s">
        <v>172</v>
      </c>
      <c r="E96" s="103">
        <v>47910</v>
      </c>
      <c r="G96" s="3">
        <v>16611</v>
      </c>
      <c r="H96" s="3"/>
      <c r="I96" s="3">
        <v>388509</v>
      </c>
      <c r="J96" s="3"/>
      <c r="K96" s="3">
        <v>0</v>
      </c>
      <c r="L96" s="3"/>
      <c r="M96" s="3">
        <v>0</v>
      </c>
      <c r="N96" s="3"/>
      <c r="O96" s="3">
        <v>0</v>
      </c>
      <c r="P96" s="3"/>
      <c r="Q96" s="3">
        <v>345106</v>
      </c>
      <c r="R96" s="3"/>
      <c r="S96" s="3">
        <v>521719</v>
      </c>
      <c r="T96" s="3"/>
      <c r="U96" s="3">
        <v>51460</v>
      </c>
      <c r="V96" s="3"/>
      <c r="W96" s="3">
        <v>214819</v>
      </c>
      <c r="X96" s="3"/>
      <c r="Y96" s="3">
        <v>194558</v>
      </c>
      <c r="Z96" s="3"/>
      <c r="AA96" s="3">
        <v>0</v>
      </c>
      <c r="AB96" s="3"/>
      <c r="AC96" s="3">
        <v>35749</v>
      </c>
      <c r="AD96" s="103" t="s">
        <v>297</v>
      </c>
      <c r="AF96" s="103" t="s">
        <v>172</v>
      </c>
      <c r="AH96" s="3">
        <v>0</v>
      </c>
      <c r="AI96" s="3"/>
      <c r="AJ96" s="3">
        <v>475679</v>
      </c>
      <c r="AK96" s="3"/>
      <c r="AL96" s="3"/>
      <c r="AM96" s="3"/>
      <c r="AN96" s="3">
        <v>0</v>
      </c>
      <c r="AO96" s="3"/>
      <c r="AP96" s="3">
        <v>0</v>
      </c>
      <c r="AQ96" s="3"/>
      <c r="AR96" s="3">
        <v>0</v>
      </c>
      <c r="AS96" s="3"/>
      <c r="AT96" s="3">
        <v>0</v>
      </c>
      <c r="AU96" s="3"/>
      <c r="AV96" s="3"/>
      <c r="AW96" s="3"/>
      <c r="AX96" s="3">
        <v>0</v>
      </c>
      <c r="AY96" s="3"/>
      <c r="AZ96" s="3">
        <v>0</v>
      </c>
      <c r="BA96" s="3"/>
      <c r="BB96" s="3">
        <f t="shared" si="7"/>
        <v>2244210</v>
      </c>
      <c r="BC96" s="3"/>
      <c r="BD96" s="3">
        <v>0</v>
      </c>
      <c r="BE96" s="3"/>
      <c r="BF96" s="3"/>
      <c r="BG96" s="3"/>
      <c r="BH96" s="3"/>
      <c r="BI96" s="3"/>
      <c r="BJ96" s="3">
        <v>0</v>
      </c>
      <c r="BK96" s="103" t="s">
        <v>297</v>
      </c>
      <c r="BM96" s="103" t="s">
        <v>172</v>
      </c>
      <c r="BN96" s="3"/>
      <c r="BO96" s="3">
        <f t="shared" ref="BO96:BO131" si="8">+BJ96+BF96+BD96+BB96</f>
        <v>2244210</v>
      </c>
      <c r="BP96" s="3"/>
      <c r="BQ96" s="3">
        <f>GenRev!AW96-BO96</f>
        <v>316424</v>
      </c>
      <c r="BR96" s="3"/>
      <c r="BS96" s="3">
        <v>921147</v>
      </c>
      <c r="BT96" s="3"/>
      <c r="BU96" s="3">
        <v>0</v>
      </c>
      <c r="BV96" s="3"/>
      <c r="BW96" s="3">
        <f t="shared" si="6"/>
        <v>1237571</v>
      </c>
      <c r="BX96" s="3"/>
      <c r="BY96" s="16">
        <f>+BW96-GenBS!AE96</f>
        <v>0</v>
      </c>
    </row>
    <row r="97" spans="1:77" s="59" customFormat="1" hidden="1">
      <c r="A97" s="58" t="s">
        <v>386</v>
      </c>
      <c r="B97" s="58"/>
      <c r="C97" s="58" t="s">
        <v>173</v>
      </c>
      <c r="E97" s="59">
        <v>47977</v>
      </c>
      <c r="G97" s="58">
        <v>0</v>
      </c>
      <c r="H97" s="58"/>
      <c r="I97" s="58">
        <v>0</v>
      </c>
      <c r="J97" s="58"/>
      <c r="K97" s="58">
        <v>0</v>
      </c>
      <c r="L97" s="58"/>
      <c r="M97" s="58">
        <v>0</v>
      </c>
      <c r="N97" s="58"/>
      <c r="O97" s="58">
        <v>0</v>
      </c>
      <c r="P97" s="58"/>
      <c r="Q97" s="58">
        <v>0</v>
      </c>
      <c r="R97" s="58"/>
      <c r="S97" s="58">
        <v>0</v>
      </c>
      <c r="T97" s="58"/>
      <c r="U97" s="58">
        <v>0</v>
      </c>
      <c r="V97" s="58"/>
      <c r="W97" s="58">
        <v>0</v>
      </c>
      <c r="X97" s="58"/>
      <c r="Y97" s="58">
        <v>0</v>
      </c>
      <c r="Z97" s="58"/>
      <c r="AA97" s="58">
        <v>0</v>
      </c>
      <c r="AB97" s="58"/>
      <c r="AC97" s="58">
        <v>0</v>
      </c>
      <c r="AD97" s="58" t="s">
        <v>386</v>
      </c>
      <c r="AE97" s="58"/>
      <c r="AF97" s="58" t="s">
        <v>173</v>
      </c>
      <c r="AG97" s="58"/>
      <c r="AH97" s="58">
        <v>0</v>
      </c>
      <c r="AI97" s="58"/>
      <c r="AJ97" s="58">
        <v>0</v>
      </c>
      <c r="AK97" s="58"/>
      <c r="AL97" s="58"/>
      <c r="AM97" s="58"/>
      <c r="AN97" s="58">
        <v>0</v>
      </c>
      <c r="AO97" s="58"/>
      <c r="AP97" s="58">
        <v>0</v>
      </c>
      <c r="AQ97" s="58"/>
      <c r="AR97" s="58">
        <v>0</v>
      </c>
      <c r="AS97" s="58"/>
      <c r="AT97" s="58">
        <v>0</v>
      </c>
      <c r="AU97" s="58"/>
      <c r="AV97" s="58"/>
      <c r="AW97" s="58"/>
      <c r="AX97" s="58">
        <v>0</v>
      </c>
      <c r="AY97" s="58"/>
      <c r="AZ97" s="58">
        <v>0</v>
      </c>
      <c r="BA97" s="58"/>
      <c r="BB97" s="58">
        <f t="shared" si="7"/>
        <v>0</v>
      </c>
      <c r="BC97" s="58"/>
      <c r="BD97" s="58">
        <v>0</v>
      </c>
      <c r="BE97" s="58"/>
      <c r="BF97" s="58"/>
      <c r="BG97" s="58"/>
      <c r="BH97" s="58"/>
      <c r="BI97" s="58"/>
      <c r="BJ97" s="58">
        <v>0</v>
      </c>
      <c r="BK97" s="58" t="s">
        <v>386</v>
      </c>
      <c r="BL97" s="58"/>
      <c r="BM97" s="58" t="s">
        <v>173</v>
      </c>
      <c r="BN97" s="58"/>
      <c r="BO97" s="58">
        <f t="shared" si="8"/>
        <v>0</v>
      </c>
      <c r="BP97" s="58"/>
      <c r="BQ97" s="58">
        <f>GenRev!AW97-BO97</f>
        <v>0</v>
      </c>
      <c r="BR97" s="58"/>
      <c r="BS97" s="58">
        <v>0</v>
      </c>
      <c r="BT97" s="58"/>
      <c r="BU97" s="58">
        <v>0</v>
      </c>
      <c r="BV97" s="58"/>
      <c r="BW97" s="58">
        <f t="shared" si="6"/>
        <v>0</v>
      </c>
      <c r="BX97" s="58"/>
      <c r="BY97" s="60">
        <f>+BW97-GenBS!AE97</f>
        <v>0</v>
      </c>
    </row>
    <row r="98" spans="1:77" s="103" customFormat="1">
      <c r="A98" s="103" t="s">
        <v>298</v>
      </c>
      <c r="C98" s="103" t="s">
        <v>174</v>
      </c>
      <c r="E98" s="103">
        <v>48058</v>
      </c>
      <c r="G98" s="3">
        <v>0</v>
      </c>
      <c r="H98" s="3"/>
      <c r="I98" s="3">
        <v>1349766</v>
      </c>
      <c r="J98" s="3"/>
      <c r="K98" s="3">
        <v>0</v>
      </c>
      <c r="L98" s="3"/>
      <c r="M98" s="3">
        <v>0</v>
      </c>
      <c r="N98" s="3"/>
      <c r="O98" s="3">
        <v>0</v>
      </c>
      <c r="P98" s="3"/>
      <c r="Q98" s="3">
        <v>356312</v>
      </c>
      <c r="R98" s="3"/>
      <c r="S98" s="3">
        <v>252261</v>
      </c>
      <c r="T98" s="3"/>
      <c r="U98" s="3">
        <v>15981</v>
      </c>
      <c r="V98" s="3"/>
      <c r="W98" s="3">
        <v>222596</v>
      </c>
      <c r="X98" s="3"/>
      <c r="Y98" s="3">
        <v>368366</v>
      </c>
      <c r="Z98" s="3"/>
      <c r="AA98" s="3">
        <v>0</v>
      </c>
      <c r="AB98" s="3"/>
      <c r="AC98" s="3">
        <v>12370</v>
      </c>
      <c r="AD98" s="103" t="s">
        <v>298</v>
      </c>
      <c r="AF98" s="103" t="s">
        <v>174</v>
      </c>
      <c r="AH98" s="3">
        <v>0</v>
      </c>
      <c r="AI98" s="3"/>
      <c r="AJ98" s="3">
        <v>29839</v>
      </c>
      <c r="AK98" s="3"/>
      <c r="AL98" s="3"/>
      <c r="AM98" s="3"/>
      <c r="AN98" s="3">
        <v>0</v>
      </c>
      <c r="AO98" s="3"/>
      <c r="AP98" s="3">
        <v>37296</v>
      </c>
      <c r="AQ98" s="3"/>
      <c r="AR98" s="3">
        <v>0</v>
      </c>
      <c r="AS98" s="3"/>
      <c r="AT98" s="3">
        <v>0</v>
      </c>
      <c r="AU98" s="3"/>
      <c r="AV98" s="3"/>
      <c r="AW98" s="3"/>
      <c r="AX98" s="3">
        <v>0</v>
      </c>
      <c r="AY98" s="3"/>
      <c r="AZ98" s="3">
        <v>0</v>
      </c>
      <c r="BA98" s="3"/>
      <c r="BB98" s="3">
        <f t="shared" si="7"/>
        <v>2644787</v>
      </c>
      <c r="BC98" s="3"/>
      <c r="BD98" s="3">
        <v>0</v>
      </c>
      <c r="BE98" s="3"/>
      <c r="BF98" s="3"/>
      <c r="BG98" s="3"/>
      <c r="BH98" s="3"/>
      <c r="BI98" s="3"/>
      <c r="BJ98" s="3">
        <v>0</v>
      </c>
      <c r="BK98" s="103" t="s">
        <v>298</v>
      </c>
      <c r="BM98" s="103" t="s">
        <v>174</v>
      </c>
      <c r="BN98" s="3"/>
      <c r="BO98" s="3">
        <f t="shared" si="8"/>
        <v>2644787</v>
      </c>
      <c r="BP98" s="3"/>
      <c r="BQ98" s="3">
        <f>GenRev!AW98-BO98</f>
        <v>215753</v>
      </c>
      <c r="BR98" s="3"/>
      <c r="BS98" s="3">
        <v>339622</v>
      </c>
      <c r="BT98" s="3"/>
      <c r="BU98" s="3">
        <v>0</v>
      </c>
      <c r="BV98" s="3"/>
      <c r="BW98" s="3">
        <f t="shared" si="6"/>
        <v>555375</v>
      </c>
      <c r="BX98" s="3"/>
      <c r="BY98" s="16">
        <f>+BW98-GenBS!AE98</f>
        <v>0</v>
      </c>
    </row>
    <row r="99" spans="1:77" s="89" customFormat="1" hidden="1">
      <c r="A99" s="89" t="s">
        <v>351</v>
      </c>
      <c r="C99" s="89" t="s">
        <v>142</v>
      </c>
      <c r="E99" s="89">
        <v>48108</v>
      </c>
      <c r="G99" s="88">
        <v>0</v>
      </c>
      <c r="H99" s="88"/>
      <c r="I99" s="88">
        <v>0</v>
      </c>
      <c r="J99" s="88"/>
      <c r="K99" s="88">
        <v>0</v>
      </c>
      <c r="L99" s="88"/>
      <c r="M99" s="88">
        <v>0</v>
      </c>
      <c r="N99" s="88"/>
      <c r="O99" s="88">
        <v>0</v>
      </c>
      <c r="P99" s="88"/>
      <c r="Q99" s="88">
        <v>0</v>
      </c>
      <c r="R99" s="88"/>
      <c r="S99" s="88">
        <v>0</v>
      </c>
      <c r="T99" s="88"/>
      <c r="U99" s="88">
        <v>0</v>
      </c>
      <c r="V99" s="88"/>
      <c r="W99" s="88">
        <v>0</v>
      </c>
      <c r="X99" s="88"/>
      <c r="Y99" s="88">
        <v>0</v>
      </c>
      <c r="Z99" s="88"/>
      <c r="AA99" s="88">
        <v>0</v>
      </c>
      <c r="AB99" s="88"/>
      <c r="AC99" s="88">
        <v>0</v>
      </c>
      <c r="AD99" s="89" t="s">
        <v>351</v>
      </c>
      <c r="AF99" s="89" t="s">
        <v>142</v>
      </c>
      <c r="AH99" s="88">
        <v>0</v>
      </c>
      <c r="AI99" s="88"/>
      <c r="AJ99" s="88">
        <v>0</v>
      </c>
      <c r="AK99" s="88"/>
      <c r="AL99" s="88"/>
      <c r="AM99" s="88"/>
      <c r="AN99" s="88">
        <v>0</v>
      </c>
      <c r="AO99" s="88"/>
      <c r="AP99" s="88">
        <v>0</v>
      </c>
      <c r="AQ99" s="88"/>
      <c r="AR99" s="88">
        <v>0</v>
      </c>
      <c r="AS99" s="88"/>
      <c r="AT99" s="88">
        <v>0</v>
      </c>
      <c r="AU99" s="88"/>
      <c r="AV99" s="88"/>
      <c r="AW99" s="88"/>
      <c r="AX99" s="88">
        <v>0</v>
      </c>
      <c r="AY99" s="88"/>
      <c r="AZ99" s="88">
        <v>0</v>
      </c>
      <c r="BA99" s="88"/>
      <c r="BB99" s="88">
        <f t="shared" si="7"/>
        <v>0</v>
      </c>
      <c r="BC99" s="88"/>
      <c r="BD99" s="88">
        <v>0</v>
      </c>
      <c r="BE99" s="88"/>
      <c r="BF99" s="88"/>
      <c r="BG99" s="88"/>
      <c r="BH99" s="88"/>
      <c r="BI99" s="88"/>
      <c r="BJ99" s="88">
        <v>0</v>
      </c>
      <c r="BK99" s="89" t="s">
        <v>351</v>
      </c>
      <c r="BM99" s="89" t="s">
        <v>142</v>
      </c>
      <c r="BN99" s="88"/>
      <c r="BO99" s="88">
        <f t="shared" si="8"/>
        <v>0</v>
      </c>
      <c r="BP99" s="88"/>
      <c r="BQ99" s="88">
        <f>GenRev!AW99-BO99</f>
        <v>0</v>
      </c>
      <c r="BR99" s="88"/>
      <c r="BS99" s="88">
        <v>0</v>
      </c>
      <c r="BT99" s="88"/>
      <c r="BU99" s="88">
        <v>0</v>
      </c>
      <c r="BV99" s="88"/>
      <c r="BW99" s="88">
        <f t="shared" si="6"/>
        <v>0</v>
      </c>
      <c r="BX99" s="88"/>
      <c r="BY99" s="90">
        <f>+BW99-GenBS!AE99</f>
        <v>0</v>
      </c>
    </row>
    <row r="100" spans="1:77" s="103" customFormat="1">
      <c r="A100" s="103" t="s">
        <v>350</v>
      </c>
      <c r="C100" s="103" t="s">
        <v>175</v>
      </c>
      <c r="E100" s="103">
        <v>48199</v>
      </c>
      <c r="G100" s="3">
        <v>0</v>
      </c>
      <c r="H100" s="3"/>
      <c r="I100" s="3">
        <v>5047566</v>
      </c>
      <c r="J100" s="3"/>
      <c r="K100" s="3">
        <v>88854</v>
      </c>
      <c r="L100" s="3"/>
      <c r="M100" s="3">
        <v>139</v>
      </c>
      <c r="N100" s="3"/>
      <c r="O100" s="3">
        <v>25099</v>
      </c>
      <c r="P100" s="3"/>
      <c r="Q100" s="3">
        <v>4563421</v>
      </c>
      <c r="R100" s="3"/>
      <c r="S100" s="3">
        <v>2068850</v>
      </c>
      <c r="T100" s="3"/>
      <c r="U100" s="3">
        <v>19171</v>
      </c>
      <c r="V100" s="3"/>
      <c r="W100" s="3">
        <v>2091624</v>
      </c>
      <c r="X100" s="3"/>
      <c r="Y100" s="3">
        <v>955839</v>
      </c>
      <c r="Z100" s="3"/>
      <c r="AA100" s="3">
        <v>66383</v>
      </c>
      <c r="AB100" s="3"/>
      <c r="AC100" s="3">
        <v>737639</v>
      </c>
      <c r="AD100" s="103" t="s">
        <v>350</v>
      </c>
      <c r="AF100" s="103" t="s">
        <v>175</v>
      </c>
      <c r="AH100" s="3">
        <v>0</v>
      </c>
      <c r="AI100" s="3"/>
      <c r="AJ100" s="3">
        <v>303361</v>
      </c>
      <c r="AK100" s="3"/>
      <c r="AL100" s="3"/>
      <c r="AM100" s="3"/>
      <c r="AN100" s="3">
        <v>0</v>
      </c>
      <c r="AO100" s="3"/>
      <c r="AP100" s="3">
        <v>109758</v>
      </c>
      <c r="AQ100" s="3"/>
      <c r="AR100" s="3">
        <v>0</v>
      </c>
      <c r="AS100" s="3"/>
      <c r="AT100" s="3">
        <v>4304</v>
      </c>
      <c r="AU100" s="3"/>
      <c r="AV100" s="3"/>
      <c r="AW100" s="3"/>
      <c r="AX100" s="3">
        <v>2216</v>
      </c>
      <c r="AY100" s="3"/>
      <c r="AZ100" s="3">
        <v>293</v>
      </c>
      <c r="BA100" s="3"/>
      <c r="BB100" s="3">
        <f t="shared" si="7"/>
        <v>16084517</v>
      </c>
      <c r="BC100" s="3"/>
      <c r="BD100" s="3">
        <v>101992</v>
      </c>
      <c r="BE100" s="3"/>
      <c r="BF100" s="3"/>
      <c r="BG100" s="3"/>
      <c r="BH100" s="3"/>
      <c r="BI100" s="3"/>
      <c r="BJ100" s="3">
        <v>0</v>
      </c>
      <c r="BK100" s="103" t="s">
        <v>350</v>
      </c>
      <c r="BM100" s="103" t="s">
        <v>175</v>
      </c>
      <c r="BN100" s="3"/>
      <c r="BO100" s="3">
        <f t="shared" si="8"/>
        <v>16186509</v>
      </c>
      <c r="BP100" s="3"/>
      <c r="BQ100" s="3">
        <f>GenRev!AW100-BO100</f>
        <v>-248107</v>
      </c>
      <c r="BR100" s="3"/>
      <c r="BS100" s="3">
        <v>2190314</v>
      </c>
      <c r="BT100" s="3"/>
      <c r="BU100" s="3">
        <v>0</v>
      </c>
      <c r="BV100" s="3"/>
      <c r="BW100" s="3">
        <f t="shared" si="6"/>
        <v>1942207</v>
      </c>
      <c r="BX100" s="3"/>
      <c r="BY100" s="16">
        <f>+BW100-GenBS!AE100</f>
        <v>0</v>
      </c>
    </row>
    <row r="101" spans="1:77" s="59" customFormat="1" hidden="1">
      <c r="A101" s="58" t="s">
        <v>316</v>
      </c>
      <c r="C101" s="59" t="s">
        <v>151</v>
      </c>
      <c r="E101" s="59">
        <v>137364</v>
      </c>
      <c r="G101" s="58">
        <v>0</v>
      </c>
      <c r="H101" s="58"/>
      <c r="I101" s="58">
        <v>0</v>
      </c>
      <c r="J101" s="58"/>
      <c r="K101" s="58">
        <v>0</v>
      </c>
      <c r="L101" s="58"/>
      <c r="M101" s="58">
        <v>0</v>
      </c>
      <c r="N101" s="58"/>
      <c r="O101" s="58">
        <v>0</v>
      </c>
      <c r="P101" s="58"/>
      <c r="Q101" s="58">
        <v>0</v>
      </c>
      <c r="R101" s="58"/>
      <c r="S101" s="58">
        <v>0</v>
      </c>
      <c r="T101" s="58"/>
      <c r="U101" s="58">
        <v>0</v>
      </c>
      <c r="V101" s="58"/>
      <c r="W101" s="58">
        <v>0</v>
      </c>
      <c r="X101" s="58"/>
      <c r="Y101" s="58">
        <v>0</v>
      </c>
      <c r="Z101" s="58"/>
      <c r="AA101" s="58">
        <v>0</v>
      </c>
      <c r="AB101" s="58"/>
      <c r="AC101" s="58">
        <v>0</v>
      </c>
      <c r="AD101" s="58" t="s">
        <v>316</v>
      </c>
      <c r="AF101" s="59" t="s">
        <v>151</v>
      </c>
      <c r="AH101" s="58">
        <v>0</v>
      </c>
      <c r="AI101" s="58"/>
      <c r="AJ101" s="58">
        <v>0</v>
      </c>
      <c r="AK101" s="58"/>
      <c r="AL101" s="58"/>
      <c r="AM101" s="58"/>
      <c r="AN101" s="58">
        <v>0</v>
      </c>
      <c r="AO101" s="58"/>
      <c r="AP101" s="58">
        <v>0</v>
      </c>
      <c r="AQ101" s="58"/>
      <c r="AR101" s="58">
        <v>0</v>
      </c>
      <c r="AS101" s="58"/>
      <c r="AT101" s="58">
        <v>0</v>
      </c>
      <c r="AU101" s="58"/>
      <c r="AV101" s="58"/>
      <c r="AW101" s="58"/>
      <c r="AX101" s="58">
        <v>0</v>
      </c>
      <c r="AY101" s="58"/>
      <c r="AZ101" s="58">
        <v>0</v>
      </c>
      <c r="BA101" s="58"/>
      <c r="BB101" s="58">
        <f t="shared" si="7"/>
        <v>0</v>
      </c>
      <c r="BC101" s="58"/>
      <c r="BD101" s="58">
        <v>0</v>
      </c>
      <c r="BE101" s="58"/>
      <c r="BF101" s="58"/>
      <c r="BG101" s="58"/>
      <c r="BH101" s="58"/>
      <c r="BI101" s="58"/>
      <c r="BJ101" s="58">
        <v>0</v>
      </c>
      <c r="BK101" s="58" t="s">
        <v>316</v>
      </c>
      <c r="BM101" s="59" t="s">
        <v>151</v>
      </c>
      <c r="BN101" s="58"/>
      <c r="BO101" s="58">
        <f t="shared" si="8"/>
        <v>0</v>
      </c>
      <c r="BP101" s="58"/>
      <c r="BQ101" s="58">
        <f>GenRev!AW101-BO101</f>
        <v>0</v>
      </c>
      <c r="BR101" s="58"/>
      <c r="BS101" s="58">
        <v>0</v>
      </c>
      <c r="BT101" s="58"/>
      <c r="BU101" s="58"/>
      <c r="BV101" s="58"/>
      <c r="BW101" s="58">
        <f t="shared" si="6"/>
        <v>0</v>
      </c>
      <c r="BX101" s="58"/>
      <c r="BY101" s="60">
        <f>+BW101-GenBS!AE101</f>
        <v>0</v>
      </c>
    </row>
    <row r="102" spans="1:77" s="103" customFormat="1">
      <c r="A102" s="3" t="s">
        <v>317</v>
      </c>
      <c r="C102" s="103" t="s">
        <v>176</v>
      </c>
      <c r="E102" s="103">
        <v>48280</v>
      </c>
      <c r="G102" s="3">
        <v>1861654</v>
      </c>
      <c r="H102" s="3"/>
      <c r="I102" s="3">
        <v>5805013</v>
      </c>
      <c r="J102" s="3"/>
      <c r="K102" s="3">
        <v>63637</v>
      </c>
      <c r="L102" s="3"/>
      <c r="M102" s="3">
        <v>0</v>
      </c>
      <c r="N102" s="3"/>
      <c r="O102" s="3">
        <v>0</v>
      </c>
      <c r="P102" s="3"/>
      <c r="Q102" s="3">
        <v>5189125</v>
      </c>
      <c r="R102" s="3"/>
      <c r="S102" s="3">
        <v>2566823</v>
      </c>
      <c r="T102" s="3"/>
      <c r="U102" s="3">
        <v>31033</v>
      </c>
      <c r="V102" s="3"/>
      <c r="W102" s="3">
        <v>1054338</v>
      </c>
      <c r="X102" s="3"/>
      <c r="Y102" s="3">
        <v>483888</v>
      </c>
      <c r="Z102" s="3"/>
      <c r="AA102" s="3">
        <v>362708</v>
      </c>
      <c r="AB102" s="3"/>
      <c r="AC102" s="3">
        <v>225434</v>
      </c>
      <c r="AD102" s="3" t="s">
        <v>317</v>
      </c>
      <c r="AF102" s="103" t="s">
        <v>176</v>
      </c>
      <c r="AH102" s="3">
        <v>0</v>
      </c>
      <c r="AI102" s="3"/>
      <c r="AJ102" s="3">
        <v>899225</v>
      </c>
      <c r="AK102" s="3"/>
      <c r="AL102" s="3"/>
      <c r="AM102" s="3"/>
      <c r="AN102" s="3">
        <v>0</v>
      </c>
      <c r="AO102" s="3"/>
      <c r="AP102" s="3">
        <v>125654</v>
      </c>
      <c r="AQ102" s="3"/>
      <c r="AR102" s="3">
        <v>0</v>
      </c>
      <c r="AS102" s="3"/>
      <c r="AT102" s="3">
        <v>0</v>
      </c>
      <c r="AU102" s="3"/>
      <c r="AV102" s="3"/>
      <c r="AW102" s="3"/>
      <c r="AX102" s="3">
        <v>5259</v>
      </c>
      <c r="AY102" s="3"/>
      <c r="AZ102" s="3">
        <v>2067</v>
      </c>
      <c r="BA102" s="3"/>
      <c r="BB102" s="3">
        <f t="shared" si="7"/>
        <v>18675858</v>
      </c>
      <c r="BC102" s="3"/>
      <c r="BD102" s="3">
        <v>120000</v>
      </c>
      <c r="BE102" s="3"/>
      <c r="BF102" s="3"/>
      <c r="BG102" s="3"/>
      <c r="BH102" s="3"/>
      <c r="BI102" s="3"/>
      <c r="BJ102" s="3">
        <v>0</v>
      </c>
      <c r="BK102" s="3" t="s">
        <v>317</v>
      </c>
      <c r="BM102" s="103" t="s">
        <v>176</v>
      </c>
      <c r="BN102" s="3"/>
      <c r="BO102" s="3">
        <f t="shared" si="8"/>
        <v>18795858</v>
      </c>
      <c r="BP102" s="3"/>
      <c r="BQ102" s="3">
        <f>GenRev!AW102-BO102</f>
        <v>151808</v>
      </c>
      <c r="BR102" s="3"/>
      <c r="BS102" s="3">
        <v>433947</v>
      </c>
      <c r="BT102" s="3"/>
      <c r="BU102" s="3">
        <v>0</v>
      </c>
      <c r="BV102" s="3"/>
      <c r="BW102" s="3">
        <f t="shared" si="6"/>
        <v>585755</v>
      </c>
      <c r="BX102" s="3"/>
      <c r="BY102" s="16">
        <f>+BW102-GenBS!AE102</f>
        <v>0</v>
      </c>
    </row>
    <row r="103" spans="1:77" s="103" customFormat="1">
      <c r="A103" s="3" t="s">
        <v>177</v>
      </c>
      <c r="C103" s="103" t="s">
        <v>178</v>
      </c>
      <c r="E103" s="103">
        <v>48454</v>
      </c>
      <c r="G103" s="3">
        <v>800670</v>
      </c>
      <c r="H103" s="3"/>
      <c r="I103" s="3">
        <v>96539</v>
      </c>
      <c r="J103" s="3"/>
      <c r="K103" s="3">
        <v>0</v>
      </c>
      <c r="L103" s="3"/>
      <c r="M103" s="3">
        <v>0</v>
      </c>
      <c r="N103" s="3"/>
      <c r="O103" s="3">
        <v>0</v>
      </c>
      <c r="P103" s="3"/>
      <c r="Q103" s="3">
        <v>419430</v>
      </c>
      <c r="R103" s="3"/>
      <c r="S103" s="3">
        <v>1941232</v>
      </c>
      <c r="T103" s="3"/>
      <c r="U103" s="3">
        <v>43368</v>
      </c>
      <c r="V103" s="3"/>
      <c r="W103" s="3">
        <v>271640</v>
      </c>
      <c r="X103" s="3"/>
      <c r="Y103" s="3">
        <v>231220</v>
      </c>
      <c r="Z103" s="3"/>
      <c r="AA103" s="3">
        <v>194366</v>
      </c>
      <c r="AB103" s="3"/>
      <c r="AC103" s="3">
        <v>0</v>
      </c>
      <c r="AD103" s="3" t="s">
        <v>177</v>
      </c>
      <c r="AF103" s="103" t="s">
        <v>178</v>
      </c>
      <c r="AH103" s="3">
        <v>176632</v>
      </c>
      <c r="AI103" s="3"/>
      <c r="AJ103" s="3">
        <v>161113</v>
      </c>
      <c r="AK103" s="3"/>
      <c r="AL103" s="3"/>
      <c r="AM103" s="3"/>
      <c r="AN103" s="3">
        <v>0</v>
      </c>
      <c r="AO103" s="3"/>
      <c r="AP103" s="3">
        <v>398</v>
      </c>
      <c r="AQ103" s="3"/>
      <c r="AR103" s="3">
        <v>12180</v>
      </c>
      <c r="AS103" s="3"/>
      <c r="AT103" s="3">
        <v>0</v>
      </c>
      <c r="AU103" s="3"/>
      <c r="AV103" s="3"/>
      <c r="AW103" s="3"/>
      <c r="AX103" s="3">
        <v>0</v>
      </c>
      <c r="AY103" s="3"/>
      <c r="AZ103" s="3">
        <v>0</v>
      </c>
      <c r="BA103" s="3"/>
      <c r="BB103" s="3">
        <f t="shared" si="7"/>
        <v>4348788</v>
      </c>
      <c r="BC103" s="3"/>
      <c r="BD103" s="3">
        <v>8330</v>
      </c>
      <c r="BE103" s="3"/>
      <c r="BF103" s="3"/>
      <c r="BG103" s="3"/>
      <c r="BH103" s="3"/>
      <c r="BI103" s="3"/>
      <c r="BJ103" s="3">
        <v>0</v>
      </c>
      <c r="BK103" s="3" t="s">
        <v>177</v>
      </c>
      <c r="BM103" s="103" t="s">
        <v>178</v>
      </c>
      <c r="BN103" s="3"/>
      <c r="BO103" s="3">
        <f t="shared" si="8"/>
        <v>4357118</v>
      </c>
      <c r="BP103" s="3"/>
      <c r="BQ103" s="3">
        <f>GenRev!AW103-BO103</f>
        <v>326646</v>
      </c>
      <c r="BR103" s="3"/>
      <c r="BS103" s="3">
        <v>639268</v>
      </c>
      <c r="BT103" s="3"/>
      <c r="BU103" s="3">
        <v>0</v>
      </c>
      <c r="BV103" s="3"/>
      <c r="BW103" s="3">
        <f t="shared" si="6"/>
        <v>965914</v>
      </c>
      <c r="BX103" s="3"/>
      <c r="BY103" s="16">
        <f>+BW103-GenBS!AE103</f>
        <v>0</v>
      </c>
    </row>
    <row r="104" spans="1:77" s="59" customFormat="1" hidden="1">
      <c r="A104" s="58" t="s">
        <v>318</v>
      </c>
      <c r="C104" s="59" t="s">
        <v>179</v>
      </c>
      <c r="E104" s="59">
        <v>48546</v>
      </c>
      <c r="G104" s="58">
        <v>0</v>
      </c>
      <c r="H104" s="58"/>
      <c r="I104" s="58">
        <v>0</v>
      </c>
      <c r="J104" s="58"/>
      <c r="K104" s="58">
        <v>0</v>
      </c>
      <c r="L104" s="58"/>
      <c r="M104" s="58">
        <v>0</v>
      </c>
      <c r="N104" s="58"/>
      <c r="O104" s="58">
        <v>0</v>
      </c>
      <c r="P104" s="58"/>
      <c r="Q104" s="58">
        <v>0</v>
      </c>
      <c r="R104" s="58"/>
      <c r="S104" s="58">
        <v>0</v>
      </c>
      <c r="T104" s="58"/>
      <c r="U104" s="58">
        <v>0</v>
      </c>
      <c r="V104" s="58"/>
      <c r="W104" s="58">
        <v>0</v>
      </c>
      <c r="X104" s="58"/>
      <c r="Y104" s="58">
        <v>0</v>
      </c>
      <c r="Z104" s="58"/>
      <c r="AA104" s="58">
        <v>0</v>
      </c>
      <c r="AB104" s="58"/>
      <c r="AC104" s="58">
        <v>0</v>
      </c>
      <c r="AD104" s="58" t="s">
        <v>318</v>
      </c>
      <c r="AF104" s="59" t="s">
        <v>179</v>
      </c>
      <c r="AH104" s="58">
        <v>0</v>
      </c>
      <c r="AI104" s="58"/>
      <c r="AJ104" s="58">
        <v>0</v>
      </c>
      <c r="AK104" s="58"/>
      <c r="AL104" s="58"/>
      <c r="AM104" s="58"/>
      <c r="AN104" s="58">
        <v>0</v>
      </c>
      <c r="AO104" s="58"/>
      <c r="AP104" s="58">
        <v>0</v>
      </c>
      <c r="AQ104" s="58"/>
      <c r="AR104" s="58">
        <v>0</v>
      </c>
      <c r="AS104" s="58"/>
      <c r="AT104" s="58">
        <v>0</v>
      </c>
      <c r="AU104" s="58"/>
      <c r="AV104" s="58"/>
      <c r="AW104" s="58"/>
      <c r="AX104" s="58">
        <v>0</v>
      </c>
      <c r="AY104" s="58"/>
      <c r="AZ104" s="58">
        <v>0</v>
      </c>
      <c r="BA104" s="58"/>
      <c r="BB104" s="58">
        <f t="shared" si="7"/>
        <v>0</v>
      </c>
      <c r="BC104" s="58"/>
      <c r="BD104" s="58">
        <v>0</v>
      </c>
      <c r="BE104" s="58"/>
      <c r="BF104" s="58"/>
      <c r="BG104" s="58"/>
      <c r="BH104" s="58"/>
      <c r="BI104" s="58"/>
      <c r="BJ104" s="58">
        <v>0</v>
      </c>
      <c r="BK104" s="58" t="s">
        <v>318</v>
      </c>
      <c r="BM104" s="59" t="s">
        <v>179</v>
      </c>
      <c r="BN104" s="58"/>
      <c r="BO104" s="58">
        <f t="shared" si="8"/>
        <v>0</v>
      </c>
      <c r="BP104" s="58"/>
      <c r="BQ104" s="58">
        <f>GenRev!AW104-BO104</f>
        <v>0</v>
      </c>
      <c r="BR104" s="58"/>
      <c r="BS104" s="58">
        <v>0</v>
      </c>
      <c r="BT104" s="58"/>
      <c r="BU104" s="58"/>
      <c r="BV104" s="58"/>
      <c r="BW104" s="58">
        <f t="shared" si="6"/>
        <v>0</v>
      </c>
      <c r="BX104" s="58"/>
      <c r="BY104" s="60">
        <f>+BW104-GenBS!AE104</f>
        <v>0</v>
      </c>
    </row>
    <row r="105" spans="1:77" s="103" customFormat="1">
      <c r="A105" s="3" t="s">
        <v>319</v>
      </c>
      <c r="C105" s="103" t="s">
        <v>180</v>
      </c>
      <c r="E105" s="103">
        <v>48603</v>
      </c>
      <c r="G105" s="3">
        <v>397625</v>
      </c>
      <c r="H105" s="3"/>
      <c r="I105" s="3">
        <v>5176063</v>
      </c>
      <c r="J105" s="3"/>
      <c r="K105" s="3">
        <v>0</v>
      </c>
      <c r="L105" s="3"/>
      <c r="M105" s="3">
        <v>0</v>
      </c>
      <c r="N105" s="3"/>
      <c r="O105" s="3">
        <v>0</v>
      </c>
      <c r="P105" s="3"/>
      <c r="Q105" s="3">
        <v>3049782</v>
      </c>
      <c r="R105" s="3"/>
      <c r="S105" s="3">
        <v>2862730</v>
      </c>
      <c r="T105" s="3"/>
      <c r="U105" s="3">
        <v>15182</v>
      </c>
      <c r="V105" s="3"/>
      <c r="W105" s="3">
        <v>970538</v>
      </c>
      <c r="X105" s="3"/>
      <c r="Y105" s="3">
        <v>209050</v>
      </c>
      <c r="Z105" s="3"/>
      <c r="AA105" s="3">
        <v>0</v>
      </c>
      <c r="AB105" s="3"/>
      <c r="AC105" s="3">
        <v>96642</v>
      </c>
      <c r="AD105" s="3" t="s">
        <v>319</v>
      </c>
      <c r="AF105" s="103" t="s">
        <v>180</v>
      </c>
      <c r="AH105" s="3">
        <v>2185</v>
      </c>
      <c r="AI105" s="3"/>
      <c r="AJ105" s="3">
        <v>220881</v>
      </c>
      <c r="AK105" s="3"/>
      <c r="AL105" s="3"/>
      <c r="AM105" s="3"/>
      <c r="AN105" s="3">
        <v>0</v>
      </c>
      <c r="AO105" s="3"/>
      <c r="AP105" s="3">
        <v>0</v>
      </c>
      <c r="AQ105" s="3"/>
      <c r="AR105" s="3">
        <v>0</v>
      </c>
      <c r="AS105" s="3"/>
      <c r="AT105" s="3">
        <v>7033</v>
      </c>
      <c r="AU105" s="3"/>
      <c r="AV105" s="3"/>
      <c r="AW105" s="3"/>
      <c r="AX105" s="3">
        <v>9875</v>
      </c>
      <c r="AY105" s="3"/>
      <c r="AZ105" s="3">
        <v>5847</v>
      </c>
      <c r="BA105" s="3"/>
      <c r="BB105" s="3">
        <f t="shared" si="7"/>
        <v>13023433</v>
      </c>
      <c r="BC105" s="3"/>
      <c r="BD105" s="3">
        <v>0</v>
      </c>
      <c r="BE105" s="3"/>
      <c r="BF105" s="3"/>
      <c r="BG105" s="3"/>
      <c r="BH105" s="3"/>
      <c r="BI105" s="3"/>
      <c r="BJ105" s="3">
        <v>0</v>
      </c>
      <c r="BK105" s="3" t="s">
        <v>319</v>
      </c>
      <c r="BM105" s="103" t="s">
        <v>180</v>
      </c>
      <c r="BN105" s="3"/>
      <c r="BO105" s="3">
        <f t="shared" si="8"/>
        <v>13023433</v>
      </c>
      <c r="BP105" s="3"/>
      <c r="BQ105" s="3">
        <f>GenRev!AW105-BO105</f>
        <v>229832</v>
      </c>
      <c r="BR105" s="3"/>
      <c r="BS105" s="3">
        <v>2606197</v>
      </c>
      <c r="BT105" s="3"/>
      <c r="BU105" s="3">
        <v>0</v>
      </c>
      <c r="BV105" s="3"/>
      <c r="BW105" s="3">
        <f t="shared" si="6"/>
        <v>2836029</v>
      </c>
      <c r="BX105" s="3"/>
      <c r="BY105" s="16">
        <f>+BW105-GenBS!AE105</f>
        <v>0</v>
      </c>
    </row>
    <row r="106" spans="1:77" s="59" customFormat="1" hidden="1">
      <c r="A106" s="58" t="s">
        <v>275</v>
      </c>
      <c r="B106" s="58"/>
      <c r="C106" s="58" t="s">
        <v>189</v>
      </c>
      <c r="E106" s="59">
        <v>12351</v>
      </c>
      <c r="G106" s="58">
        <v>0</v>
      </c>
      <c r="H106" s="58"/>
      <c r="I106" s="58">
        <v>0</v>
      </c>
      <c r="J106" s="58"/>
      <c r="K106" s="58">
        <v>0</v>
      </c>
      <c r="L106" s="58"/>
      <c r="M106" s="58">
        <v>0</v>
      </c>
      <c r="N106" s="58"/>
      <c r="O106" s="58">
        <v>0</v>
      </c>
      <c r="P106" s="58"/>
      <c r="Q106" s="58">
        <v>0</v>
      </c>
      <c r="R106" s="58"/>
      <c r="S106" s="58">
        <v>0</v>
      </c>
      <c r="T106" s="58"/>
      <c r="U106" s="58">
        <v>0</v>
      </c>
      <c r="V106" s="58"/>
      <c r="W106" s="58">
        <v>0</v>
      </c>
      <c r="X106" s="58"/>
      <c r="Y106" s="58">
        <v>0</v>
      </c>
      <c r="Z106" s="58"/>
      <c r="AA106" s="58">
        <v>0</v>
      </c>
      <c r="AB106" s="58"/>
      <c r="AC106" s="58">
        <v>0</v>
      </c>
      <c r="AD106" s="58" t="s">
        <v>275</v>
      </c>
      <c r="AE106" s="58"/>
      <c r="AF106" s="58" t="s">
        <v>189</v>
      </c>
      <c r="AG106" s="58"/>
      <c r="AH106" s="58">
        <v>0</v>
      </c>
      <c r="AI106" s="58"/>
      <c r="AJ106" s="58">
        <v>0</v>
      </c>
      <c r="AK106" s="58"/>
      <c r="AL106" s="58"/>
      <c r="AM106" s="58"/>
      <c r="AN106" s="58">
        <v>0</v>
      </c>
      <c r="AO106" s="58"/>
      <c r="AP106" s="58">
        <v>0</v>
      </c>
      <c r="AQ106" s="58"/>
      <c r="AR106" s="58">
        <v>0</v>
      </c>
      <c r="AS106" s="58"/>
      <c r="AT106" s="58">
        <v>0</v>
      </c>
      <c r="AU106" s="58"/>
      <c r="AV106" s="58"/>
      <c r="AW106" s="58"/>
      <c r="AX106" s="58">
        <v>0</v>
      </c>
      <c r="AY106" s="58"/>
      <c r="AZ106" s="58">
        <v>0</v>
      </c>
      <c r="BA106" s="58"/>
      <c r="BB106" s="58">
        <f t="shared" si="7"/>
        <v>0</v>
      </c>
      <c r="BC106" s="58"/>
      <c r="BD106" s="58">
        <v>0</v>
      </c>
      <c r="BE106" s="58"/>
      <c r="BF106" s="58"/>
      <c r="BG106" s="58"/>
      <c r="BH106" s="58"/>
      <c r="BI106" s="58"/>
      <c r="BJ106" s="58">
        <v>0</v>
      </c>
      <c r="BK106" s="58" t="s">
        <v>275</v>
      </c>
      <c r="BL106" s="58"/>
      <c r="BM106" s="58" t="s">
        <v>189</v>
      </c>
      <c r="BN106" s="58"/>
      <c r="BO106" s="58">
        <f t="shared" si="8"/>
        <v>0</v>
      </c>
      <c r="BP106" s="58"/>
      <c r="BQ106" s="58">
        <f>GenRev!AW106-BO106</f>
        <v>0</v>
      </c>
      <c r="BR106" s="58"/>
      <c r="BS106" s="58">
        <v>0</v>
      </c>
      <c r="BT106" s="58"/>
      <c r="BU106" s="58"/>
      <c r="BV106" s="58"/>
      <c r="BW106" s="58">
        <f t="shared" si="6"/>
        <v>0</v>
      </c>
      <c r="BX106" s="58"/>
      <c r="BY106" s="60">
        <f>+BW106-GenBS!AE106</f>
        <v>0</v>
      </c>
    </row>
    <row r="107" spans="1:77" s="103" customFormat="1">
      <c r="A107" s="3" t="s">
        <v>320</v>
      </c>
      <c r="C107" s="103" t="s">
        <v>181</v>
      </c>
      <c r="E107" s="103">
        <v>48660</v>
      </c>
      <c r="G107" s="3">
        <v>0</v>
      </c>
      <c r="H107" s="3"/>
      <c r="I107" s="3">
        <v>6091875</v>
      </c>
      <c r="J107" s="3"/>
      <c r="K107" s="3">
        <v>0</v>
      </c>
      <c r="L107" s="3"/>
      <c r="M107" s="3">
        <v>0</v>
      </c>
      <c r="N107" s="3"/>
      <c r="O107" s="3">
        <v>0</v>
      </c>
      <c r="P107" s="3"/>
      <c r="Q107" s="3">
        <v>8963790</v>
      </c>
      <c r="R107" s="3"/>
      <c r="S107" s="3">
        <v>5290091</v>
      </c>
      <c r="T107" s="3"/>
      <c r="U107" s="3">
        <v>0</v>
      </c>
      <c r="V107" s="3"/>
      <c r="W107" s="3">
        <f>101207+1292063</f>
        <v>1393270</v>
      </c>
      <c r="X107" s="3"/>
      <c r="Y107" s="3">
        <v>419842</v>
      </c>
      <c r="Z107" s="3"/>
      <c r="AA107" s="3">
        <v>2069</v>
      </c>
      <c r="AB107" s="3"/>
      <c r="AC107" s="3">
        <v>1294169</v>
      </c>
      <c r="AD107" s="3" t="s">
        <v>320</v>
      </c>
      <c r="AF107" s="103" t="s">
        <v>181</v>
      </c>
      <c r="AH107" s="3">
        <v>5410</v>
      </c>
      <c r="AI107" s="3"/>
      <c r="AJ107" s="3">
        <v>1176050</v>
      </c>
      <c r="AK107" s="3"/>
      <c r="AL107" s="3"/>
      <c r="AM107" s="3"/>
      <c r="AN107" s="3">
        <v>0</v>
      </c>
      <c r="AO107" s="3"/>
      <c r="AP107" s="3">
        <v>0</v>
      </c>
      <c r="AQ107" s="3"/>
      <c r="AR107" s="3">
        <v>0</v>
      </c>
      <c r="AS107" s="3"/>
      <c r="AT107" s="3">
        <v>33386</v>
      </c>
      <c r="AU107" s="3"/>
      <c r="AV107" s="3"/>
      <c r="AW107" s="3"/>
      <c r="AX107" s="3">
        <v>0</v>
      </c>
      <c r="AY107" s="3"/>
      <c r="AZ107" s="3">
        <v>0</v>
      </c>
      <c r="BA107" s="3"/>
      <c r="BB107" s="3">
        <f t="shared" si="7"/>
        <v>24669952</v>
      </c>
      <c r="BC107" s="3"/>
      <c r="BD107" s="3">
        <v>82112</v>
      </c>
      <c r="BE107" s="3"/>
      <c r="BF107" s="3"/>
      <c r="BG107" s="3"/>
      <c r="BH107" s="3"/>
      <c r="BI107" s="3"/>
      <c r="BJ107" s="3">
        <v>0</v>
      </c>
      <c r="BK107" s="3" t="s">
        <v>320</v>
      </c>
      <c r="BM107" s="103" t="s">
        <v>181</v>
      </c>
      <c r="BN107" s="3"/>
      <c r="BO107" s="3">
        <f t="shared" si="8"/>
        <v>24752064</v>
      </c>
      <c r="BP107" s="3"/>
      <c r="BQ107" s="3">
        <f>GenRev!AW107-BO107</f>
        <v>1457934</v>
      </c>
      <c r="BR107" s="3"/>
      <c r="BS107" s="3">
        <v>12481801</v>
      </c>
      <c r="BT107" s="3"/>
      <c r="BU107" s="3">
        <v>0</v>
      </c>
      <c r="BV107" s="3"/>
      <c r="BW107" s="3">
        <f t="shared" si="6"/>
        <v>13939735</v>
      </c>
      <c r="BX107" s="3"/>
      <c r="BY107" s="16">
        <f>+BW107-GenBS!AE107</f>
        <v>0</v>
      </c>
    </row>
    <row r="108" spans="1:77" s="103" customFormat="1">
      <c r="A108" s="3" t="s">
        <v>182</v>
      </c>
      <c r="C108" s="103" t="s">
        <v>183</v>
      </c>
      <c r="E108" s="103">
        <v>125252</v>
      </c>
      <c r="G108" s="3">
        <v>604033</v>
      </c>
      <c r="H108" s="3"/>
      <c r="I108" s="3">
        <v>4794699</v>
      </c>
      <c r="J108" s="3"/>
      <c r="K108" s="3">
        <v>0</v>
      </c>
      <c r="L108" s="3"/>
      <c r="M108" s="3">
        <v>0</v>
      </c>
      <c r="N108" s="3"/>
      <c r="O108" s="3">
        <v>405682</v>
      </c>
      <c r="P108" s="3"/>
      <c r="Q108" s="3">
        <v>3580255</v>
      </c>
      <c r="R108" s="3"/>
      <c r="S108" s="3">
        <v>3417261</v>
      </c>
      <c r="T108" s="3"/>
      <c r="U108" s="3">
        <v>42588</v>
      </c>
      <c r="V108" s="3"/>
      <c r="W108" s="3">
        <v>1120025</v>
      </c>
      <c r="X108" s="3"/>
      <c r="Y108" s="3">
        <v>400465</v>
      </c>
      <c r="Z108" s="3"/>
      <c r="AA108" s="3">
        <v>0</v>
      </c>
      <c r="AB108" s="3"/>
      <c r="AC108" s="3">
        <v>85663</v>
      </c>
      <c r="AD108" s="3" t="s">
        <v>182</v>
      </c>
      <c r="AF108" s="103" t="s">
        <v>183</v>
      </c>
      <c r="AH108" s="3">
        <v>26367</v>
      </c>
      <c r="AI108" s="3"/>
      <c r="AJ108" s="3">
        <v>236293</v>
      </c>
      <c r="AK108" s="3"/>
      <c r="AL108" s="3"/>
      <c r="AM108" s="3"/>
      <c r="AN108" s="3">
        <v>0</v>
      </c>
      <c r="AO108" s="3"/>
      <c r="AP108" s="3">
        <v>34946</v>
      </c>
      <c r="AQ108" s="3"/>
      <c r="AR108" s="3">
        <v>15108</v>
      </c>
      <c r="AS108" s="3"/>
      <c r="AT108" s="3">
        <v>0</v>
      </c>
      <c r="AU108" s="3"/>
      <c r="AV108" s="3"/>
      <c r="AW108" s="3"/>
      <c r="AX108" s="3">
        <v>14134</v>
      </c>
      <c r="AY108" s="3"/>
      <c r="AZ108" s="3">
        <v>571</v>
      </c>
      <c r="BA108" s="3"/>
      <c r="BB108" s="3">
        <f t="shared" si="7"/>
        <v>14778090</v>
      </c>
      <c r="BC108" s="3"/>
      <c r="BD108" s="3">
        <v>0</v>
      </c>
      <c r="BE108" s="3"/>
      <c r="BF108" s="3"/>
      <c r="BG108" s="3"/>
      <c r="BH108" s="3"/>
      <c r="BI108" s="3"/>
      <c r="BJ108" s="3">
        <v>0</v>
      </c>
      <c r="BK108" s="3" t="s">
        <v>182</v>
      </c>
      <c r="BM108" s="103" t="s">
        <v>183</v>
      </c>
      <c r="BN108" s="3"/>
      <c r="BO108" s="3">
        <f t="shared" si="8"/>
        <v>14778090</v>
      </c>
      <c r="BP108" s="3"/>
      <c r="BQ108" s="3">
        <f>GenRev!AW108-BO108</f>
        <v>-239069</v>
      </c>
      <c r="BR108" s="3"/>
      <c r="BS108" s="3">
        <v>3299483</v>
      </c>
      <c r="BT108" s="3"/>
      <c r="BU108" s="3">
        <v>0</v>
      </c>
      <c r="BV108" s="3"/>
      <c r="BW108" s="3">
        <f t="shared" si="6"/>
        <v>3060414</v>
      </c>
      <c r="BX108" s="3"/>
      <c r="BY108" s="16">
        <f>+BW108-GenBS!AE108</f>
        <v>0</v>
      </c>
    </row>
    <row r="109" spans="1:77" s="103" customFormat="1">
      <c r="A109" s="3" t="s">
        <v>265</v>
      </c>
      <c r="C109" s="103" t="s">
        <v>193</v>
      </c>
      <c r="E109" s="103">
        <v>123257</v>
      </c>
      <c r="G109" s="3">
        <v>1204959</v>
      </c>
      <c r="H109" s="3"/>
      <c r="I109" s="3">
        <v>5061137</v>
      </c>
      <c r="J109" s="3"/>
      <c r="K109" s="3">
        <v>0</v>
      </c>
      <c r="L109" s="3"/>
      <c r="M109" s="3">
        <v>0</v>
      </c>
      <c r="N109" s="3"/>
      <c r="O109" s="3">
        <v>84216</v>
      </c>
      <c r="P109" s="3"/>
      <c r="Q109" s="3">
        <v>4044229</v>
      </c>
      <c r="R109" s="3"/>
      <c r="S109" s="3">
        <v>2306257</v>
      </c>
      <c r="T109" s="3"/>
      <c r="U109" s="3">
        <v>68079</v>
      </c>
      <c r="V109" s="3"/>
      <c r="W109" s="3">
        <v>1652487</v>
      </c>
      <c r="X109" s="3"/>
      <c r="Y109" s="3">
        <v>704301</v>
      </c>
      <c r="Z109" s="3"/>
      <c r="AA109" s="3">
        <v>159702</v>
      </c>
      <c r="AB109" s="3"/>
      <c r="AC109" s="3">
        <v>480311</v>
      </c>
      <c r="AD109" s="3" t="s">
        <v>265</v>
      </c>
      <c r="AF109" s="103" t="s">
        <v>193</v>
      </c>
      <c r="AH109" s="3">
        <v>134229</v>
      </c>
      <c r="AI109" s="3"/>
      <c r="AJ109" s="3">
        <v>1118087</v>
      </c>
      <c r="AK109" s="3"/>
      <c r="AL109" s="3"/>
      <c r="AM109" s="3"/>
      <c r="AN109" s="3">
        <v>0</v>
      </c>
      <c r="AO109" s="3"/>
      <c r="AP109" s="3">
        <v>78745</v>
      </c>
      <c r="AQ109" s="3"/>
      <c r="AR109" s="3">
        <v>0</v>
      </c>
      <c r="AS109" s="3"/>
      <c r="AT109" s="3">
        <v>0</v>
      </c>
      <c r="AU109" s="3"/>
      <c r="AV109" s="3"/>
      <c r="AW109" s="3"/>
      <c r="AX109" s="3">
        <v>0</v>
      </c>
      <c r="AY109" s="3"/>
      <c r="AZ109" s="3">
        <v>0</v>
      </c>
      <c r="BA109" s="3"/>
      <c r="BB109" s="3">
        <f t="shared" si="7"/>
        <v>17096739</v>
      </c>
      <c r="BC109" s="3"/>
      <c r="BD109" s="3">
        <v>253154</v>
      </c>
      <c r="BE109" s="3"/>
      <c r="BF109" s="3"/>
      <c r="BG109" s="3"/>
      <c r="BH109" s="3"/>
      <c r="BI109" s="3"/>
      <c r="BJ109" s="3">
        <v>0</v>
      </c>
      <c r="BK109" s="3" t="s">
        <v>265</v>
      </c>
      <c r="BM109" s="103" t="s">
        <v>193</v>
      </c>
      <c r="BN109" s="3"/>
      <c r="BO109" s="3">
        <f t="shared" si="8"/>
        <v>17349893</v>
      </c>
      <c r="BP109" s="3"/>
      <c r="BQ109" s="3">
        <f>GenRev!AW109-BO109</f>
        <v>-1135243</v>
      </c>
      <c r="BR109" s="3"/>
      <c r="BS109" s="3">
        <v>403903</v>
      </c>
      <c r="BT109" s="3"/>
      <c r="BU109" s="3">
        <v>0</v>
      </c>
      <c r="BV109" s="3"/>
      <c r="BW109" s="3">
        <f t="shared" si="6"/>
        <v>-731340</v>
      </c>
      <c r="BX109" s="3"/>
      <c r="BY109" s="16">
        <f>+BW109-GenBS!AE109</f>
        <v>0</v>
      </c>
    </row>
    <row r="110" spans="1:77" s="103" customFormat="1">
      <c r="A110" s="103" t="s">
        <v>299</v>
      </c>
      <c r="C110" s="103" t="s">
        <v>160</v>
      </c>
      <c r="E110" s="12">
        <v>125690</v>
      </c>
      <c r="G110" s="3">
        <v>263246</v>
      </c>
      <c r="H110" s="3"/>
      <c r="I110" s="3">
        <v>5236164</v>
      </c>
      <c r="J110" s="3"/>
      <c r="K110" s="3">
        <v>0</v>
      </c>
      <c r="L110" s="3"/>
      <c r="M110" s="3">
        <v>0</v>
      </c>
      <c r="N110" s="3"/>
      <c r="O110" s="3">
        <v>0</v>
      </c>
      <c r="P110" s="3"/>
      <c r="Q110" s="3">
        <v>5417077</v>
      </c>
      <c r="R110" s="3"/>
      <c r="S110" s="3">
        <v>6330314</v>
      </c>
      <c r="T110" s="3"/>
      <c r="U110" s="3">
        <v>258503</v>
      </c>
      <c r="V110" s="3"/>
      <c r="W110" s="3">
        <v>880115</v>
      </c>
      <c r="X110" s="3"/>
      <c r="Y110" s="3">
        <v>414767</v>
      </c>
      <c r="Z110" s="3"/>
      <c r="AA110" s="3">
        <v>177172</v>
      </c>
      <c r="AB110" s="3"/>
      <c r="AC110" s="3">
        <v>562672</v>
      </c>
      <c r="AD110" s="103" t="s">
        <v>299</v>
      </c>
      <c r="AF110" s="103" t="s">
        <v>160</v>
      </c>
      <c r="AH110" s="3">
        <v>0</v>
      </c>
      <c r="AI110" s="3"/>
      <c r="AJ110" s="3">
        <v>22051</v>
      </c>
      <c r="AK110" s="3"/>
      <c r="AL110" s="3"/>
      <c r="AM110" s="3"/>
      <c r="AN110" s="3">
        <v>0</v>
      </c>
      <c r="AO110" s="3"/>
      <c r="AP110" s="3">
        <v>12365</v>
      </c>
      <c r="AQ110" s="3"/>
      <c r="AR110" s="3">
        <v>15616</v>
      </c>
      <c r="AS110" s="3"/>
      <c r="AT110" s="3">
        <v>0</v>
      </c>
      <c r="AU110" s="3"/>
      <c r="AV110" s="3"/>
      <c r="AW110" s="3"/>
      <c r="AX110" s="3">
        <v>0</v>
      </c>
      <c r="AY110" s="3"/>
      <c r="AZ110" s="3">
        <v>0</v>
      </c>
      <c r="BA110" s="3"/>
      <c r="BB110" s="3">
        <f t="shared" si="7"/>
        <v>19590062</v>
      </c>
      <c r="BC110" s="3"/>
      <c r="BD110" s="3">
        <v>0</v>
      </c>
      <c r="BE110" s="3"/>
      <c r="BF110" s="3"/>
      <c r="BG110" s="3"/>
      <c r="BH110" s="3"/>
      <c r="BI110" s="3"/>
      <c r="BJ110" s="3">
        <v>0</v>
      </c>
      <c r="BK110" s="103" t="s">
        <v>299</v>
      </c>
      <c r="BM110" s="103" t="s">
        <v>160</v>
      </c>
      <c r="BN110" s="3"/>
      <c r="BO110" s="3">
        <f t="shared" si="8"/>
        <v>19590062</v>
      </c>
      <c r="BP110" s="3"/>
      <c r="BQ110" s="3">
        <f>GenRev!AW110-BO110</f>
        <v>683873</v>
      </c>
      <c r="BR110" s="3"/>
      <c r="BS110" s="3">
        <v>5278922</v>
      </c>
      <c r="BT110" s="3"/>
      <c r="BU110" s="3">
        <v>0</v>
      </c>
      <c r="BV110" s="3"/>
      <c r="BW110" s="3">
        <f t="shared" si="6"/>
        <v>5962795</v>
      </c>
      <c r="BX110" s="3"/>
      <c r="BY110" s="16">
        <f>+BW110-GenBS!AE110</f>
        <v>0</v>
      </c>
    </row>
    <row r="111" spans="1:77" s="103" customFormat="1">
      <c r="A111" s="3" t="s">
        <v>163</v>
      </c>
      <c r="C111" s="3" t="s">
        <v>321</v>
      </c>
      <c r="E111" s="103">
        <v>124297</v>
      </c>
      <c r="G111" s="3">
        <v>155454</v>
      </c>
      <c r="H111" s="3"/>
      <c r="I111" s="3">
        <v>6519588</v>
      </c>
      <c r="J111" s="3"/>
      <c r="K111" s="3">
        <v>0</v>
      </c>
      <c r="L111" s="3"/>
      <c r="M111" s="3">
        <v>0</v>
      </c>
      <c r="N111" s="3"/>
      <c r="O111" s="3">
        <v>0</v>
      </c>
      <c r="P111" s="3"/>
      <c r="Q111" s="3">
        <v>4397925</v>
      </c>
      <c r="R111" s="3"/>
      <c r="S111" s="3">
        <v>5756125</v>
      </c>
      <c r="T111" s="3"/>
      <c r="U111" s="3">
        <v>109158</v>
      </c>
      <c r="V111" s="3"/>
      <c r="W111" s="3">
        <v>713146</v>
      </c>
      <c r="X111" s="3"/>
      <c r="Y111" s="3">
        <v>371619</v>
      </c>
      <c r="Z111" s="3"/>
      <c r="AA111" s="3">
        <v>55533</v>
      </c>
      <c r="AB111" s="3"/>
      <c r="AC111" s="3">
        <v>348480</v>
      </c>
      <c r="AD111" s="3" t="s">
        <v>163</v>
      </c>
      <c r="AF111" s="3" t="s">
        <v>321</v>
      </c>
      <c r="AG111" s="3"/>
      <c r="AH111" s="3">
        <v>73437</v>
      </c>
      <c r="AI111" s="3"/>
      <c r="AJ111" s="3">
        <v>89054</v>
      </c>
      <c r="AK111" s="3"/>
      <c r="AL111" s="3"/>
      <c r="AM111" s="3"/>
      <c r="AN111" s="3">
        <v>0</v>
      </c>
      <c r="AO111" s="3"/>
      <c r="AP111" s="3">
        <v>0</v>
      </c>
      <c r="AQ111" s="3"/>
      <c r="AR111" s="3">
        <v>0</v>
      </c>
      <c r="AS111" s="3"/>
      <c r="AT111" s="3">
        <v>0</v>
      </c>
      <c r="AU111" s="3"/>
      <c r="AV111" s="3"/>
      <c r="AW111" s="3"/>
      <c r="AX111" s="3">
        <v>0</v>
      </c>
      <c r="AY111" s="3"/>
      <c r="AZ111" s="3">
        <v>0</v>
      </c>
      <c r="BA111" s="3"/>
      <c r="BB111" s="3">
        <f t="shared" si="7"/>
        <v>18589519</v>
      </c>
      <c r="BC111" s="3"/>
      <c r="BD111" s="3">
        <v>0</v>
      </c>
      <c r="BE111" s="3"/>
      <c r="BF111" s="3"/>
      <c r="BG111" s="3"/>
      <c r="BH111" s="3"/>
      <c r="BI111" s="3"/>
      <c r="BJ111" s="3">
        <v>0</v>
      </c>
      <c r="BK111" s="3" t="s">
        <v>163</v>
      </c>
      <c r="BM111" s="3" t="s">
        <v>321</v>
      </c>
      <c r="BN111" s="3"/>
      <c r="BO111" s="3">
        <f t="shared" si="8"/>
        <v>18589519</v>
      </c>
      <c r="BP111" s="3"/>
      <c r="BQ111" s="3">
        <f>GenRev!AW111-BO111</f>
        <v>210519</v>
      </c>
      <c r="BR111" s="3"/>
      <c r="BS111" s="3">
        <v>1218801</v>
      </c>
      <c r="BT111" s="3"/>
      <c r="BU111" s="3">
        <v>0</v>
      </c>
      <c r="BV111" s="3"/>
      <c r="BW111" s="3">
        <f t="shared" si="6"/>
        <v>1429320</v>
      </c>
      <c r="BX111" s="3"/>
      <c r="BY111" s="16">
        <f>+BW111-GenBS!AE111</f>
        <v>0</v>
      </c>
    </row>
    <row r="112" spans="1:77" s="103" customFormat="1">
      <c r="A112" s="3" t="s">
        <v>308</v>
      </c>
      <c r="C112" s="3" t="s">
        <v>259</v>
      </c>
      <c r="E112" s="103">
        <v>123281</v>
      </c>
      <c r="G112" s="3">
        <v>180811</v>
      </c>
      <c r="H112" s="3"/>
      <c r="I112" s="3">
        <v>2378638</v>
      </c>
      <c r="J112" s="3"/>
      <c r="K112" s="3">
        <v>0</v>
      </c>
      <c r="L112" s="3"/>
      <c r="M112" s="3">
        <v>44600</v>
      </c>
      <c r="N112" s="3"/>
      <c r="O112" s="3">
        <v>0</v>
      </c>
      <c r="P112" s="3"/>
      <c r="Q112" s="3">
        <v>1774185</v>
      </c>
      <c r="R112" s="3"/>
      <c r="S112" s="3">
        <v>2340620</v>
      </c>
      <c r="T112" s="3"/>
      <c r="U112" s="3">
        <v>34089</v>
      </c>
      <c r="V112" s="3"/>
      <c r="W112" s="3">
        <v>720284</v>
      </c>
      <c r="X112" s="3"/>
      <c r="Y112" s="3">
        <v>285054</v>
      </c>
      <c r="Z112" s="3"/>
      <c r="AA112" s="3">
        <v>0</v>
      </c>
      <c r="AB112" s="3"/>
      <c r="AC112" s="3">
        <v>76828</v>
      </c>
      <c r="AD112" s="3" t="s">
        <v>308</v>
      </c>
      <c r="AF112" s="3" t="s">
        <v>259</v>
      </c>
      <c r="AH112" s="3">
        <v>13112</v>
      </c>
      <c r="AI112" s="3"/>
      <c r="AJ112" s="3">
        <v>48841</v>
      </c>
      <c r="AK112" s="3"/>
      <c r="AL112" s="3"/>
      <c r="AM112" s="3"/>
      <c r="AN112" s="3">
        <v>0</v>
      </c>
      <c r="AO112" s="3"/>
      <c r="AP112" s="3">
        <v>2614</v>
      </c>
      <c r="AQ112" s="3"/>
      <c r="AR112" s="3">
        <v>51649</v>
      </c>
      <c r="AS112" s="3"/>
      <c r="AT112" s="3">
        <v>104</v>
      </c>
      <c r="AU112" s="3"/>
      <c r="AV112" s="3"/>
      <c r="AW112" s="3"/>
      <c r="AX112" s="3">
        <v>7527</v>
      </c>
      <c r="AY112" s="3"/>
      <c r="AZ112" s="3">
        <v>564</v>
      </c>
      <c r="BA112" s="3"/>
      <c r="BB112" s="3">
        <f t="shared" si="7"/>
        <v>7959520</v>
      </c>
      <c r="BC112" s="3"/>
      <c r="BD112" s="3">
        <v>28000</v>
      </c>
      <c r="BE112" s="3"/>
      <c r="BF112" s="3"/>
      <c r="BG112" s="3"/>
      <c r="BH112" s="3"/>
      <c r="BI112" s="3"/>
      <c r="BJ112" s="3">
        <v>0</v>
      </c>
      <c r="BK112" s="3" t="s">
        <v>308</v>
      </c>
      <c r="BM112" s="3" t="s">
        <v>259</v>
      </c>
      <c r="BN112" s="3"/>
      <c r="BO112" s="3">
        <f t="shared" si="8"/>
        <v>7987520</v>
      </c>
      <c r="BP112" s="3"/>
      <c r="BQ112" s="3">
        <f>GenRev!AW112-BO112</f>
        <v>358388</v>
      </c>
      <c r="BR112" s="3"/>
      <c r="BS112" s="3">
        <v>1265956</v>
      </c>
      <c r="BT112" s="3"/>
      <c r="BU112" s="3">
        <v>0</v>
      </c>
      <c r="BV112" s="3"/>
      <c r="BW112" s="3">
        <f t="shared" si="6"/>
        <v>1624344</v>
      </c>
      <c r="BX112" s="3"/>
      <c r="BY112" s="16">
        <f>+BW112-GenBS!AE112</f>
        <v>0</v>
      </c>
    </row>
    <row r="113" spans="1:77" s="89" customFormat="1" hidden="1">
      <c r="A113" s="88" t="s">
        <v>355</v>
      </c>
      <c r="C113" s="89" t="s">
        <v>184</v>
      </c>
      <c r="E113" s="89">
        <v>125674</v>
      </c>
      <c r="G113" s="88">
        <v>0</v>
      </c>
      <c r="H113" s="88"/>
      <c r="I113" s="88">
        <v>0</v>
      </c>
      <c r="J113" s="88"/>
      <c r="K113" s="88">
        <v>0</v>
      </c>
      <c r="L113" s="88"/>
      <c r="M113" s="88">
        <v>0</v>
      </c>
      <c r="N113" s="88"/>
      <c r="O113" s="88">
        <v>0</v>
      </c>
      <c r="P113" s="88"/>
      <c r="Q113" s="88">
        <v>0</v>
      </c>
      <c r="R113" s="88"/>
      <c r="S113" s="88">
        <v>0</v>
      </c>
      <c r="T113" s="88"/>
      <c r="U113" s="88">
        <v>0</v>
      </c>
      <c r="V113" s="88"/>
      <c r="W113" s="88">
        <v>0</v>
      </c>
      <c r="X113" s="88"/>
      <c r="Y113" s="88">
        <v>0</v>
      </c>
      <c r="Z113" s="88"/>
      <c r="AA113" s="88">
        <v>0</v>
      </c>
      <c r="AB113" s="88"/>
      <c r="AC113" s="88">
        <v>0</v>
      </c>
      <c r="AD113" s="88" t="s">
        <v>355</v>
      </c>
      <c r="AF113" s="89" t="s">
        <v>184</v>
      </c>
      <c r="AH113" s="88">
        <v>0</v>
      </c>
      <c r="AI113" s="88"/>
      <c r="AJ113" s="88">
        <v>0</v>
      </c>
      <c r="AK113" s="88"/>
      <c r="AL113" s="88"/>
      <c r="AM113" s="88"/>
      <c r="AN113" s="88">
        <v>0</v>
      </c>
      <c r="AO113" s="88"/>
      <c r="AP113" s="88">
        <v>0</v>
      </c>
      <c r="AQ113" s="88"/>
      <c r="AR113" s="88">
        <v>0</v>
      </c>
      <c r="AS113" s="88"/>
      <c r="AT113" s="88">
        <v>0</v>
      </c>
      <c r="AU113" s="88"/>
      <c r="AV113" s="88"/>
      <c r="AW113" s="88"/>
      <c r="AX113" s="88">
        <v>0</v>
      </c>
      <c r="AY113" s="88"/>
      <c r="AZ113" s="88">
        <v>0</v>
      </c>
      <c r="BA113" s="88"/>
      <c r="BB113" s="88">
        <f t="shared" si="7"/>
        <v>0</v>
      </c>
      <c r="BC113" s="88"/>
      <c r="BD113" s="88">
        <v>0</v>
      </c>
      <c r="BE113" s="88"/>
      <c r="BF113" s="88"/>
      <c r="BG113" s="88"/>
      <c r="BH113" s="88"/>
      <c r="BI113" s="88"/>
      <c r="BJ113" s="88">
        <v>0</v>
      </c>
      <c r="BK113" s="88" t="s">
        <v>355</v>
      </c>
      <c r="BM113" s="89" t="s">
        <v>184</v>
      </c>
      <c r="BN113" s="88"/>
      <c r="BO113" s="88">
        <f t="shared" si="8"/>
        <v>0</v>
      </c>
      <c r="BP113" s="88"/>
      <c r="BQ113" s="88">
        <f>GenRev!AW113-BO113</f>
        <v>0</v>
      </c>
      <c r="BR113" s="88"/>
      <c r="BS113" s="88">
        <v>0</v>
      </c>
      <c r="BT113" s="88"/>
      <c r="BU113" s="88">
        <v>0</v>
      </c>
      <c r="BV113" s="88"/>
      <c r="BW113" s="88">
        <f t="shared" si="6"/>
        <v>0</v>
      </c>
      <c r="BX113" s="88"/>
      <c r="BY113" s="90">
        <f>+BW113-GenBS!AE113</f>
        <v>0</v>
      </c>
    </row>
    <row r="114" spans="1:77" s="103" customFormat="1">
      <c r="A114" s="3" t="s">
        <v>332</v>
      </c>
      <c r="C114" s="103" t="s">
        <v>185</v>
      </c>
      <c r="E114" s="103">
        <v>49072</v>
      </c>
      <c r="G114" s="3">
        <v>29358</v>
      </c>
      <c r="H114" s="3"/>
      <c r="I114" s="3">
        <v>388487</v>
      </c>
      <c r="J114" s="3"/>
      <c r="K114" s="3">
        <v>0</v>
      </c>
      <c r="L114" s="3"/>
      <c r="M114" s="3">
        <v>0</v>
      </c>
      <c r="N114" s="3"/>
      <c r="O114" s="3">
        <v>1076</v>
      </c>
      <c r="P114" s="3"/>
      <c r="Q114" s="3">
        <v>1727866</v>
      </c>
      <c r="R114" s="3"/>
      <c r="S114" s="3">
        <v>570008</v>
      </c>
      <c r="T114" s="3"/>
      <c r="U114" s="3">
        <v>43579</v>
      </c>
      <c r="V114" s="3"/>
      <c r="W114" s="3">
        <v>410240</v>
      </c>
      <c r="X114" s="3"/>
      <c r="Y114" s="3">
        <v>133845</v>
      </c>
      <c r="Z114" s="3"/>
      <c r="AA114" s="3">
        <v>22468</v>
      </c>
      <c r="AB114" s="3"/>
      <c r="AC114" s="3">
        <v>100998</v>
      </c>
      <c r="AD114" s="3" t="s">
        <v>332</v>
      </c>
      <c r="AF114" s="103" t="s">
        <v>185</v>
      </c>
      <c r="AH114" s="3">
        <v>37464</v>
      </c>
      <c r="AI114" s="3"/>
      <c r="AJ114" s="3">
        <v>7754</v>
      </c>
      <c r="AK114" s="3"/>
      <c r="AL114" s="3"/>
      <c r="AM114" s="3"/>
      <c r="AN114" s="3">
        <v>0</v>
      </c>
      <c r="AO114" s="3"/>
      <c r="AP114" s="3">
        <v>567</v>
      </c>
      <c r="AQ114" s="3"/>
      <c r="AR114" s="3">
        <v>0</v>
      </c>
      <c r="AS114" s="3"/>
      <c r="AT114" s="3">
        <v>3003</v>
      </c>
      <c r="AU114" s="3"/>
      <c r="AV114" s="3"/>
      <c r="AW114" s="3"/>
      <c r="AX114" s="3">
        <v>0</v>
      </c>
      <c r="AY114" s="3"/>
      <c r="AZ114" s="3">
        <v>0</v>
      </c>
      <c r="BA114" s="3"/>
      <c r="BB114" s="3">
        <f t="shared" si="7"/>
        <v>3476713</v>
      </c>
      <c r="BC114" s="3"/>
      <c r="BD114" s="3">
        <v>0</v>
      </c>
      <c r="BE114" s="3"/>
      <c r="BF114" s="3"/>
      <c r="BG114" s="3"/>
      <c r="BH114" s="3"/>
      <c r="BI114" s="3"/>
      <c r="BJ114" s="3">
        <v>0</v>
      </c>
      <c r="BK114" s="3" t="s">
        <v>332</v>
      </c>
      <c r="BM114" s="103" t="s">
        <v>185</v>
      </c>
      <c r="BN114" s="3"/>
      <c r="BO114" s="3">
        <f t="shared" si="8"/>
        <v>3476713</v>
      </c>
      <c r="BP114" s="3"/>
      <c r="BQ114" s="3">
        <f>GenRev!AW114-BO114</f>
        <v>-25922</v>
      </c>
      <c r="BR114" s="3"/>
      <c r="BS114" s="3">
        <v>465593</v>
      </c>
      <c r="BT114" s="3"/>
      <c r="BU114" s="3">
        <v>0</v>
      </c>
      <c r="BV114" s="3"/>
      <c r="BW114" s="3">
        <f t="shared" si="6"/>
        <v>439671</v>
      </c>
      <c r="BX114" s="3"/>
      <c r="BY114" s="16">
        <f>+BW114-GenBS!AE114</f>
        <v>0</v>
      </c>
    </row>
    <row r="115" spans="1:77" s="103" customFormat="1">
      <c r="A115" s="3" t="s">
        <v>323</v>
      </c>
      <c r="C115" s="103" t="s">
        <v>186</v>
      </c>
      <c r="E115" s="103">
        <v>49163</v>
      </c>
      <c r="G115" s="3">
        <v>170150</v>
      </c>
      <c r="H115" s="3"/>
      <c r="I115" s="3">
        <v>1939083</v>
      </c>
      <c r="J115" s="3"/>
      <c r="K115" s="3">
        <v>0</v>
      </c>
      <c r="L115" s="3"/>
      <c r="M115" s="3">
        <v>0</v>
      </c>
      <c r="N115" s="3"/>
      <c r="O115" s="3">
        <v>21513</v>
      </c>
      <c r="P115" s="3"/>
      <c r="Q115" s="3">
        <v>1617181</v>
      </c>
      <c r="R115" s="3"/>
      <c r="S115" s="3">
        <v>2036662</v>
      </c>
      <c r="T115" s="3"/>
      <c r="U115" s="3">
        <v>257714</v>
      </c>
      <c r="V115" s="3"/>
      <c r="W115" s="3">
        <v>664397</v>
      </c>
      <c r="X115" s="3"/>
      <c r="Y115" s="3">
        <v>331187</v>
      </c>
      <c r="Z115" s="3"/>
      <c r="AA115" s="3">
        <v>101399</v>
      </c>
      <c r="AB115" s="3"/>
      <c r="AC115" s="3">
        <v>43326</v>
      </c>
      <c r="AD115" s="3" t="s">
        <v>323</v>
      </c>
      <c r="AF115" s="103" t="s">
        <v>186</v>
      </c>
      <c r="AH115" s="3">
        <v>13301</v>
      </c>
      <c r="AI115" s="3"/>
      <c r="AJ115" s="3">
        <v>0</v>
      </c>
      <c r="AK115" s="3"/>
      <c r="AL115" s="3"/>
      <c r="AM115" s="3"/>
      <c r="AN115" s="3">
        <v>0</v>
      </c>
      <c r="AO115" s="3"/>
      <c r="AP115" s="3">
        <v>0</v>
      </c>
      <c r="AQ115" s="3"/>
      <c r="AR115" s="3">
        <v>7953</v>
      </c>
      <c r="AS115" s="3"/>
      <c r="AT115" s="3">
        <v>0</v>
      </c>
      <c r="AU115" s="3"/>
      <c r="AV115" s="3"/>
      <c r="AW115" s="3"/>
      <c r="AX115" s="3">
        <v>7165</v>
      </c>
      <c r="AY115" s="3"/>
      <c r="AZ115" s="3">
        <v>1523</v>
      </c>
      <c r="BA115" s="3"/>
      <c r="BB115" s="3">
        <f t="shared" si="7"/>
        <v>7212554</v>
      </c>
      <c r="BC115" s="3"/>
      <c r="BD115" s="3">
        <v>0</v>
      </c>
      <c r="BE115" s="3"/>
      <c r="BF115" s="3"/>
      <c r="BG115" s="3"/>
      <c r="BH115" s="3"/>
      <c r="BI115" s="3"/>
      <c r="BJ115" s="3">
        <v>0</v>
      </c>
      <c r="BK115" s="3" t="s">
        <v>323</v>
      </c>
      <c r="BM115" s="103" t="s">
        <v>186</v>
      </c>
      <c r="BN115" s="3"/>
      <c r="BO115" s="3">
        <f t="shared" si="8"/>
        <v>7212554</v>
      </c>
      <c r="BP115" s="3"/>
      <c r="BQ115" s="3">
        <f>GenRev!AW115-BO115</f>
        <v>-194150</v>
      </c>
      <c r="BR115" s="3"/>
      <c r="BS115" s="3">
        <v>289967</v>
      </c>
      <c r="BT115" s="3"/>
      <c r="BU115" s="3">
        <v>0</v>
      </c>
      <c r="BV115" s="3"/>
      <c r="BW115" s="3">
        <f t="shared" si="6"/>
        <v>95817</v>
      </c>
      <c r="BX115" s="3"/>
      <c r="BY115" s="16">
        <f>+BW115-GenBS!AE115</f>
        <v>0</v>
      </c>
    </row>
    <row r="116" spans="1:77" s="59" customFormat="1" hidden="1">
      <c r="A116" s="59" t="s">
        <v>324</v>
      </c>
      <c r="C116" s="59" t="s">
        <v>187</v>
      </c>
      <c r="E116" s="59">
        <v>49254</v>
      </c>
      <c r="G116" s="58">
        <v>0</v>
      </c>
      <c r="H116" s="58"/>
      <c r="I116" s="58">
        <v>0</v>
      </c>
      <c r="J116" s="58"/>
      <c r="K116" s="58">
        <v>0</v>
      </c>
      <c r="L116" s="58"/>
      <c r="M116" s="58">
        <v>0</v>
      </c>
      <c r="N116" s="58"/>
      <c r="O116" s="58">
        <v>0</v>
      </c>
      <c r="P116" s="58"/>
      <c r="Q116" s="58">
        <v>0</v>
      </c>
      <c r="R116" s="58"/>
      <c r="S116" s="58">
        <v>0</v>
      </c>
      <c r="T116" s="58"/>
      <c r="U116" s="58">
        <v>0</v>
      </c>
      <c r="V116" s="58"/>
      <c r="W116" s="58">
        <v>0</v>
      </c>
      <c r="X116" s="58"/>
      <c r="Y116" s="58">
        <v>0</v>
      </c>
      <c r="Z116" s="58"/>
      <c r="AA116" s="58">
        <v>0</v>
      </c>
      <c r="AB116" s="58"/>
      <c r="AC116" s="58">
        <v>0</v>
      </c>
      <c r="AD116" s="59" t="s">
        <v>324</v>
      </c>
      <c r="AF116" s="59" t="s">
        <v>187</v>
      </c>
      <c r="AH116" s="58">
        <v>0</v>
      </c>
      <c r="AI116" s="58"/>
      <c r="AJ116" s="58">
        <v>0</v>
      </c>
      <c r="AK116" s="58"/>
      <c r="AL116" s="58"/>
      <c r="AM116" s="58"/>
      <c r="AN116" s="58">
        <v>0</v>
      </c>
      <c r="AO116" s="58"/>
      <c r="AP116" s="58">
        <v>0</v>
      </c>
      <c r="AQ116" s="58"/>
      <c r="AR116" s="58">
        <v>0</v>
      </c>
      <c r="AS116" s="58"/>
      <c r="AT116" s="58">
        <v>0</v>
      </c>
      <c r="AU116" s="58"/>
      <c r="AV116" s="58"/>
      <c r="AW116" s="58"/>
      <c r="AX116" s="58">
        <v>0</v>
      </c>
      <c r="AY116" s="58"/>
      <c r="AZ116" s="58">
        <v>0</v>
      </c>
      <c r="BA116" s="58"/>
      <c r="BB116" s="58">
        <f t="shared" si="7"/>
        <v>0</v>
      </c>
      <c r="BC116" s="58"/>
      <c r="BD116" s="58">
        <v>0</v>
      </c>
      <c r="BE116" s="58"/>
      <c r="BF116" s="58"/>
      <c r="BG116" s="58"/>
      <c r="BH116" s="58"/>
      <c r="BI116" s="58"/>
      <c r="BJ116" s="58">
        <v>0</v>
      </c>
      <c r="BK116" s="59" t="s">
        <v>324</v>
      </c>
      <c r="BM116" s="59" t="s">
        <v>187</v>
      </c>
      <c r="BN116" s="58"/>
      <c r="BO116" s="58">
        <f t="shared" si="8"/>
        <v>0</v>
      </c>
      <c r="BP116" s="58"/>
      <c r="BQ116" s="58">
        <f>GenRev!AW116-BO116</f>
        <v>0</v>
      </c>
      <c r="BR116" s="58"/>
      <c r="BS116" s="58">
        <v>0</v>
      </c>
      <c r="BT116" s="58"/>
      <c r="BU116" s="58"/>
      <c r="BV116" s="58"/>
      <c r="BW116" s="58">
        <f t="shared" si="6"/>
        <v>0</v>
      </c>
      <c r="BX116" s="58"/>
      <c r="BY116" s="60">
        <f>+BW116-GenBS!AE116</f>
        <v>0</v>
      </c>
    </row>
    <row r="117" spans="1:77" s="103" customFormat="1">
      <c r="A117" s="3" t="s">
        <v>325</v>
      </c>
      <c r="C117" s="103" t="s">
        <v>188</v>
      </c>
      <c r="E117" s="103">
        <v>49304</v>
      </c>
      <c r="G117" s="3">
        <v>35369</v>
      </c>
      <c r="H117" s="3"/>
      <c r="I117" s="3">
        <v>807776</v>
      </c>
      <c r="J117" s="3"/>
      <c r="K117" s="3">
        <v>0</v>
      </c>
      <c r="L117" s="3"/>
      <c r="M117" s="3">
        <v>0</v>
      </c>
      <c r="N117" s="3"/>
      <c r="O117" s="3">
        <v>117</v>
      </c>
      <c r="P117" s="3"/>
      <c r="Q117" s="3">
        <v>528686</v>
      </c>
      <c r="R117" s="3"/>
      <c r="S117" s="3">
        <v>963497</v>
      </c>
      <c r="T117" s="3"/>
      <c r="U117" s="3">
        <v>25926</v>
      </c>
      <c r="V117" s="3"/>
      <c r="W117" s="3">
        <v>205031</v>
      </c>
      <c r="X117" s="3"/>
      <c r="Y117" s="3">
        <v>272430</v>
      </c>
      <c r="Z117" s="3"/>
      <c r="AA117" s="3">
        <v>0</v>
      </c>
      <c r="AB117" s="3"/>
      <c r="AC117" s="3">
        <v>91421</v>
      </c>
      <c r="AD117" s="3" t="s">
        <v>325</v>
      </c>
      <c r="AF117" s="103" t="s">
        <v>188</v>
      </c>
      <c r="AH117" s="3">
        <v>10705</v>
      </c>
      <c r="AI117" s="3"/>
      <c r="AJ117" s="3">
        <v>3020</v>
      </c>
      <c r="AK117" s="3"/>
      <c r="AL117" s="3"/>
      <c r="AM117" s="3"/>
      <c r="AN117" s="3">
        <v>0</v>
      </c>
      <c r="AO117" s="3"/>
      <c r="AP117" s="3">
        <v>0</v>
      </c>
      <c r="AQ117" s="3"/>
      <c r="AR117" s="3">
        <v>0</v>
      </c>
      <c r="AS117" s="3"/>
      <c r="AT117" s="3">
        <v>0</v>
      </c>
      <c r="AU117" s="3"/>
      <c r="AV117" s="3"/>
      <c r="AW117" s="3"/>
      <c r="AX117" s="3">
        <v>33086</v>
      </c>
      <c r="AY117" s="3"/>
      <c r="AZ117" s="3">
        <v>25427</v>
      </c>
      <c r="BA117" s="3"/>
      <c r="BB117" s="3">
        <f t="shared" si="7"/>
        <v>3002491</v>
      </c>
      <c r="BC117" s="3"/>
      <c r="BD117" s="3">
        <v>0</v>
      </c>
      <c r="BE117" s="3"/>
      <c r="BF117" s="3"/>
      <c r="BG117" s="3"/>
      <c r="BH117" s="3"/>
      <c r="BI117" s="3"/>
      <c r="BJ117" s="3">
        <v>0</v>
      </c>
      <c r="BK117" s="3" t="s">
        <v>325</v>
      </c>
      <c r="BM117" s="103" t="s">
        <v>188</v>
      </c>
      <c r="BN117" s="3"/>
      <c r="BO117" s="3">
        <f t="shared" si="8"/>
        <v>3002491</v>
      </c>
      <c r="BP117" s="3"/>
      <c r="BQ117" s="3">
        <f>GenRev!AW117-BO117</f>
        <v>-95351</v>
      </c>
      <c r="BR117" s="3"/>
      <c r="BS117" s="3">
        <v>924840</v>
      </c>
      <c r="BT117" s="3"/>
      <c r="BU117" s="3">
        <v>0</v>
      </c>
      <c r="BV117" s="3"/>
      <c r="BW117" s="3">
        <f t="shared" si="6"/>
        <v>829489</v>
      </c>
      <c r="BX117" s="3"/>
      <c r="BY117" s="16">
        <f>+BW117-GenBS!AE117</f>
        <v>0</v>
      </c>
    </row>
    <row r="118" spans="1:77" s="103" customFormat="1">
      <c r="A118" s="3" t="s">
        <v>326</v>
      </c>
      <c r="C118" s="103" t="s">
        <v>190</v>
      </c>
      <c r="E118" s="103">
        <v>138222</v>
      </c>
      <c r="G118" s="3">
        <v>44747</v>
      </c>
      <c r="H118" s="3"/>
      <c r="I118" s="3">
        <v>3222279</v>
      </c>
      <c r="J118" s="3"/>
      <c r="K118" s="3">
        <v>0</v>
      </c>
      <c r="L118" s="3"/>
      <c r="M118" s="3">
        <v>0</v>
      </c>
      <c r="N118" s="3"/>
      <c r="O118" s="3">
        <v>3392</v>
      </c>
      <c r="P118" s="3"/>
      <c r="Q118" s="3">
        <v>1440574</v>
      </c>
      <c r="R118" s="3"/>
      <c r="S118" s="3">
        <v>779359</v>
      </c>
      <c r="T118" s="3"/>
      <c r="U118" s="3">
        <v>64226</v>
      </c>
      <c r="V118" s="3"/>
      <c r="W118" s="3">
        <v>732058</v>
      </c>
      <c r="X118" s="3"/>
      <c r="Y118" s="3">
        <v>202583</v>
      </c>
      <c r="Z118" s="3"/>
      <c r="AA118" s="3">
        <v>0</v>
      </c>
      <c r="AB118" s="3"/>
      <c r="AC118" s="3">
        <v>111792</v>
      </c>
      <c r="AD118" s="3" t="s">
        <v>326</v>
      </c>
      <c r="AF118" s="103" t="s">
        <v>190</v>
      </c>
      <c r="AH118" s="3">
        <v>0</v>
      </c>
      <c r="AI118" s="3"/>
      <c r="AJ118" s="3">
        <v>75113</v>
      </c>
      <c r="AK118" s="3"/>
      <c r="AL118" s="3"/>
      <c r="AM118" s="3"/>
      <c r="AN118" s="3">
        <v>0</v>
      </c>
      <c r="AO118" s="3"/>
      <c r="AP118" s="3">
        <v>0</v>
      </c>
      <c r="AQ118" s="3"/>
      <c r="AR118" s="3">
        <v>0</v>
      </c>
      <c r="AS118" s="3"/>
      <c r="AT118" s="3">
        <v>0</v>
      </c>
      <c r="AU118" s="3"/>
      <c r="AV118" s="3"/>
      <c r="AW118" s="3"/>
      <c r="AX118" s="3">
        <v>0</v>
      </c>
      <c r="AY118" s="3"/>
      <c r="AZ118" s="3">
        <v>0</v>
      </c>
      <c r="BA118" s="3"/>
      <c r="BB118" s="3">
        <f t="shared" si="7"/>
        <v>6676123</v>
      </c>
      <c r="BC118" s="3"/>
      <c r="BD118" s="3">
        <v>0</v>
      </c>
      <c r="BE118" s="3"/>
      <c r="BF118" s="3"/>
      <c r="BG118" s="3"/>
      <c r="BH118" s="3"/>
      <c r="BI118" s="3"/>
      <c r="BJ118" s="3">
        <v>0</v>
      </c>
      <c r="BK118" s="3" t="s">
        <v>326</v>
      </c>
      <c r="BM118" s="103" t="s">
        <v>190</v>
      </c>
      <c r="BN118" s="3"/>
      <c r="BO118" s="3">
        <f t="shared" si="8"/>
        <v>6676123</v>
      </c>
      <c r="BP118" s="3"/>
      <c r="BQ118" s="3">
        <f>GenRev!AW118-BO118</f>
        <v>10567</v>
      </c>
      <c r="BR118" s="3"/>
      <c r="BS118" s="3">
        <v>2833116</v>
      </c>
      <c r="BT118" s="3"/>
      <c r="BU118" s="3">
        <v>0</v>
      </c>
      <c r="BV118" s="3"/>
      <c r="BW118" s="3">
        <f t="shared" si="6"/>
        <v>2843683</v>
      </c>
      <c r="BX118" s="3"/>
      <c r="BY118" s="16">
        <f>+BW118-GenBS!AE118</f>
        <v>0</v>
      </c>
    </row>
    <row r="119" spans="1:77" s="89" customFormat="1" ht="11.25" hidden="1" customHeight="1">
      <c r="A119" s="88" t="s">
        <v>300</v>
      </c>
      <c r="C119" s="89" t="s">
        <v>191</v>
      </c>
      <c r="E119" s="89">
        <v>49551</v>
      </c>
      <c r="G119" s="88">
        <v>0</v>
      </c>
      <c r="H119" s="88"/>
      <c r="I119" s="88">
        <v>0</v>
      </c>
      <c r="J119" s="88"/>
      <c r="K119" s="88">
        <v>0</v>
      </c>
      <c r="L119" s="88"/>
      <c r="M119" s="88">
        <v>0</v>
      </c>
      <c r="N119" s="88"/>
      <c r="O119" s="88">
        <v>0</v>
      </c>
      <c r="P119" s="88"/>
      <c r="Q119" s="88">
        <v>0</v>
      </c>
      <c r="R119" s="88"/>
      <c r="S119" s="88">
        <v>0</v>
      </c>
      <c r="T119" s="88"/>
      <c r="U119" s="88">
        <v>0</v>
      </c>
      <c r="V119" s="88"/>
      <c r="W119" s="88">
        <v>0</v>
      </c>
      <c r="X119" s="88"/>
      <c r="Y119" s="88">
        <v>0</v>
      </c>
      <c r="Z119" s="88"/>
      <c r="AA119" s="88">
        <v>0</v>
      </c>
      <c r="AB119" s="88"/>
      <c r="AC119" s="88">
        <v>0</v>
      </c>
      <c r="AD119" s="88" t="s">
        <v>300</v>
      </c>
      <c r="AF119" s="89" t="s">
        <v>191</v>
      </c>
      <c r="AH119" s="88">
        <v>0</v>
      </c>
      <c r="AI119" s="88"/>
      <c r="AJ119" s="88">
        <v>0</v>
      </c>
      <c r="AK119" s="88"/>
      <c r="AL119" s="88"/>
      <c r="AM119" s="88"/>
      <c r="AN119" s="88">
        <v>0</v>
      </c>
      <c r="AO119" s="88"/>
      <c r="AP119" s="88">
        <v>0</v>
      </c>
      <c r="AQ119" s="88"/>
      <c r="AR119" s="88">
        <v>0</v>
      </c>
      <c r="AS119" s="88"/>
      <c r="AT119" s="88">
        <v>0</v>
      </c>
      <c r="AU119" s="88"/>
      <c r="AV119" s="88"/>
      <c r="AW119" s="88"/>
      <c r="AX119" s="88">
        <v>0</v>
      </c>
      <c r="AY119" s="88"/>
      <c r="AZ119" s="88">
        <v>0</v>
      </c>
      <c r="BA119" s="88"/>
      <c r="BB119" s="88">
        <f t="shared" si="7"/>
        <v>0</v>
      </c>
      <c r="BC119" s="88"/>
      <c r="BD119" s="88">
        <v>0</v>
      </c>
      <c r="BE119" s="88"/>
      <c r="BF119" s="88"/>
      <c r="BG119" s="88"/>
      <c r="BH119" s="88"/>
      <c r="BI119" s="88"/>
      <c r="BJ119" s="88">
        <v>0</v>
      </c>
      <c r="BK119" s="88" t="s">
        <v>300</v>
      </c>
      <c r="BM119" s="89" t="s">
        <v>191</v>
      </c>
      <c r="BN119" s="88"/>
      <c r="BO119" s="88">
        <f t="shared" si="8"/>
        <v>0</v>
      </c>
      <c r="BP119" s="88"/>
      <c r="BQ119" s="88">
        <f>GenRev!AW119-BO119</f>
        <v>0</v>
      </c>
      <c r="BR119" s="88"/>
      <c r="BS119" s="88">
        <v>0</v>
      </c>
      <c r="BT119" s="88"/>
      <c r="BU119" s="88"/>
      <c r="BV119" s="88"/>
      <c r="BW119" s="88">
        <f t="shared" si="6"/>
        <v>0</v>
      </c>
      <c r="BX119" s="88"/>
      <c r="BY119" s="90">
        <f>+BW119-GenBS!AE119</f>
        <v>0</v>
      </c>
    </row>
    <row r="120" spans="1:77" s="59" customFormat="1" hidden="1">
      <c r="A120" s="58" t="s">
        <v>384</v>
      </c>
      <c r="C120" s="59" t="s">
        <v>194</v>
      </c>
      <c r="E120" s="59">
        <v>49742</v>
      </c>
      <c r="G120" s="58">
        <v>0</v>
      </c>
      <c r="H120" s="58"/>
      <c r="I120" s="58">
        <v>0</v>
      </c>
      <c r="J120" s="58"/>
      <c r="K120" s="58">
        <v>0</v>
      </c>
      <c r="L120" s="58"/>
      <c r="M120" s="58">
        <v>0</v>
      </c>
      <c r="N120" s="58"/>
      <c r="O120" s="58">
        <v>0</v>
      </c>
      <c r="P120" s="58"/>
      <c r="Q120" s="58">
        <v>0</v>
      </c>
      <c r="R120" s="58"/>
      <c r="S120" s="58">
        <v>0</v>
      </c>
      <c r="T120" s="58"/>
      <c r="U120" s="58">
        <v>0</v>
      </c>
      <c r="V120" s="58"/>
      <c r="W120" s="58">
        <v>0</v>
      </c>
      <c r="X120" s="58"/>
      <c r="Y120" s="58">
        <v>0</v>
      </c>
      <c r="Z120" s="58"/>
      <c r="AA120" s="58">
        <v>0</v>
      </c>
      <c r="AB120" s="58"/>
      <c r="AC120" s="58">
        <v>0</v>
      </c>
      <c r="AD120" s="58" t="s">
        <v>384</v>
      </c>
      <c r="AF120" s="59" t="s">
        <v>194</v>
      </c>
      <c r="AH120" s="58">
        <v>0</v>
      </c>
      <c r="AI120" s="58"/>
      <c r="AJ120" s="58">
        <v>0</v>
      </c>
      <c r="AK120" s="58"/>
      <c r="AL120" s="58"/>
      <c r="AM120" s="58"/>
      <c r="AN120" s="58">
        <v>0</v>
      </c>
      <c r="AO120" s="58"/>
      <c r="AP120" s="58">
        <v>0</v>
      </c>
      <c r="AQ120" s="58"/>
      <c r="AR120" s="58">
        <v>0</v>
      </c>
      <c r="AS120" s="58"/>
      <c r="AT120" s="58">
        <v>0</v>
      </c>
      <c r="AU120" s="58"/>
      <c r="AV120" s="58"/>
      <c r="AW120" s="58"/>
      <c r="AX120" s="58">
        <v>0</v>
      </c>
      <c r="AY120" s="58"/>
      <c r="AZ120" s="58">
        <v>0</v>
      </c>
      <c r="BA120" s="58"/>
      <c r="BB120" s="58">
        <f t="shared" si="7"/>
        <v>0</v>
      </c>
      <c r="BC120" s="58"/>
      <c r="BD120" s="58">
        <v>0</v>
      </c>
      <c r="BE120" s="58"/>
      <c r="BF120" s="58"/>
      <c r="BG120" s="58"/>
      <c r="BH120" s="58"/>
      <c r="BI120" s="58"/>
      <c r="BJ120" s="58">
        <v>0</v>
      </c>
      <c r="BK120" s="58" t="s">
        <v>384</v>
      </c>
      <c r="BM120" s="59" t="s">
        <v>194</v>
      </c>
      <c r="BN120" s="58"/>
      <c r="BO120" s="58">
        <f t="shared" si="8"/>
        <v>0</v>
      </c>
      <c r="BP120" s="58"/>
      <c r="BQ120" s="58">
        <f>GenRev!AW120-BO120</f>
        <v>0</v>
      </c>
      <c r="BR120" s="58"/>
      <c r="BS120" s="58">
        <v>0</v>
      </c>
      <c r="BT120" s="58"/>
      <c r="BU120" s="58">
        <v>0</v>
      </c>
      <c r="BV120" s="58"/>
      <c r="BW120" s="58">
        <f t="shared" si="6"/>
        <v>0</v>
      </c>
      <c r="BX120" s="58"/>
      <c r="BY120" s="60">
        <f>+BW120-GenBS!AE120</f>
        <v>0</v>
      </c>
    </row>
    <row r="121" spans="1:77" s="103" customFormat="1">
      <c r="A121" s="3" t="s">
        <v>263</v>
      </c>
      <c r="C121" s="103" t="s">
        <v>192</v>
      </c>
      <c r="E121" s="103">
        <v>125658</v>
      </c>
      <c r="G121" s="3">
        <v>216197</v>
      </c>
      <c r="H121" s="3"/>
      <c r="I121" s="3">
        <v>4141326</v>
      </c>
      <c r="J121" s="3"/>
      <c r="K121" s="3">
        <v>0</v>
      </c>
      <c r="L121" s="3"/>
      <c r="M121" s="3">
        <v>0</v>
      </c>
      <c r="N121" s="3"/>
      <c r="O121" s="3">
        <v>0</v>
      </c>
      <c r="P121" s="3"/>
      <c r="Q121" s="3">
        <v>2132579</v>
      </c>
      <c r="R121" s="3"/>
      <c r="S121" s="3">
        <v>982870</v>
      </c>
      <c r="T121" s="3"/>
      <c r="U121" s="3">
        <v>32386</v>
      </c>
      <c r="V121" s="3"/>
      <c r="W121" s="3">
        <v>643570</v>
      </c>
      <c r="X121" s="3"/>
      <c r="Y121" s="3">
        <v>232871</v>
      </c>
      <c r="Z121" s="3"/>
      <c r="AA121" s="3">
        <v>0</v>
      </c>
      <c r="AB121" s="3"/>
      <c r="AC121" s="3">
        <v>226570</v>
      </c>
      <c r="AD121" s="3" t="s">
        <v>263</v>
      </c>
      <c r="AF121" s="103" t="s">
        <v>192</v>
      </c>
      <c r="AH121" s="3">
        <v>0</v>
      </c>
      <c r="AI121" s="3"/>
      <c r="AJ121" s="3">
        <v>162190</v>
      </c>
      <c r="AK121" s="3"/>
      <c r="AL121" s="3"/>
      <c r="AM121" s="3"/>
      <c r="AN121" s="3">
        <v>0</v>
      </c>
      <c r="AO121" s="3"/>
      <c r="AP121" s="3">
        <v>0</v>
      </c>
      <c r="AQ121" s="3"/>
      <c r="AR121" s="3">
        <v>0</v>
      </c>
      <c r="AS121" s="3"/>
      <c r="AT121" s="3">
        <v>0</v>
      </c>
      <c r="AU121" s="3"/>
      <c r="AV121" s="3"/>
      <c r="AW121" s="3"/>
      <c r="AX121" s="3">
        <v>0</v>
      </c>
      <c r="AY121" s="3"/>
      <c r="AZ121" s="3">
        <v>0</v>
      </c>
      <c r="BA121" s="3"/>
      <c r="BB121" s="3">
        <f t="shared" si="7"/>
        <v>8770559</v>
      </c>
      <c r="BC121" s="3"/>
      <c r="BD121" s="3">
        <v>0</v>
      </c>
      <c r="BE121" s="3"/>
      <c r="BF121" s="3"/>
      <c r="BG121" s="3"/>
      <c r="BH121" s="3"/>
      <c r="BI121" s="3"/>
      <c r="BJ121" s="3">
        <v>0</v>
      </c>
      <c r="BK121" s="3" t="s">
        <v>263</v>
      </c>
      <c r="BM121" s="103" t="s">
        <v>192</v>
      </c>
      <c r="BN121" s="3"/>
      <c r="BO121" s="3">
        <f t="shared" si="8"/>
        <v>8770559</v>
      </c>
      <c r="BP121" s="3"/>
      <c r="BQ121" s="3">
        <f>GenRev!AW121-BO121</f>
        <v>135239</v>
      </c>
      <c r="BR121" s="3"/>
      <c r="BS121" s="3">
        <v>1085662</v>
      </c>
      <c r="BT121" s="3"/>
      <c r="BU121" s="3">
        <v>0</v>
      </c>
      <c r="BV121" s="3"/>
      <c r="BW121" s="3">
        <f t="shared" si="6"/>
        <v>1220901</v>
      </c>
      <c r="BX121" s="3"/>
      <c r="BY121" s="16">
        <f>+BW121-GenBS!AE121</f>
        <v>0</v>
      </c>
    </row>
    <row r="122" spans="1:77" s="103" customFormat="1">
      <c r="A122" s="3" t="s">
        <v>262</v>
      </c>
      <c r="B122" s="3"/>
      <c r="C122" s="3" t="s">
        <v>155</v>
      </c>
      <c r="E122" s="103">
        <v>46375</v>
      </c>
      <c r="G122" s="3">
        <v>171425</v>
      </c>
      <c r="H122" s="3"/>
      <c r="I122" s="3">
        <v>596415</v>
      </c>
      <c r="J122" s="3"/>
      <c r="K122" s="3">
        <v>0</v>
      </c>
      <c r="L122" s="3"/>
      <c r="M122" s="3">
        <v>0</v>
      </c>
      <c r="N122" s="3"/>
      <c r="O122" s="3">
        <v>0</v>
      </c>
      <c r="P122" s="3"/>
      <c r="Q122" s="3">
        <v>826641</v>
      </c>
      <c r="R122" s="3"/>
      <c r="S122" s="3">
        <v>1190250</v>
      </c>
      <c r="T122" s="3"/>
      <c r="U122" s="3">
        <v>0</v>
      </c>
      <c r="V122" s="3"/>
      <c r="W122" s="3">
        <f>45755+495516</f>
        <v>541271</v>
      </c>
      <c r="X122" s="3"/>
      <c r="Y122" s="3">
        <v>257154</v>
      </c>
      <c r="Z122" s="3"/>
      <c r="AA122" s="3">
        <v>0</v>
      </c>
      <c r="AB122" s="3"/>
      <c r="AC122" s="3">
        <v>66111</v>
      </c>
      <c r="AD122" s="3" t="s">
        <v>262</v>
      </c>
      <c r="AE122" s="3"/>
      <c r="AF122" s="3" t="s">
        <v>155</v>
      </c>
      <c r="AG122" s="3"/>
      <c r="AH122" s="3">
        <v>0</v>
      </c>
      <c r="AI122" s="3"/>
      <c r="AJ122" s="3">
        <v>318621</v>
      </c>
      <c r="AK122" s="3"/>
      <c r="AL122" s="3"/>
      <c r="AM122" s="3"/>
      <c r="AN122" s="3">
        <v>0</v>
      </c>
      <c r="AO122" s="3"/>
      <c r="AP122" s="3">
        <v>0</v>
      </c>
      <c r="AQ122" s="3"/>
      <c r="AR122" s="3">
        <v>0</v>
      </c>
      <c r="AS122" s="3"/>
      <c r="AT122" s="3">
        <v>0</v>
      </c>
      <c r="AU122" s="3"/>
      <c r="AV122" s="3"/>
      <c r="AW122" s="3"/>
      <c r="AX122" s="3">
        <v>0</v>
      </c>
      <c r="AY122" s="3"/>
      <c r="AZ122" s="3">
        <v>0</v>
      </c>
      <c r="BA122" s="3"/>
      <c r="BB122" s="3">
        <f t="shared" si="7"/>
        <v>3967888</v>
      </c>
      <c r="BC122" s="3"/>
      <c r="BD122" s="3">
        <v>0</v>
      </c>
      <c r="BE122" s="3"/>
      <c r="BF122" s="3"/>
      <c r="BG122" s="3"/>
      <c r="BH122" s="3"/>
      <c r="BI122" s="3"/>
      <c r="BJ122" s="3">
        <v>0</v>
      </c>
      <c r="BK122" s="3" t="s">
        <v>262</v>
      </c>
      <c r="BL122" s="3"/>
      <c r="BM122" s="3" t="s">
        <v>155</v>
      </c>
      <c r="BN122" s="3"/>
      <c r="BO122" s="3">
        <f t="shared" si="8"/>
        <v>3967888</v>
      </c>
      <c r="BP122" s="3"/>
      <c r="BQ122" s="3">
        <f>GenRev!AW122-BO122</f>
        <v>-278077</v>
      </c>
      <c r="BR122" s="3"/>
      <c r="BS122" s="3">
        <v>2504683</v>
      </c>
      <c r="BT122" s="3"/>
      <c r="BU122" s="3">
        <v>0</v>
      </c>
      <c r="BV122" s="3"/>
      <c r="BW122" s="3">
        <f t="shared" si="6"/>
        <v>2226606</v>
      </c>
      <c r="BX122" s="3"/>
      <c r="BY122" s="16">
        <f>+BW122-GenBS!AE122</f>
        <v>0</v>
      </c>
    </row>
    <row r="123" spans="1:77" s="103" customFormat="1">
      <c r="A123" s="103" t="s">
        <v>330</v>
      </c>
      <c r="C123" s="103" t="s">
        <v>195</v>
      </c>
      <c r="E123" s="103">
        <v>49825</v>
      </c>
      <c r="G123" s="3">
        <v>0</v>
      </c>
      <c r="H123" s="3"/>
      <c r="I123" s="3">
        <v>5369376</v>
      </c>
      <c r="J123" s="3"/>
      <c r="K123" s="3">
        <v>0</v>
      </c>
      <c r="L123" s="3"/>
      <c r="M123" s="3">
        <v>0</v>
      </c>
      <c r="N123" s="3"/>
      <c r="O123" s="3">
        <v>0</v>
      </c>
      <c r="P123" s="3"/>
      <c r="Q123" s="3">
        <v>3259235</v>
      </c>
      <c r="R123" s="3"/>
      <c r="S123" s="3">
        <v>4318416</v>
      </c>
      <c r="T123" s="3"/>
      <c r="U123" s="3">
        <v>24276</v>
      </c>
      <c r="V123" s="3"/>
      <c r="W123" s="3">
        <v>3231775</v>
      </c>
      <c r="X123" s="3"/>
      <c r="Y123" s="3">
        <v>434158</v>
      </c>
      <c r="Z123" s="3"/>
      <c r="AA123" s="3">
        <v>720697</v>
      </c>
      <c r="AB123" s="3"/>
      <c r="AC123" s="3">
        <v>187998</v>
      </c>
      <c r="AD123" s="103" t="s">
        <v>330</v>
      </c>
      <c r="AF123" s="103" t="s">
        <v>195</v>
      </c>
      <c r="AH123" s="3">
        <v>0</v>
      </c>
      <c r="AI123" s="3"/>
      <c r="AJ123" s="3">
        <v>38622</v>
      </c>
      <c r="AK123" s="3"/>
      <c r="AL123" s="3"/>
      <c r="AM123" s="3"/>
      <c r="AN123" s="3">
        <v>0</v>
      </c>
      <c r="AO123" s="3"/>
      <c r="AP123" s="3">
        <v>0</v>
      </c>
      <c r="AQ123" s="3"/>
      <c r="AR123" s="3">
        <v>0</v>
      </c>
      <c r="AS123" s="3"/>
      <c r="AT123" s="3">
        <v>0</v>
      </c>
      <c r="AU123" s="3"/>
      <c r="AV123" s="3"/>
      <c r="AW123" s="3"/>
      <c r="AX123" s="3">
        <v>0</v>
      </c>
      <c r="AY123" s="3"/>
      <c r="AZ123" s="3">
        <v>0</v>
      </c>
      <c r="BA123" s="3"/>
      <c r="BB123" s="3">
        <f t="shared" si="7"/>
        <v>17584553</v>
      </c>
      <c r="BC123" s="3"/>
      <c r="BD123" s="3">
        <v>0</v>
      </c>
      <c r="BE123" s="3"/>
      <c r="BF123" s="3"/>
      <c r="BG123" s="3"/>
      <c r="BH123" s="3"/>
      <c r="BI123" s="3"/>
      <c r="BJ123" s="3">
        <v>0</v>
      </c>
      <c r="BK123" s="103" t="s">
        <v>330</v>
      </c>
      <c r="BM123" s="103" t="s">
        <v>195</v>
      </c>
      <c r="BN123" s="3"/>
      <c r="BO123" s="3">
        <f t="shared" si="8"/>
        <v>17584553</v>
      </c>
      <c r="BP123" s="3"/>
      <c r="BQ123" s="3">
        <f>GenRev!AW123-BO123</f>
        <v>808595</v>
      </c>
      <c r="BR123" s="3"/>
      <c r="BS123" s="3">
        <v>133067</v>
      </c>
      <c r="BT123" s="3"/>
      <c r="BU123" s="3">
        <v>0</v>
      </c>
      <c r="BV123" s="3"/>
      <c r="BW123" s="3">
        <f t="shared" si="6"/>
        <v>941662</v>
      </c>
      <c r="BX123" s="3"/>
      <c r="BY123" s="16">
        <f>+BW123-GenBS!AE123</f>
        <v>0</v>
      </c>
    </row>
    <row r="124" spans="1:77" s="103" customFormat="1">
      <c r="A124" s="3" t="s">
        <v>331</v>
      </c>
      <c r="C124" s="103" t="s">
        <v>196</v>
      </c>
      <c r="E124" s="103">
        <v>49965</v>
      </c>
      <c r="G124" s="3">
        <v>533171</v>
      </c>
      <c r="H124" s="3"/>
      <c r="I124" s="3">
        <v>6524126</v>
      </c>
      <c r="J124" s="3"/>
      <c r="K124" s="3">
        <v>69135</v>
      </c>
      <c r="L124" s="3"/>
      <c r="M124" s="3">
        <v>0</v>
      </c>
      <c r="N124" s="3"/>
      <c r="O124" s="3">
        <v>0</v>
      </c>
      <c r="P124" s="3"/>
      <c r="Q124" s="3">
        <v>3685885</v>
      </c>
      <c r="R124" s="3"/>
      <c r="S124" s="3">
        <v>2638433</v>
      </c>
      <c r="T124" s="3"/>
      <c r="U124" s="3">
        <v>56629</v>
      </c>
      <c r="V124" s="3"/>
      <c r="W124" s="3">
        <v>977157</v>
      </c>
      <c r="X124" s="3"/>
      <c r="Y124" s="3">
        <v>322287</v>
      </c>
      <c r="Z124" s="3"/>
      <c r="AA124" s="3">
        <v>32874</v>
      </c>
      <c r="AB124" s="3"/>
      <c r="AC124" s="3">
        <v>486436</v>
      </c>
      <c r="AD124" s="3" t="s">
        <v>331</v>
      </c>
      <c r="AF124" s="103" t="s">
        <v>196</v>
      </c>
      <c r="AH124" s="3">
        <v>0</v>
      </c>
      <c r="AI124" s="3"/>
      <c r="AJ124" s="3">
        <v>91179</v>
      </c>
      <c r="AK124" s="3"/>
      <c r="AL124" s="3"/>
      <c r="AM124" s="3"/>
      <c r="AN124" s="3">
        <v>0</v>
      </c>
      <c r="AO124" s="3"/>
      <c r="AP124" s="3">
        <v>0</v>
      </c>
      <c r="AQ124" s="3"/>
      <c r="AR124" s="3">
        <v>56208</v>
      </c>
      <c r="AS124" s="3"/>
      <c r="AT124" s="3">
        <v>0</v>
      </c>
      <c r="AU124" s="3"/>
      <c r="AV124" s="3"/>
      <c r="AW124" s="3"/>
      <c r="AX124" s="3">
        <v>72169</v>
      </c>
      <c r="AY124" s="3"/>
      <c r="AZ124" s="3">
        <v>37763</v>
      </c>
      <c r="BA124" s="3"/>
      <c r="BB124" s="3">
        <f t="shared" si="7"/>
        <v>15583452</v>
      </c>
      <c r="BC124" s="3"/>
      <c r="BD124" s="3">
        <v>0</v>
      </c>
      <c r="BE124" s="3"/>
      <c r="BF124" s="3"/>
      <c r="BG124" s="3"/>
      <c r="BH124" s="3"/>
      <c r="BI124" s="3"/>
      <c r="BJ124" s="3">
        <v>0</v>
      </c>
      <c r="BK124" s="3" t="s">
        <v>331</v>
      </c>
      <c r="BM124" s="103" t="s">
        <v>196</v>
      </c>
      <c r="BN124" s="3"/>
      <c r="BO124" s="3">
        <f t="shared" si="8"/>
        <v>15583452</v>
      </c>
      <c r="BP124" s="3"/>
      <c r="BQ124" s="3">
        <f>GenRev!AW124-BO124</f>
        <v>-722521</v>
      </c>
      <c r="BR124" s="3"/>
      <c r="BS124" s="3">
        <v>4355617</v>
      </c>
      <c r="BT124" s="3"/>
      <c r="BU124" s="3">
        <v>0</v>
      </c>
      <c r="BV124" s="3"/>
      <c r="BW124" s="3">
        <f t="shared" si="6"/>
        <v>3633096</v>
      </c>
      <c r="BX124" s="3"/>
      <c r="BY124" s="16">
        <f>+BW124-GenBS!AE124</f>
        <v>0</v>
      </c>
    </row>
    <row r="125" spans="1:77" s="59" customFormat="1" hidden="1">
      <c r="A125" s="58" t="s">
        <v>353</v>
      </c>
      <c r="C125" s="59" t="s">
        <v>203</v>
      </c>
      <c r="E125" s="59">
        <v>50526</v>
      </c>
      <c r="G125" s="58">
        <v>0</v>
      </c>
      <c r="H125" s="58"/>
      <c r="I125" s="58">
        <v>0</v>
      </c>
      <c r="J125" s="58"/>
      <c r="K125" s="58">
        <v>0</v>
      </c>
      <c r="L125" s="58"/>
      <c r="M125" s="58">
        <v>0</v>
      </c>
      <c r="N125" s="58"/>
      <c r="O125" s="58">
        <v>0</v>
      </c>
      <c r="P125" s="58"/>
      <c r="Q125" s="58">
        <v>0</v>
      </c>
      <c r="R125" s="58"/>
      <c r="S125" s="58">
        <v>0</v>
      </c>
      <c r="T125" s="58"/>
      <c r="U125" s="58">
        <v>0</v>
      </c>
      <c r="V125" s="58"/>
      <c r="W125" s="58">
        <v>0</v>
      </c>
      <c r="X125" s="58"/>
      <c r="Y125" s="58">
        <v>0</v>
      </c>
      <c r="Z125" s="58"/>
      <c r="AA125" s="58">
        <v>0</v>
      </c>
      <c r="AB125" s="58"/>
      <c r="AC125" s="58">
        <v>0</v>
      </c>
      <c r="AD125" s="58" t="s">
        <v>353</v>
      </c>
      <c r="AF125" s="59" t="s">
        <v>203</v>
      </c>
      <c r="AH125" s="58">
        <v>0</v>
      </c>
      <c r="AI125" s="58"/>
      <c r="AJ125" s="58">
        <v>0</v>
      </c>
      <c r="AK125" s="58"/>
      <c r="AL125" s="58"/>
      <c r="AM125" s="58"/>
      <c r="AN125" s="58">
        <v>0</v>
      </c>
      <c r="AO125" s="58"/>
      <c r="AP125" s="58">
        <v>0</v>
      </c>
      <c r="AQ125" s="58"/>
      <c r="AR125" s="58">
        <v>0</v>
      </c>
      <c r="AS125" s="58"/>
      <c r="AT125" s="58">
        <v>0</v>
      </c>
      <c r="AU125" s="58"/>
      <c r="AV125" s="58"/>
      <c r="AW125" s="58"/>
      <c r="AX125" s="58">
        <v>0</v>
      </c>
      <c r="AY125" s="58"/>
      <c r="AZ125" s="58">
        <v>0</v>
      </c>
      <c r="BA125" s="58"/>
      <c r="BB125" s="58">
        <f t="shared" si="7"/>
        <v>0</v>
      </c>
      <c r="BC125" s="58"/>
      <c r="BD125" s="58">
        <v>0</v>
      </c>
      <c r="BE125" s="58"/>
      <c r="BF125" s="58"/>
      <c r="BG125" s="58"/>
      <c r="BH125" s="58"/>
      <c r="BI125" s="58"/>
      <c r="BJ125" s="58">
        <v>0</v>
      </c>
      <c r="BK125" s="58" t="s">
        <v>353</v>
      </c>
      <c r="BM125" s="59" t="s">
        <v>203</v>
      </c>
      <c r="BN125" s="58"/>
      <c r="BO125" s="58">
        <f t="shared" si="8"/>
        <v>0</v>
      </c>
      <c r="BP125" s="58"/>
      <c r="BQ125" s="58">
        <f>GenRev!AW125-BO125</f>
        <v>0</v>
      </c>
      <c r="BR125" s="58"/>
      <c r="BS125" s="58">
        <v>0</v>
      </c>
      <c r="BT125" s="58"/>
      <c r="BU125" s="58">
        <v>0</v>
      </c>
      <c r="BV125" s="58"/>
      <c r="BW125" s="58">
        <f t="shared" si="6"/>
        <v>0</v>
      </c>
      <c r="BX125" s="58"/>
      <c r="BY125" s="60">
        <f>+BW125-GenBS!AE125</f>
        <v>0</v>
      </c>
    </row>
    <row r="126" spans="1:77" s="103" customFormat="1">
      <c r="A126" s="3" t="s">
        <v>333</v>
      </c>
      <c r="C126" s="103" t="s">
        <v>197</v>
      </c>
      <c r="E126" s="103">
        <v>50088</v>
      </c>
      <c r="G126" s="3">
        <v>312301</v>
      </c>
      <c r="H126" s="3"/>
      <c r="I126" s="3">
        <v>6523069</v>
      </c>
      <c r="J126" s="3"/>
      <c r="K126" s="3">
        <v>0</v>
      </c>
      <c r="L126" s="3"/>
      <c r="M126" s="3">
        <v>0</v>
      </c>
      <c r="N126" s="3"/>
      <c r="O126" s="3">
        <v>0</v>
      </c>
      <c r="P126" s="3"/>
      <c r="Q126" s="3">
        <v>3924584</v>
      </c>
      <c r="R126" s="3"/>
      <c r="S126" s="3">
        <v>2088414</v>
      </c>
      <c r="T126" s="3"/>
      <c r="U126" s="3">
        <v>69919</v>
      </c>
      <c r="V126" s="3"/>
      <c r="W126" s="3">
        <v>1954493</v>
      </c>
      <c r="X126" s="3"/>
      <c r="Y126" s="3">
        <v>320766</v>
      </c>
      <c r="Z126" s="3"/>
      <c r="AA126" s="3">
        <v>21079</v>
      </c>
      <c r="AB126" s="3"/>
      <c r="AC126" s="3">
        <v>208431</v>
      </c>
      <c r="AD126" s="3" t="s">
        <v>333</v>
      </c>
      <c r="AF126" s="103" t="s">
        <v>197</v>
      </c>
      <c r="AH126" s="3">
        <v>14574</v>
      </c>
      <c r="AI126" s="3"/>
      <c r="AJ126" s="3">
        <v>0</v>
      </c>
      <c r="AK126" s="3"/>
      <c r="AL126" s="3"/>
      <c r="AM126" s="3"/>
      <c r="AN126" s="3">
        <v>0</v>
      </c>
      <c r="AO126" s="3"/>
      <c r="AP126" s="3">
        <v>75125</v>
      </c>
      <c r="AQ126" s="3"/>
      <c r="AR126" s="3">
        <v>0</v>
      </c>
      <c r="AS126" s="3"/>
      <c r="AT126" s="3">
        <v>0</v>
      </c>
      <c r="AU126" s="3"/>
      <c r="AV126" s="3"/>
      <c r="AW126" s="3"/>
      <c r="AX126" s="3">
        <v>8182</v>
      </c>
      <c r="AY126" s="3"/>
      <c r="AZ126" s="3">
        <v>1298</v>
      </c>
      <c r="BA126" s="3"/>
      <c r="BB126" s="3">
        <f t="shared" si="7"/>
        <v>15522235</v>
      </c>
      <c r="BC126" s="3"/>
      <c r="BD126" s="3">
        <v>0</v>
      </c>
      <c r="BE126" s="3"/>
      <c r="BF126" s="3"/>
      <c r="BG126" s="3"/>
      <c r="BH126" s="3"/>
      <c r="BI126" s="3"/>
      <c r="BJ126" s="3">
        <v>0</v>
      </c>
      <c r="BK126" s="3" t="s">
        <v>333</v>
      </c>
      <c r="BM126" s="103" t="s">
        <v>197</v>
      </c>
      <c r="BN126" s="3"/>
      <c r="BO126" s="3">
        <f t="shared" si="8"/>
        <v>15522235</v>
      </c>
      <c r="BP126" s="3"/>
      <c r="BQ126" s="3">
        <f>GenRev!AW126-BO126</f>
        <v>-416804</v>
      </c>
      <c r="BR126" s="3"/>
      <c r="BS126" s="3">
        <v>4597759</v>
      </c>
      <c r="BT126" s="3"/>
      <c r="BU126" s="3">
        <v>0</v>
      </c>
      <c r="BV126" s="3"/>
      <c r="BW126" s="3">
        <f t="shared" si="6"/>
        <v>4180955</v>
      </c>
      <c r="BX126" s="3"/>
      <c r="BY126" s="16">
        <f>+BW126-GenBS!AE126</f>
        <v>0</v>
      </c>
    </row>
    <row r="127" spans="1:77" s="89" customFormat="1" hidden="1">
      <c r="A127" s="88" t="s">
        <v>301</v>
      </c>
      <c r="C127" s="89" t="s">
        <v>198</v>
      </c>
      <c r="E127" s="89">
        <v>50260</v>
      </c>
      <c r="G127" s="88">
        <v>0</v>
      </c>
      <c r="H127" s="88"/>
      <c r="I127" s="88">
        <v>0</v>
      </c>
      <c r="J127" s="88"/>
      <c r="K127" s="88">
        <v>0</v>
      </c>
      <c r="L127" s="88"/>
      <c r="M127" s="88">
        <v>0</v>
      </c>
      <c r="N127" s="88"/>
      <c r="O127" s="88">
        <v>0</v>
      </c>
      <c r="P127" s="88"/>
      <c r="Q127" s="88">
        <v>0</v>
      </c>
      <c r="R127" s="88"/>
      <c r="S127" s="88">
        <v>0</v>
      </c>
      <c r="T127" s="88"/>
      <c r="U127" s="88">
        <v>0</v>
      </c>
      <c r="V127" s="88"/>
      <c r="W127" s="88">
        <v>0</v>
      </c>
      <c r="X127" s="88"/>
      <c r="Y127" s="88">
        <v>0</v>
      </c>
      <c r="Z127" s="88"/>
      <c r="AA127" s="88">
        <v>0</v>
      </c>
      <c r="AB127" s="88"/>
      <c r="AC127" s="88">
        <v>0</v>
      </c>
      <c r="AD127" s="88" t="s">
        <v>301</v>
      </c>
      <c r="AF127" s="89" t="s">
        <v>198</v>
      </c>
      <c r="AH127" s="88">
        <v>0</v>
      </c>
      <c r="AI127" s="88"/>
      <c r="AJ127" s="88">
        <v>0</v>
      </c>
      <c r="AK127" s="88"/>
      <c r="AL127" s="88"/>
      <c r="AM127" s="88"/>
      <c r="AN127" s="88">
        <v>0</v>
      </c>
      <c r="AO127" s="88"/>
      <c r="AP127" s="88">
        <v>0</v>
      </c>
      <c r="AQ127" s="88"/>
      <c r="AR127" s="88">
        <v>0</v>
      </c>
      <c r="AS127" s="88"/>
      <c r="AT127" s="88">
        <v>0</v>
      </c>
      <c r="AU127" s="88"/>
      <c r="AV127" s="88"/>
      <c r="AW127" s="88"/>
      <c r="AX127" s="88">
        <v>0</v>
      </c>
      <c r="AY127" s="88"/>
      <c r="AZ127" s="88">
        <v>0</v>
      </c>
      <c r="BA127" s="88"/>
      <c r="BB127" s="88">
        <f t="shared" si="7"/>
        <v>0</v>
      </c>
      <c r="BC127" s="88"/>
      <c r="BD127" s="88">
        <v>0</v>
      </c>
      <c r="BE127" s="88"/>
      <c r="BF127" s="88"/>
      <c r="BG127" s="88"/>
      <c r="BH127" s="88"/>
      <c r="BI127" s="88"/>
      <c r="BJ127" s="88">
        <v>0</v>
      </c>
      <c r="BK127" s="88" t="s">
        <v>301</v>
      </c>
      <c r="BM127" s="89" t="s">
        <v>198</v>
      </c>
      <c r="BN127" s="88"/>
      <c r="BO127" s="88">
        <f t="shared" si="8"/>
        <v>0</v>
      </c>
      <c r="BP127" s="88"/>
      <c r="BQ127" s="88">
        <f>GenRev!AW127-BO127</f>
        <v>0</v>
      </c>
      <c r="BR127" s="88"/>
      <c r="BS127" s="88">
        <v>0</v>
      </c>
      <c r="BT127" s="88"/>
      <c r="BU127" s="88"/>
      <c r="BV127" s="88"/>
      <c r="BW127" s="88">
        <f t="shared" si="6"/>
        <v>0</v>
      </c>
      <c r="BX127" s="88"/>
      <c r="BY127" s="90">
        <f>+BW127-GenBS!AE127</f>
        <v>0</v>
      </c>
    </row>
    <row r="128" spans="1:77" s="59" customFormat="1" hidden="1">
      <c r="A128" s="58" t="s">
        <v>335</v>
      </c>
      <c r="C128" s="59" t="s">
        <v>201</v>
      </c>
      <c r="E128" s="59">
        <v>50401</v>
      </c>
      <c r="G128" s="58">
        <v>0</v>
      </c>
      <c r="H128" s="58"/>
      <c r="I128" s="58">
        <v>0</v>
      </c>
      <c r="J128" s="58"/>
      <c r="K128" s="58">
        <v>0</v>
      </c>
      <c r="L128" s="58"/>
      <c r="M128" s="58">
        <v>0</v>
      </c>
      <c r="N128" s="58"/>
      <c r="O128" s="58">
        <v>0</v>
      </c>
      <c r="P128" s="58"/>
      <c r="Q128" s="58">
        <v>0</v>
      </c>
      <c r="R128" s="58"/>
      <c r="S128" s="58">
        <v>0</v>
      </c>
      <c r="T128" s="58"/>
      <c r="U128" s="58">
        <v>0</v>
      </c>
      <c r="V128" s="58"/>
      <c r="W128" s="58">
        <v>0</v>
      </c>
      <c r="X128" s="58"/>
      <c r="Y128" s="58">
        <v>0</v>
      </c>
      <c r="Z128" s="58"/>
      <c r="AA128" s="58">
        <v>0</v>
      </c>
      <c r="AB128" s="58"/>
      <c r="AC128" s="58">
        <v>0</v>
      </c>
      <c r="AD128" s="58" t="s">
        <v>335</v>
      </c>
      <c r="AF128" s="59" t="s">
        <v>201</v>
      </c>
      <c r="AH128" s="58">
        <v>0</v>
      </c>
      <c r="AI128" s="58"/>
      <c r="AJ128" s="58">
        <v>0</v>
      </c>
      <c r="AK128" s="58"/>
      <c r="AL128" s="58"/>
      <c r="AM128" s="58"/>
      <c r="AN128" s="58">
        <v>0</v>
      </c>
      <c r="AO128" s="58"/>
      <c r="AP128" s="58">
        <v>0</v>
      </c>
      <c r="AQ128" s="58"/>
      <c r="AR128" s="58">
        <v>0</v>
      </c>
      <c r="AS128" s="58"/>
      <c r="AT128" s="58">
        <v>0</v>
      </c>
      <c r="AU128" s="58"/>
      <c r="AV128" s="58"/>
      <c r="AW128" s="58"/>
      <c r="AX128" s="58">
        <v>0</v>
      </c>
      <c r="AY128" s="58"/>
      <c r="AZ128" s="58">
        <v>0</v>
      </c>
      <c r="BA128" s="58"/>
      <c r="BB128" s="58">
        <f t="shared" si="7"/>
        <v>0</v>
      </c>
      <c r="BC128" s="58"/>
      <c r="BD128" s="58">
        <v>0</v>
      </c>
      <c r="BE128" s="58"/>
      <c r="BF128" s="58"/>
      <c r="BG128" s="58"/>
      <c r="BH128" s="58"/>
      <c r="BI128" s="58"/>
      <c r="BJ128" s="58">
        <v>0</v>
      </c>
      <c r="BK128" s="58" t="s">
        <v>335</v>
      </c>
      <c r="BM128" s="59" t="s">
        <v>201</v>
      </c>
      <c r="BN128" s="58"/>
      <c r="BO128" s="58">
        <f t="shared" si="8"/>
        <v>0</v>
      </c>
      <c r="BP128" s="58"/>
      <c r="BQ128" s="58">
        <f>GenRev!AW128-BO128</f>
        <v>0</v>
      </c>
      <c r="BR128" s="58"/>
      <c r="BS128" s="58">
        <v>0</v>
      </c>
      <c r="BT128" s="58"/>
      <c r="BU128" s="58"/>
      <c r="BV128" s="58"/>
      <c r="BW128" s="58">
        <f t="shared" si="6"/>
        <v>0</v>
      </c>
      <c r="BX128" s="58"/>
      <c r="BY128" s="60">
        <f>+BW128-GenBS!AE128</f>
        <v>0</v>
      </c>
    </row>
    <row r="129" spans="1:77" s="89" customFormat="1" hidden="1">
      <c r="A129" s="88" t="s">
        <v>302</v>
      </c>
      <c r="C129" s="89" t="s">
        <v>202</v>
      </c>
      <c r="E129" s="89">
        <v>50476</v>
      </c>
      <c r="G129" s="88">
        <v>0</v>
      </c>
      <c r="H129" s="88"/>
      <c r="I129" s="88">
        <v>0</v>
      </c>
      <c r="J129" s="88"/>
      <c r="K129" s="88">
        <v>0</v>
      </c>
      <c r="L129" s="88"/>
      <c r="M129" s="88">
        <v>0</v>
      </c>
      <c r="N129" s="88"/>
      <c r="O129" s="88">
        <v>0</v>
      </c>
      <c r="P129" s="88"/>
      <c r="Q129" s="88">
        <v>0</v>
      </c>
      <c r="R129" s="88"/>
      <c r="S129" s="88">
        <v>0</v>
      </c>
      <c r="T129" s="88"/>
      <c r="U129" s="88">
        <v>0</v>
      </c>
      <c r="V129" s="88"/>
      <c r="W129" s="88">
        <v>0</v>
      </c>
      <c r="X129" s="88"/>
      <c r="Y129" s="88">
        <v>0</v>
      </c>
      <c r="Z129" s="88"/>
      <c r="AA129" s="88">
        <v>0</v>
      </c>
      <c r="AB129" s="88"/>
      <c r="AC129" s="88">
        <v>0</v>
      </c>
      <c r="AD129" s="88" t="s">
        <v>302</v>
      </c>
      <c r="AF129" s="89" t="s">
        <v>202</v>
      </c>
      <c r="AH129" s="88">
        <v>0</v>
      </c>
      <c r="AI129" s="88"/>
      <c r="AJ129" s="88">
        <v>0</v>
      </c>
      <c r="AK129" s="88"/>
      <c r="AL129" s="88"/>
      <c r="AM129" s="88"/>
      <c r="AN129" s="88">
        <v>0</v>
      </c>
      <c r="AO129" s="88"/>
      <c r="AP129" s="88">
        <v>0</v>
      </c>
      <c r="AQ129" s="88"/>
      <c r="AR129" s="88">
        <v>0</v>
      </c>
      <c r="AS129" s="88"/>
      <c r="AT129" s="88">
        <v>0</v>
      </c>
      <c r="AU129" s="88"/>
      <c r="AV129" s="88"/>
      <c r="AW129" s="88"/>
      <c r="AX129" s="88">
        <v>0</v>
      </c>
      <c r="AY129" s="88"/>
      <c r="AZ129" s="88">
        <v>0</v>
      </c>
      <c r="BA129" s="88"/>
      <c r="BB129" s="88">
        <f t="shared" si="7"/>
        <v>0</v>
      </c>
      <c r="BC129" s="88"/>
      <c r="BD129" s="88">
        <v>0</v>
      </c>
      <c r="BE129" s="88"/>
      <c r="BF129" s="88"/>
      <c r="BG129" s="88"/>
      <c r="BH129" s="88"/>
      <c r="BI129" s="88"/>
      <c r="BJ129" s="88">
        <v>0</v>
      </c>
      <c r="BK129" s="88" t="s">
        <v>302</v>
      </c>
      <c r="BM129" s="89" t="s">
        <v>202</v>
      </c>
      <c r="BO129" s="88">
        <f t="shared" si="8"/>
        <v>0</v>
      </c>
      <c r="BP129" s="88"/>
      <c r="BQ129" s="88">
        <f>GenRev!AW129-BO129</f>
        <v>0</v>
      </c>
      <c r="BR129" s="88"/>
      <c r="BS129" s="88">
        <v>0</v>
      </c>
      <c r="BT129" s="88"/>
      <c r="BU129" s="88"/>
      <c r="BV129" s="88"/>
      <c r="BW129" s="88">
        <f t="shared" si="6"/>
        <v>0</v>
      </c>
      <c r="BX129" s="88"/>
      <c r="BY129" s="90">
        <f>+BW129-GenBS!AE129</f>
        <v>0</v>
      </c>
    </row>
    <row r="130" spans="1:77" s="103" customFormat="1">
      <c r="A130" s="3" t="s">
        <v>199</v>
      </c>
      <c r="C130" s="103" t="s">
        <v>258</v>
      </c>
      <c r="E130" s="103">
        <v>134999</v>
      </c>
      <c r="G130" s="3">
        <v>25990</v>
      </c>
      <c r="H130" s="3"/>
      <c r="I130" s="3">
        <v>1270973</v>
      </c>
      <c r="J130" s="3"/>
      <c r="K130" s="3">
        <v>0</v>
      </c>
      <c r="L130" s="3"/>
      <c r="M130" s="3">
        <v>0</v>
      </c>
      <c r="N130" s="3"/>
      <c r="O130" s="3">
        <v>0</v>
      </c>
      <c r="P130" s="3"/>
      <c r="Q130" s="3">
        <v>975492</v>
      </c>
      <c r="R130" s="3"/>
      <c r="S130" s="3">
        <v>973859</v>
      </c>
      <c r="T130" s="3"/>
      <c r="U130" s="3">
        <v>51169</v>
      </c>
      <c r="V130" s="3"/>
      <c r="W130" s="3">
        <v>360872</v>
      </c>
      <c r="X130" s="3"/>
      <c r="Y130" s="3">
        <v>218397</v>
      </c>
      <c r="Z130" s="3"/>
      <c r="AA130" s="3">
        <v>0</v>
      </c>
      <c r="AB130" s="3"/>
      <c r="AC130" s="3">
        <v>12278</v>
      </c>
      <c r="AD130" s="3" t="s">
        <v>199</v>
      </c>
      <c r="AF130" s="103" t="s">
        <v>258</v>
      </c>
      <c r="AH130" s="3">
        <v>0</v>
      </c>
      <c r="AI130" s="3"/>
      <c r="AJ130" s="3">
        <v>6263</v>
      </c>
      <c r="AK130" s="3"/>
      <c r="AL130" s="3"/>
      <c r="AM130" s="3"/>
      <c r="AN130" s="3">
        <v>0</v>
      </c>
      <c r="AO130" s="3"/>
      <c r="AP130" s="3">
        <v>375</v>
      </c>
      <c r="AQ130" s="3"/>
      <c r="AR130" s="3">
        <v>0</v>
      </c>
      <c r="AS130" s="3"/>
      <c r="AT130" s="3">
        <v>0</v>
      </c>
      <c r="AU130" s="3"/>
      <c r="AV130" s="3"/>
      <c r="AW130" s="3"/>
      <c r="AX130" s="3">
        <v>0</v>
      </c>
      <c r="AY130" s="3"/>
      <c r="AZ130" s="3">
        <v>0</v>
      </c>
      <c r="BA130" s="3"/>
      <c r="BB130" s="3">
        <f t="shared" si="7"/>
        <v>3895668</v>
      </c>
      <c r="BC130" s="3"/>
      <c r="BD130" s="3">
        <v>0</v>
      </c>
      <c r="BE130" s="3"/>
      <c r="BF130" s="3"/>
      <c r="BG130" s="3"/>
      <c r="BH130" s="3"/>
      <c r="BI130" s="3"/>
      <c r="BJ130" s="3">
        <v>0</v>
      </c>
      <c r="BK130" s="3" t="s">
        <v>199</v>
      </c>
      <c r="BM130" s="103" t="s">
        <v>258</v>
      </c>
      <c r="BN130" s="3"/>
      <c r="BO130" s="3">
        <f t="shared" si="8"/>
        <v>3895668</v>
      </c>
      <c r="BP130" s="3"/>
      <c r="BQ130" s="3">
        <f>GenRev!AW130-BO130</f>
        <v>-196216</v>
      </c>
      <c r="BR130" s="3"/>
      <c r="BS130" s="3">
        <v>402338</v>
      </c>
      <c r="BT130" s="3"/>
      <c r="BU130" s="3">
        <v>0</v>
      </c>
      <c r="BV130" s="3"/>
      <c r="BW130" s="3">
        <f t="shared" si="6"/>
        <v>206122</v>
      </c>
      <c r="BX130" s="3"/>
      <c r="BY130" s="16">
        <f>+BW130-GenBS!AE130</f>
        <v>0</v>
      </c>
    </row>
    <row r="131" spans="1:77" s="103" customFormat="1">
      <c r="A131" s="3" t="s">
        <v>334</v>
      </c>
      <c r="C131" s="103" t="s">
        <v>204</v>
      </c>
      <c r="E131" s="103">
        <v>50666</v>
      </c>
      <c r="G131" s="3">
        <v>567329</v>
      </c>
      <c r="H131" s="3"/>
      <c r="I131" s="3">
        <v>4198105</v>
      </c>
      <c r="J131" s="3"/>
      <c r="K131" s="3">
        <v>0</v>
      </c>
      <c r="L131" s="3"/>
      <c r="M131" s="3">
        <v>0</v>
      </c>
      <c r="N131" s="3"/>
      <c r="O131" s="3">
        <v>0</v>
      </c>
      <c r="P131" s="3"/>
      <c r="Q131" s="3">
        <v>1718335</v>
      </c>
      <c r="R131" s="3"/>
      <c r="S131" s="3">
        <v>2458954</v>
      </c>
      <c r="T131" s="3"/>
      <c r="U131" s="3">
        <v>23596</v>
      </c>
      <c r="V131" s="3"/>
      <c r="W131" s="3">
        <v>973309</v>
      </c>
      <c r="X131" s="3"/>
      <c r="Y131" s="3">
        <v>498185</v>
      </c>
      <c r="Z131" s="3"/>
      <c r="AA131" s="3">
        <v>0</v>
      </c>
      <c r="AB131" s="3"/>
      <c r="AC131" s="3">
        <v>88450</v>
      </c>
      <c r="AD131" s="3" t="s">
        <v>334</v>
      </c>
      <c r="AF131" s="103" t="s">
        <v>204</v>
      </c>
      <c r="AH131" s="3">
        <v>57587</v>
      </c>
      <c r="AI131" s="3"/>
      <c r="AJ131" s="3">
        <v>102083</v>
      </c>
      <c r="AK131" s="3"/>
      <c r="AL131" s="3"/>
      <c r="AM131" s="3"/>
      <c r="AN131" s="3">
        <v>0</v>
      </c>
      <c r="AO131" s="3"/>
      <c r="AP131" s="3">
        <v>21816</v>
      </c>
      <c r="AQ131" s="3"/>
      <c r="AR131" s="3">
        <v>0</v>
      </c>
      <c r="AS131" s="3"/>
      <c r="AT131" s="3">
        <v>0</v>
      </c>
      <c r="AU131" s="3"/>
      <c r="AV131" s="3"/>
      <c r="AW131" s="3"/>
      <c r="AX131" s="3">
        <v>0</v>
      </c>
      <c r="AY131" s="3"/>
      <c r="AZ131" s="3">
        <v>0</v>
      </c>
      <c r="BA131" s="3"/>
      <c r="BB131" s="3">
        <f t="shared" si="7"/>
        <v>10707749</v>
      </c>
      <c r="BC131" s="3"/>
      <c r="BD131" s="3">
        <v>0</v>
      </c>
      <c r="BE131" s="3"/>
      <c r="BF131" s="3"/>
      <c r="BG131" s="3"/>
      <c r="BH131" s="3"/>
      <c r="BI131" s="3"/>
      <c r="BJ131" s="3">
        <v>0</v>
      </c>
      <c r="BK131" s="3" t="s">
        <v>334</v>
      </c>
      <c r="BM131" s="103" t="s">
        <v>204</v>
      </c>
      <c r="BN131" s="3"/>
      <c r="BO131" s="3">
        <f t="shared" si="8"/>
        <v>10707749</v>
      </c>
      <c r="BP131" s="3"/>
      <c r="BQ131" s="3">
        <f>GenRev!AW131-BO131</f>
        <v>155291</v>
      </c>
      <c r="BR131" s="3"/>
      <c r="BS131" s="3">
        <v>1945178</v>
      </c>
      <c r="BT131" s="3"/>
      <c r="BU131" s="3">
        <v>0</v>
      </c>
      <c r="BV131" s="3"/>
      <c r="BW131" s="3">
        <f t="shared" si="6"/>
        <v>2100469</v>
      </c>
      <c r="BX131" s="3"/>
      <c r="BY131" s="16">
        <f>+BW131-GenBS!AE131</f>
        <v>0</v>
      </c>
    </row>
    <row r="132" spans="1:77" s="15" customFormat="1">
      <c r="M132" s="26"/>
    </row>
    <row r="133" spans="1:77">
      <c r="M133" s="26"/>
      <c r="AC133" s="33"/>
      <c r="AP133" s="33"/>
      <c r="BC133" s="33"/>
      <c r="BJ133" s="33"/>
    </row>
    <row r="134" spans="1:77">
      <c r="M134" s="26"/>
    </row>
    <row r="135" spans="1:77">
      <c r="M135" s="26"/>
    </row>
    <row r="136" spans="1:77">
      <c r="M136" s="26"/>
    </row>
    <row r="137" spans="1:77">
      <c r="G137" s="3"/>
      <c r="H137" s="3"/>
      <c r="I137" s="3"/>
      <c r="J137" s="3"/>
      <c r="K137" s="3"/>
      <c r="L137" s="3"/>
      <c r="M137" s="26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15"/>
      <c r="AE137" s="15"/>
      <c r="AF137" s="15"/>
      <c r="AG137" s="15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>
        <v>0</v>
      </c>
      <c r="BG137" s="3"/>
      <c r="BH137" s="3">
        <v>0</v>
      </c>
      <c r="BI137" s="3"/>
      <c r="BJ137" s="3"/>
      <c r="BK137" s="15"/>
      <c r="BL137" s="15"/>
      <c r="BM137" s="15"/>
      <c r="BN137" s="3"/>
      <c r="BO137" s="3"/>
      <c r="BP137" s="3"/>
      <c r="BQ137" s="3"/>
      <c r="BR137" s="3"/>
      <c r="BS137" s="3"/>
      <c r="BT137" s="3"/>
      <c r="BU137" s="3"/>
      <c r="BV137" s="3"/>
      <c r="BW137" s="3"/>
    </row>
    <row r="138" spans="1:77">
      <c r="M138" s="26"/>
    </row>
    <row r="139" spans="1:77">
      <c r="M139" s="26"/>
    </row>
    <row r="140" spans="1:77">
      <c r="M140" s="26"/>
    </row>
    <row r="141" spans="1:77">
      <c r="M141" s="26"/>
    </row>
    <row r="142" spans="1:77">
      <c r="M142" s="26"/>
    </row>
    <row r="143" spans="1:77">
      <c r="M143" s="72"/>
    </row>
    <row r="144" spans="1:77">
      <c r="M144" s="73"/>
    </row>
    <row r="145" spans="13:13">
      <c r="M145" s="73"/>
    </row>
    <row r="146" spans="13:13">
      <c r="M146" s="72"/>
    </row>
    <row r="147" spans="13:13">
      <c r="M147" s="72">
        <v>18747</v>
      </c>
    </row>
    <row r="148" spans="13:13">
      <c r="M148" s="72"/>
    </row>
    <row r="149" spans="13:13">
      <c r="M149" s="73"/>
    </row>
    <row r="150" spans="13:13">
      <c r="M150" s="26"/>
    </row>
    <row r="151" spans="13:13">
      <c r="M151" s="26"/>
    </row>
    <row r="152" spans="13:13">
      <c r="M152" s="26"/>
    </row>
    <row r="153" spans="13:13">
      <c r="M153" s="26"/>
    </row>
    <row r="154" spans="13:13">
      <c r="M154" s="26"/>
    </row>
    <row r="155" spans="13:13">
      <c r="M155" s="26"/>
    </row>
    <row r="156" spans="13:13">
      <c r="M156" s="71"/>
    </row>
    <row r="157" spans="13:13">
      <c r="M157" s="26"/>
    </row>
    <row r="158" spans="13:13">
      <c r="M158" s="26"/>
    </row>
    <row r="159" spans="13:13">
      <c r="M159" s="26"/>
    </row>
    <row r="160" spans="13:13">
      <c r="M160" s="26"/>
    </row>
    <row r="161" spans="13:13">
      <c r="M161" s="26"/>
    </row>
    <row r="162" spans="13:13">
      <c r="M162" s="26"/>
    </row>
    <row r="163" spans="13:13">
      <c r="M163" s="26"/>
    </row>
    <row r="164" spans="13:13">
      <c r="M164" s="26"/>
    </row>
    <row r="165" spans="13:13">
      <c r="M165" s="26"/>
    </row>
    <row r="166" spans="13:13">
      <c r="M166" s="26"/>
    </row>
    <row r="167" spans="13:13">
      <c r="M167" s="26"/>
    </row>
    <row r="168" spans="13:13">
      <c r="M168" s="26"/>
    </row>
    <row r="169" spans="13:13">
      <c r="M169" s="26"/>
    </row>
    <row r="170" spans="13:13">
      <c r="M170" s="26"/>
    </row>
    <row r="171" spans="13:13">
      <c r="M171" s="26"/>
    </row>
    <row r="172" spans="13:13">
      <c r="M172" s="26"/>
    </row>
    <row r="173" spans="13:13">
      <c r="M173" s="26"/>
    </row>
    <row r="174" spans="13:13">
      <c r="M174" s="26"/>
    </row>
    <row r="175" spans="13:13">
      <c r="M175" s="26"/>
    </row>
    <row r="176" spans="13:13">
      <c r="M176" s="26"/>
    </row>
    <row r="177" spans="13:13">
      <c r="M177" s="26"/>
    </row>
    <row r="178" spans="13:13">
      <c r="M178" s="26"/>
    </row>
    <row r="179" spans="13:13">
      <c r="M179" s="26"/>
    </row>
    <row r="180" spans="13:13">
      <c r="M180" s="26"/>
    </row>
    <row r="181" spans="13:13">
      <c r="M181" s="26"/>
    </row>
    <row r="182" spans="13:13">
      <c r="M182" s="26"/>
    </row>
    <row r="183" spans="13:13">
      <c r="M183" s="26"/>
    </row>
    <row r="184" spans="13:13">
      <c r="M184" s="26"/>
    </row>
    <row r="185" spans="13:13">
      <c r="M185" s="26"/>
    </row>
    <row r="186" spans="13:13">
      <c r="M186" s="26"/>
    </row>
    <row r="187" spans="13:13">
      <c r="M187" s="26"/>
    </row>
    <row r="188" spans="13:13">
      <c r="M188" s="26"/>
    </row>
    <row r="189" spans="13:13">
      <c r="M189" s="26"/>
    </row>
    <row r="190" spans="13:13">
      <c r="M190" s="26"/>
    </row>
    <row r="191" spans="13:13">
      <c r="M191" s="26"/>
    </row>
    <row r="192" spans="13:13">
      <c r="M192" s="26"/>
    </row>
    <row r="193" spans="13:13">
      <c r="M193" s="26"/>
    </row>
    <row r="194" spans="13:13">
      <c r="M194" s="26"/>
    </row>
    <row r="195" spans="13:13">
      <c r="M195" s="26"/>
    </row>
    <row r="196" spans="13:13">
      <c r="M196" s="26"/>
    </row>
    <row r="197" spans="13:13">
      <c r="M197" s="26"/>
    </row>
    <row r="198" spans="13:13">
      <c r="M198" s="26"/>
    </row>
    <row r="199" spans="13:13">
      <c r="M199" s="26"/>
    </row>
    <row r="200" spans="13:13">
      <c r="M200" s="26"/>
    </row>
    <row r="201" spans="13:13">
      <c r="M201" s="26"/>
    </row>
    <row r="202" spans="13:13">
      <c r="M202" s="26"/>
    </row>
    <row r="203" spans="13:13">
      <c r="M203" s="71"/>
    </row>
    <row r="204" spans="13:13">
      <c r="M204" s="26"/>
    </row>
    <row r="205" spans="13:13">
      <c r="M205" s="26"/>
    </row>
    <row r="206" spans="13:13">
      <c r="M206" s="26"/>
    </row>
    <row r="207" spans="13:13">
      <c r="M207" s="26"/>
    </row>
    <row r="208" spans="13:13">
      <c r="M208" s="26"/>
    </row>
    <row r="209" spans="13:13">
      <c r="M209" s="26"/>
    </row>
    <row r="210" spans="13:13">
      <c r="M210" s="26"/>
    </row>
    <row r="211" spans="13:13">
      <c r="M211" s="26"/>
    </row>
    <row r="212" spans="13:13">
      <c r="M212" s="26"/>
    </row>
    <row r="213" spans="13:13">
      <c r="M213" s="26"/>
    </row>
    <row r="214" spans="13:13">
      <c r="M214" s="26"/>
    </row>
    <row r="215" spans="13:13">
      <c r="M215" s="26"/>
    </row>
    <row r="216" spans="13:13">
      <c r="M216" s="26"/>
    </row>
    <row r="217" spans="13:13">
      <c r="M217" s="26"/>
    </row>
    <row r="218" spans="13:13">
      <c r="M218" s="26"/>
    </row>
    <row r="219" spans="13:13">
      <c r="M219" s="26"/>
    </row>
    <row r="220" spans="13:13">
      <c r="M220" s="26"/>
    </row>
    <row r="221" spans="13:13">
      <c r="M221" s="26"/>
    </row>
    <row r="222" spans="13:13">
      <c r="M222" s="26"/>
    </row>
    <row r="223" spans="13:13">
      <c r="M223" s="26"/>
    </row>
    <row r="224" spans="13:13">
      <c r="M224" s="26"/>
    </row>
    <row r="225" spans="13:13">
      <c r="M225" s="26"/>
    </row>
    <row r="226" spans="13:13">
      <c r="M226" s="26"/>
    </row>
    <row r="227" spans="13:13">
      <c r="M227" s="26"/>
    </row>
    <row r="228" spans="13:13">
      <c r="M228" s="26"/>
    </row>
    <row r="229" spans="13:13">
      <c r="M229" s="26"/>
    </row>
    <row r="230" spans="13:13">
      <c r="M230" s="26"/>
    </row>
    <row r="231" spans="13:13">
      <c r="M231" s="26"/>
    </row>
    <row r="232" spans="13:13">
      <c r="M232" s="71"/>
    </row>
    <row r="233" spans="13:13">
      <c r="M233" s="26"/>
    </row>
    <row r="234" spans="13:13">
      <c r="M234" s="26"/>
    </row>
    <row r="235" spans="13:13">
      <c r="M235" s="26"/>
    </row>
    <row r="236" spans="13:13">
      <c r="M236" s="26"/>
    </row>
    <row r="237" spans="13:13">
      <c r="M237" s="26"/>
    </row>
    <row r="238" spans="13:13">
      <c r="M238" s="26"/>
    </row>
    <row r="239" spans="13:13">
      <c r="M239" s="26"/>
    </row>
    <row r="240" spans="13:13">
      <c r="M240" s="26"/>
    </row>
    <row r="241" spans="13:13">
      <c r="M241" s="26"/>
    </row>
    <row r="242" spans="13:13">
      <c r="M242" s="26"/>
    </row>
    <row r="243" spans="13:13">
      <c r="M243" s="26"/>
    </row>
    <row r="244" spans="13:13">
      <c r="M244" s="26"/>
    </row>
    <row r="245" spans="13:13">
      <c r="M245" s="26"/>
    </row>
    <row r="246" spans="13:13">
      <c r="M246" s="26"/>
    </row>
    <row r="247" spans="13:13">
      <c r="M247" s="26"/>
    </row>
    <row r="248" spans="13:13">
      <c r="M248" s="26"/>
    </row>
    <row r="249" spans="13:13">
      <c r="M249" s="26"/>
    </row>
    <row r="250" spans="13:13">
      <c r="M250" s="26"/>
    </row>
    <row r="251" spans="13:13">
      <c r="M251" s="26"/>
    </row>
    <row r="252" spans="13:13">
      <c r="M252" s="26"/>
    </row>
    <row r="253" spans="13:13">
      <c r="M253" s="26"/>
    </row>
    <row r="254" spans="13:13">
      <c r="M254" s="26"/>
    </row>
    <row r="255" spans="13:13">
      <c r="M255" s="26"/>
    </row>
    <row r="256" spans="13:13">
      <c r="M256" s="26"/>
    </row>
    <row r="257" spans="13:13">
      <c r="M257" s="26"/>
    </row>
    <row r="258" spans="13:13">
      <c r="M258" s="26"/>
    </row>
    <row r="259" spans="13:13">
      <c r="M259" s="26"/>
    </row>
    <row r="260" spans="13:13">
      <c r="M260" s="26"/>
    </row>
    <row r="261" spans="13:13">
      <c r="M261" s="26"/>
    </row>
    <row r="262" spans="13:13">
      <c r="M262" s="26"/>
    </row>
    <row r="263" spans="13:13">
      <c r="M263" s="26"/>
    </row>
    <row r="264" spans="13:13">
      <c r="M264" s="26"/>
    </row>
    <row r="265" spans="13:13">
      <c r="M265" s="26"/>
    </row>
    <row r="266" spans="13:13">
      <c r="M266" s="26"/>
    </row>
    <row r="267" spans="13:13">
      <c r="M267" s="26"/>
    </row>
    <row r="268" spans="13:13">
      <c r="M268" s="26"/>
    </row>
    <row r="269" spans="13:13">
      <c r="M269" s="26"/>
    </row>
    <row r="270" spans="13:13">
      <c r="M270" s="26"/>
    </row>
    <row r="271" spans="13:13">
      <c r="M271" s="26"/>
    </row>
    <row r="272" spans="13:13">
      <c r="M272" s="26"/>
    </row>
    <row r="273" spans="13:13">
      <c r="M273" s="26"/>
    </row>
    <row r="274" spans="13:13">
      <c r="M274" s="26"/>
    </row>
    <row r="275" spans="13:13">
      <c r="M275" s="26"/>
    </row>
    <row r="276" spans="13:13">
      <c r="M276" s="26"/>
    </row>
    <row r="277" spans="13:13">
      <c r="M277" s="26"/>
    </row>
    <row r="278" spans="13:13">
      <c r="M278" s="26"/>
    </row>
    <row r="279" spans="13:13">
      <c r="M279" s="26"/>
    </row>
    <row r="280" spans="13:13">
      <c r="M280" s="26"/>
    </row>
    <row r="281" spans="13:13">
      <c r="M281" s="26"/>
    </row>
    <row r="282" spans="13:13">
      <c r="M282" s="26"/>
    </row>
    <row r="283" spans="13:13">
      <c r="M283" s="26"/>
    </row>
    <row r="284" spans="13:13">
      <c r="M284" s="26"/>
    </row>
    <row r="285" spans="13:13">
      <c r="M285" s="26"/>
    </row>
    <row r="286" spans="13:13">
      <c r="M286" s="26"/>
    </row>
    <row r="287" spans="13:13">
      <c r="M287" s="26"/>
    </row>
    <row r="288" spans="13:13">
      <c r="M288" s="26"/>
    </row>
    <row r="289" spans="13:13">
      <c r="M289" s="26"/>
    </row>
    <row r="290" spans="13:13">
      <c r="M290" s="26"/>
    </row>
    <row r="291" spans="13:13">
      <c r="M291" s="26"/>
    </row>
    <row r="292" spans="13:13">
      <c r="M292" s="26"/>
    </row>
    <row r="293" spans="13:13">
      <c r="M293" s="26"/>
    </row>
    <row r="294" spans="13:13">
      <c r="M294" s="26"/>
    </row>
    <row r="295" spans="13:13">
      <c r="M295" s="26"/>
    </row>
    <row r="296" spans="13:13">
      <c r="M296" s="26"/>
    </row>
    <row r="297" spans="13:13">
      <c r="M297" s="26"/>
    </row>
    <row r="298" spans="13:13">
      <c r="M298" s="26"/>
    </row>
    <row r="299" spans="13:13">
      <c r="M299" s="26"/>
    </row>
    <row r="300" spans="13:13">
      <c r="M300" s="26"/>
    </row>
    <row r="301" spans="13:13">
      <c r="M301" s="26"/>
    </row>
    <row r="302" spans="13:13">
      <c r="M302" s="26"/>
    </row>
    <row r="303" spans="13:13">
      <c r="M303" s="26"/>
    </row>
    <row r="304" spans="13:13">
      <c r="M304" s="26"/>
    </row>
    <row r="305" spans="13:13">
      <c r="M305" s="71"/>
    </row>
    <row r="306" spans="13:13">
      <c r="M306" s="26"/>
    </row>
    <row r="307" spans="13:13">
      <c r="M307" s="26"/>
    </row>
    <row r="308" spans="13:13">
      <c r="M308" s="26"/>
    </row>
    <row r="309" spans="13:13">
      <c r="M309" s="26"/>
    </row>
    <row r="310" spans="13:13">
      <c r="M310" s="26"/>
    </row>
    <row r="311" spans="13:13">
      <c r="M311" s="26"/>
    </row>
    <row r="312" spans="13:13">
      <c r="M312" s="26"/>
    </row>
    <row r="313" spans="13:13">
      <c r="M313" s="26"/>
    </row>
    <row r="314" spans="13:13">
      <c r="M314" s="26"/>
    </row>
    <row r="315" spans="13:13">
      <c r="M315" s="26"/>
    </row>
    <row r="316" spans="13:13">
      <c r="M316" s="26"/>
    </row>
    <row r="317" spans="13:13">
      <c r="M317" s="26"/>
    </row>
    <row r="318" spans="13:13">
      <c r="M318" s="26"/>
    </row>
    <row r="319" spans="13:13">
      <c r="M319" s="26"/>
    </row>
    <row r="320" spans="13:13">
      <c r="M320" s="26"/>
    </row>
    <row r="321" spans="13:13">
      <c r="M321" s="26"/>
    </row>
    <row r="322" spans="13:13">
      <c r="M322" s="26"/>
    </row>
    <row r="323" spans="13:13">
      <c r="M323" s="26"/>
    </row>
    <row r="324" spans="13:13">
      <c r="M324" s="26"/>
    </row>
    <row r="325" spans="13:13">
      <c r="M325" s="26"/>
    </row>
    <row r="326" spans="13:13">
      <c r="M326" s="26"/>
    </row>
    <row r="327" spans="13:13">
      <c r="M327" s="26"/>
    </row>
    <row r="328" spans="13:13">
      <c r="M328" s="26"/>
    </row>
    <row r="329" spans="13:13">
      <c r="M329" s="26"/>
    </row>
    <row r="330" spans="13:13">
      <c r="M330" s="26"/>
    </row>
    <row r="331" spans="13:13">
      <c r="M331" s="26"/>
    </row>
    <row r="332" spans="13:13">
      <c r="M332" s="26"/>
    </row>
    <row r="333" spans="13:13">
      <c r="M333" s="26"/>
    </row>
    <row r="334" spans="13:13">
      <c r="M334" s="26"/>
    </row>
    <row r="335" spans="13:13">
      <c r="M335" s="26"/>
    </row>
    <row r="336" spans="13:13">
      <c r="M336" s="26"/>
    </row>
    <row r="337" spans="13:13">
      <c r="M337" s="71"/>
    </row>
    <row r="338" spans="13:13">
      <c r="M338" s="26"/>
    </row>
    <row r="339" spans="13:13">
      <c r="M339" s="26"/>
    </row>
    <row r="340" spans="13:13">
      <c r="M340" s="26"/>
    </row>
    <row r="341" spans="13:13">
      <c r="M341" s="26"/>
    </row>
    <row r="342" spans="13:13">
      <c r="M342" s="26"/>
    </row>
    <row r="343" spans="13:13">
      <c r="M343" s="26"/>
    </row>
    <row r="344" spans="13:13">
      <c r="M344" s="26"/>
    </row>
    <row r="345" spans="13:13">
      <c r="M345" s="26"/>
    </row>
    <row r="346" spans="13:13">
      <c r="M346" s="26"/>
    </row>
    <row r="347" spans="13:13">
      <c r="M347" s="26"/>
    </row>
    <row r="348" spans="13:13">
      <c r="M348" s="26"/>
    </row>
    <row r="349" spans="13:13">
      <c r="M349" s="26"/>
    </row>
    <row r="350" spans="13:13">
      <c r="M350" s="26"/>
    </row>
    <row r="351" spans="13:13">
      <c r="M351" s="26"/>
    </row>
    <row r="352" spans="13:13">
      <c r="M352" s="26"/>
    </row>
    <row r="353" spans="13:13">
      <c r="M353" s="26"/>
    </row>
    <row r="354" spans="13:13">
      <c r="M354" s="26"/>
    </row>
    <row r="355" spans="13:13">
      <c r="M355" s="26"/>
    </row>
    <row r="356" spans="13:13">
      <c r="M356" s="26"/>
    </row>
    <row r="357" spans="13:13">
      <c r="M357" s="26"/>
    </row>
    <row r="358" spans="13:13">
      <c r="M358" s="26"/>
    </row>
    <row r="359" spans="13:13">
      <c r="M359" s="26"/>
    </row>
    <row r="360" spans="13:13">
      <c r="M360" s="26"/>
    </row>
    <row r="361" spans="13:13">
      <c r="M361" s="26"/>
    </row>
    <row r="362" spans="13:13">
      <c r="M362" s="26"/>
    </row>
    <row r="363" spans="13:13">
      <c r="M363" s="26"/>
    </row>
    <row r="364" spans="13:13">
      <c r="M364" s="26"/>
    </row>
    <row r="365" spans="13:13">
      <c r="M365" s="26"/>
    </row>
    <row r="366" spans="13:13">
      <c r="M366" s="26"/>
    </row>
    <row r="367" spans="13:13">
      <c r="M367" s="26"/>
    </row>
    <row r="368" spans="13:13">
      <c r="M368" s="26"/>
    </row>
    <row r="369" spans="13:13">
      <c r="M369" s="26"/>
    </row>
    <row r="370" spans="13:13">
      <c r="M370" s="26"/>
    </row>
    <row r="371" spans="13:13">
      <c r="M371" s="26"/>
    </row>
    <row r="372" spans="13:13">
      <c r="M372" s="26"/>
    </row>
    <row r="373" spans="13:13">
      <c r="M373" s="26"/>
    </row>
    <row r="374" spans="13:13">
      <c r="M374" s="26"/>
    </row>
    <row r="375" spans="13:13">
      <c r="M375" s="26"/>
    </row>
    <row r="376" spans="13:13">
      <c r="M376" s="26"/>
    </row>
    <row r="377" spans="13:13">
      <c r="M377" s="26"/>
    </row>
    <row r="378" spans="13:13">
      <c r="M378" s="26"/>
    </row>
    <row r="379" spans="13:13">
      <c r="M379" s="71"/>
    </row>
    <row r="380" spans="13:13">
      <c r="M380" s="26"/>
    </row>
    <row r="381" spans="13:13">
      <c r="M381" s="26"/>
    </row>
    <row r="382" spans="13:13">
      <c r="M382" s="26"/>
    </row>
    <row r="383" spans="13:13">
      <c r="M383" s="26"/>
    </row>
    <row r="384" spans="13:13">
      <c r="M384" s="26"/>
    </row>
    <row r="385" spans="13:13">
      <c r="M385" s="26"/>
    </row>
    <row r="386" spans="13:13">
      <c r="M386" s="26"/>
    </row>
    <row r="387" spans="13:13">
      <c r="M387" s="26"/>
    </row>
    <row r="388" spans="13:13">
      <c r="M388" s="26"/>
    </row>
    <row r="389" spans="13:13">
      <c r="M389" s="26"/>
    </row>
    <row r="390" spans="13:13">
      <c r="M390" s="26"/>
    </row>
    <row r="391" spans="13:13">
      <c r="M391" s="26"/>
    </row>
    <row r="392" spans="13:13">
      <c r="M392" s="26"/>
    </row>
    <row r="393" spans="13:13">
      <c r="M393" s="26"/>
    </row>
    <row r="394" spans="13:13">
      <c r="M394" s="26"/>
    </row>
    <row r="395" spans="13:13">
      <c r="M395" s="26"/>
    </row>
    <row r="396" spans="13:13">
      <c r="M396" s="26"/>
    </row>
    <row r="397" spans="13:13">
      <c r="M397" s="26"/>
    </row>
    <row r="398" spans="13:13">
      <c r="M398" s="26"/>
    </row>
    <row r="399" spans="13:13">
      <c r="M399" s="26"/>
    </row>
    <row r="400" spans="13:13">
      <c r="M400" s="26"/>
    </row>
    <row r="401" spans="13:13">
      <c r="M401" s="26"/>
    </row>
    <row r="402" spans="13:13">
      <c r="M402" s="26"/>
    </row>
    <row r="403" spans="13:13">
      <c r="M403" s="26"/>
    </row>
    <row r="404" spans="13:13">
      <c r="M404" s="26"/>
    </row>
    <row r="405" spans="13:13">
      <c r="M405" s="26"/>
    </row>
    <row r="406" spans="13:13">
      <c r="M406" s="26"/>
    </row>
    <row r="407" spans="13:13">
      <c r="M407" s="26"/>
    </row>
    <row r="408" spans="13:13">
      <c r="M408" s="26"/>
    </row>
    <row r="409" spans="13:13">
      <c r="M409" s="26"/>
    </row>
    <row r="410" spans="13:13">
      <c r="M410" s="26"/>
    </row>
    <row r="411" spans="13:13">
      <c r="M411" s="26"/>
    </row>
    <row r="412" spans="13:13">
      <c r="M412" s="26"/>
    </row>
    <row r="413" spans="13:13">
      <c r="M413" s="26"/>
    </row>
    <row r="414" spans="13:13">
      <c r="M414" s="26"/>
    </row>
    <row r="415" spans="13:13">
      <c r="M415" s="26"/>
    </row>
    <row r="416" spans="13:13">
      <c r="M416" s="26"/>
    </row>
    <row r="417" spans="13:13">
      <c r="M417" s="26"/>
    </row>
    <row r="418" spans="13:13">
      <c r="M418" s="26"/>
    </row>
    <row r="419" spans="13:13">
      <c r="M419" s="26"/>
    </row>
    <row r="420" spans="13:13">
      <c r="M420" s="26"/>
    </row>
    <row r="421" spans="13:13">
      <c r="M421" s="26"/>
    </row>
    <row r="422" spans="13:13">
      <c r="M422" s="26"/>
    </row>
    <row r="423" spans="13:13">
      <c r="M423" s="26"/>
    </row>
    <row r="424" spans="13:13">
      <c r="M424" s="26"/>
    </row>
    <row r="425" spans="13:13">
      <c r="M425" s="26"/>
    </row>
    <row r="426" spans="13:13">
      <c r="M426" s="26"/>
    </row>
    <row r="427" spans="13:13">
      <c r="M427" s="26"/>
    </row>
    <row r="428" spans="13:13">
      <c r="M428" s="26"/>
    </row>
    <row r="429" spans="13:13">
      <c r="M429" s="26"/>
    </row>
    <row r="430" spans="13:13">
      <c r="M430" s="26"/>
    </row>
    <row r="431" spans="13:13">
      <c r="M431" s="26"/>
    </row>
    <row r="432" spans="13:13">
      <c r="M432" s="26"/>
    </row>
    <row r="433" spans="13:13">
      <c r="M433" s="26"/>
    </row>
    <row r="434" spans="13:13">
      <c r="M434" s="26"/>
    </row>
    <row r="435" spans="13:13">
      <c r="M435" s="26"/>
    </row>
    <row r="436" spans="13:13">
      <c r="M436" s="26"/>
    </row>
    <row r="437" spans="13:13">
      <c r="M437" s="26"/>
    </row>
    <row r="438" spans="13:13">
      <c r="M438" s="26"/>
    </row>
    <row r="439" spans="13:13">
      <c r="M439" s="26"/>
    </row>
    <row r="440" spans="13:13">
      <c r="M440" s="26"/>
    </row>
    <row r="441" spans="13:13">
      <c r="M441" s="26"/>
    </row>
    <row r="442" spans="13:13">
      <c r="M442" s="26"/>
    </row>
    <row r="443" spans="13:13">
      <c r="M443" s="26"/>
    </row>
    <row r="444" spans="13:13">
      <c r="M444" s="26"/>
    </row>
    <row r="445" spans="13:13">
      <c r="M445" s="26"/>
    </row>
    <row r="446" spans="13:13">
      <c r="M446" s="26"/>
    </row>
    <row r="447" spans="13:13">
      <c r="M447" s="26"/>
    </row>
    <row r="448" spans="13:13">
      <c r="M448" s="26"/>
    </row>
    <row r="449" spans="13:13">
      <c r="M449" s="26"/>
    </row>
    <row r="450" spans="13:13">
      <c r="M450" s="26"/>
    </row>
    <row r="451" spans="13:13">
      <c r="M451" s="26"/>
    </row>
    <row r="452" spans="13:13">
      <c r="M452" s="26"/>
    </row>
    <row r="453" spans="13:13">
      <c r="M453" s="26"/>
    </row>
    <row r="454" spans="13:13">
      <c r="M454" s="26"/>
    </row>
    <row r="455" spans="13:13">
      <c r="M455" s="26"/>
    </row>
    <row r="456" spans="13:13">
      <c r="M456" s="71"/>
    </row>
    <row r="457" spans="13:13">
      <c r="M457" s="26"/>
    </row>
    <row r="458" spans="13:13">
      <c r="M458" s="26"/>
    </row>
    <row r="459" spans="13:13">
      <c r="M459" s="26"/>
    </row>
    <row r="460" spans="13:13">
      <c r="M460" s="26"/>
    </row>
    <row r="461" spans="13:13">
      <c r="M461" s="26"/>
    </row>
    <row r="462" spans="13:13">
      <c r="M462" s="26"/>
    </row>
    <row r="463" spans="13:13">
      <c r="M463" s="26"/>
    </row>
    <row r="464" spans="13:13">
      <c r="M464" s="26"/>
    </row>
    <row r="465" spans="13:13">
      <c r="M465" s="26"/>
    </row>
    <row r="466" spans="13:13">
      <c r="M466" s="26"/>
    </row>
    <row r="467" spans="13:13">
      <c r="M467" s="26"/>
    </row>
    <row r="468" spans="13:13">
      <c r="M468" s="26"/>
    </row>
    <row r="469" spans="13:13">
      <c r="M469" s="26"/>
    </row>
    <row r="470" spans="13:13">
      <c r="M470" s="26"/>
    </row>
    <row r="471" spans="13:13">
      <c r="M471" s="26"/>
    </row>
    <row r="472" spans="13:13">
      <c r="M472" s="26"/>
    </row>
    <row r="473" spans="13:13">
      <c r="M473" s="26"/>
    </row>
    <row r="474" spans="13:13">
      <c r="M474" s="26"/>
    </row>
    <row r="475" spans="13:13">
      <c r="M475" s="26"/>
    </row>
    <row r="476" spans="13:13">
      <c r="M476" s="26"/>
    </row>
    <row r="477" spans="13:13">
      <c r="M477" s="26"/>
    </row>
    <row r="478" spans="13:13">
      <c r="M478" s="26"/>
    </row>
    <row r="479" spans="13:13">
      <c r="M479" s="26"/>
    </row>
    <row r="480" spans="13:13">
      <c r="M480" s="26"/>
    </row>
    <row r="481" spans="13:13">
      <c r="M481" s="26"/>
    </row>
    <row r="482" spans="13:13">
      <c r="M482" s="26"/>
    </row>
    <row r="483" spans="13:13">
      <c r="M483" s="26"/>
    </row>
    <row r="484" spans="13:13">
      <c r="M484" s="26"/>
    </row>
    <row r="485" spans="13:13">
      <c r="M485" s="26"/>
    </row>
    <row r="486" spans="13:13">
      <c r="M486" s="26"/>
    </row>
    <row r="487" spans="13:13">
      <c r="M487" s="26"/>
    </row>
    <row r="488" spans="13:13">
      <c r="M488" s="26"/>
    </row>
    <row r="489" spans="13:13">
      <c r="M489" s="26"/>
    </row>
    <row r="490" spans="13:13">
      <c r="M490" s="26"/>
    </row>
    <row r="491" spans="13:13">
      <c r="M491" s="26"/>
    </row>
    <row r="492" spans="13:13">
      <c r="M492" s="26"/>
    </row>
    <row r="493" spans="13:13">
      <c r="M493" s="26"/>
    </row>
    <row r="494" spans="13:13">
      <c r="M494" s="26"/>
    </row>
    <row r="495" spans="13:13">
      <c r="M495" s="26"/>
    </row>
    <row r="496" spans="13:13">
      <c r="M496" s="26"/>
    </row>
    <row r="497" spans="13:13">
      <c r="M497" s="26"/>
    </row>
    <row r="498" spans="13:13">
      <c r="M498" s="26"/>
    </row>
    <row r="499" spans="13:13">
      <c r="M499" s="26"/>
    </row>
    <row r="500" spans="13:13">
      <c r="M500" s="26"/>
    </row>
    <row r="501" spans="13:13">
      <c r="M501" s="26"/>
    </row>
    <row r="502" spans="13:13">
      <c r="M502" s="26"/>
    </row>
    <row r="503" spans="13:13">
      <c r="M503" s="26"/>
    </row>
    <row r="504" spans="13:13">
      <c r="M504" s="26"/>
    </row>
    <row r="505" spans="13:13">
      <c r="M505" s="26"/>
    </row>
    <row r="506" spans="13:13">
      <c r="M506" s="26"/>
    </row>
    <row r="507" spans="13:13">
      <c r="M507" s="26"/>
    </row>
    <row r="508" spans="13:13">
      <c r="M508" s="26"/>
    </row>
    <row r="509" spans="13:13">
      <c r="M509" s="26"/>
    </row>
    <row r="510" spans="13:13">
      <c r="M510" s="26"/>
    </row>
    <row r="511" spans="13:13">
      <c r="M511" s="26"/>
    </row>
    <row r="512" spans="13:13">
      <c r="M512" s="26"/>
    </row>
    <row r="513" spans="13:13">
      <c r="M513" s="26"/>
    </row>
    <row r="514" spans="13:13">
      <c r="M514" s="26"/>
    </row>
    <row r="515" spans="13:13">
      <c r="M515" s="26"/>
    </row>
    <row r="516" spans="13:13">
      <c r="M516" s="26"/>
    </row>
    <row r="517" spans="13:13">
      <c r="M517" s="26"/>
    </row>
    <row r="518" spans="13:13">
      <c r="M518" s="26"/>
    </row>
    <row r="519" spans="13:13">
      <c r="M519" s="26"/>
    </row>
    <row r="520" spans="13:13">
      <c r="M520" s="26"/>
    </row>
    <row r="521" spans="13:13">
      <c r="M521" s="26"/>
    </row>
    <row r="522" spans="13:13">
      <c r="M522" s="26"/>
    </row>
    <row r="523" spans="13:13">
      <c r="M523" s="26"/>
    </row>
    <row r="524" spans="13:13">
      <c r="M524" s="71"/>
    </row>
    <row r="525" spans="13:13">
      <c r="M525" s="26"/>
    </row>
    <row r="526" spans="13:13">
      <c r="M526" s="26"/>
    </row>
    <row r="527" spans="13:13">
      <c r="M527" s="26"/>
    </row>
    <row r="528" spans="13:13">
      <c r="M528" s="26"/>
    </row>
    <row r="529" spans="13:13">
      <c r="M529" s="26"/>
    </row>
    <row r="530" spans="13:13">
      <c r="M530" s="26"/>
    </row>
    <row r="531" spans="13:13">
      <c r="M531" s="26"/>
    </row>
    <row r="532" spans="13:13">
      <c r="M532" s="26"/>
    </row>
    <row r="533" spans="13:13">
      <c r="M533" s="26"/>
    </row>
    <row r="534" spans="13:13">
      <c r="M534" s="26"/>
    </row>
    <row r="535" spans="13:13">
      <c r="M535" s="26"/>
    </row>
    <row r="536" spans="13:13">
      <c r="M536" s="26"/>
    </row>
    <row r="537" spans="13:13">
      <c r="M537" s="26"/>
    </row>
    <row r="538" spans="13:13">
      <c r="M538" s="26"/>
    </row>
    <row r="539" spans="13:13">
      <c r="M539" s="26"/>
    </row>
    <row r="540" spans="13:13">
      <c r="M540" s="26"/>
    </row>
    <row r="541" spans="13:13">
      <c r="M541" s="26"/>
    </row>
    <row r="542" spans="13:13">
      <c r="M542" s="26"/>
    </row>
    <row r="543" spans="13:13">
      <c r="M543" s="26"/>
    </row>
    <row r="544" spans="13:13">
      <c r="M544" s="26"/>
    </row>
    <row r="545" spans="13:13">
      <c r="M545" s="26"/>
    </row>
    <row r="546" spans="13:13">
      <c r="M546" s="26"/>
    </row>
    <row r="547" spans="13:13">
      <c r="M547" s="26"/>
    </row>
    <row r="548" spans="13:13">
      <c r="M548" s="26"/>
    </row>
    <row r="549" spans="13:13">
      <c r="M549" s="26"/>
    </row>
    <row r="550" spans="13:13">
      <c r="M550" s="26"/>
    </row>
    <row r="551" spans="13:13">
      <c r="M551" s="26"/>
    </row>
    <row r="552" spans="13:13">
      <c r="M552" s="26"/>
    </row>
    <row r="553" spans="13:13">
      <c r="M553" s="26"/>
    </row>
    <row r="554" spans="13:13">
      <c r="M554" s="26"/>
    </row>
    <row r="555" spans="13:13">
      <c r="M555" s="26"/>
    </row>
    <row r="556" spans="13:13">
      <c r="M556" s="26"/>
    </row>
    <row r="557" spans="13:13">
      <c r="M557" s="26"/>
    </row>
    <row r="558" spans="13:13">
      <c r="M558" s="26"/>
    </row>
    <row r="559" spans="13:13">
      <c r="M559" s="26"/>
    </row>
    <row r="560" spans="13:13">
      <c r="M560" s="26"/>
    </row>
    <row r="561" spans="13:13">
      <c r="M561" s="26"/>
    </row>
    <row r="562" spans="13:13">
      <c r="M562" s="26"/>
    </row>
    <row r="563" spans="13:13">
      <c r="M563" s="26"/>
    </row>
    <row r="564" spans="13:13">
      <c r="M564" s="26"/>
    </row>
    <row r="565" spans="13:13">
      <c r="M565" s="26"/>
    </row>
    <row r="566" spans="13:13">
      <c r="M566" s="26"/>
    </row>
    <row r="567" spans="13:13">
      <c r="M567" s="26"/>
    </row>
    <row r="568" spans="13:13">
      <c r="M568" s="26"/>
    </row>
    <row r="569" spans="13:13">
      <c r="M569" s="26"/>
    </row>
    <row r="570" spans="13:13">
      <c r="M570" s="26"/>
    </row>
    <row r="571" spans="13:13">
      <c r="M571" s="26"/>
    </row>
    <row r="572" spans="13:13">
      <c r="M572" s="26"/>
    </row>
    <row r="573" spans="13:13">
      <c r="M573" s="26"/>
    </row>
    <row r="574" spans="13:13">
      <c r="M574" s="26"/>
    </row>
    <row r="575" spans="13:13">
      <c r="M575" s="26"/>
    </row>
    <row r="576" spans="13:13">
      <c r="M576" s="26"/>
    </row>
    <row r="577" spans="13:13">
      <c r="M577" s="26"/>
    </row>
    <row r="578" spans="13:13">
      <c r="M578" s="26"/>
    </row>
    <row r="579" spans="13:13">
      <c r="M579" s="26"/>
    </row>
    <row r="580" spans="13:13">
      <c r="M580" s="26"/>
    </row>
    <row r="581" spans="13:13">
      <c r="M581" s="26"/>
    </row>
    <row r="582" spans="13:13">
      <c r="M582" s="26"/>
    </row>
    <row r="583" spans="13:13">
      <c r="M583" s="26"/>
    </row>
    <row r="584" spans="13:13">
      <c r="M584" s="26"/>
    </row>
    <row r="585" spans="13:13">
      <c r="M585" s="26"/>
    </row>
    <row r="586" spans="13:13">
      <c r="M586" s="26"/>
    </row>
    <row r="587" spans="13:13">
      <c r="M587" s="26"/>
    </row>
    <row r="588" spans="13:13">
      <c r="M588" s="26"/>
    </row>
    <row r="589" spans="13:13">
      <c r="M589" s="26"/>
    </row>
    <row r="590" spans="13:13">
      <c r="M590" s="26"/>
    </row>
    <row r="591" spans="13:13">
      <c r="M591" s="26"/>
    </row>
    <row r="592" spans="13:13">
      <c r="M592" s="26"/>
    </row>
    <row r="593" spans="13:13">
      <c r="M593" s="26"/>
    </row>
    <row r="594" spans="13:13">
      <c r="M594" s="26"/>
    </row>
    <row r="595" spans="13:13">
      <c r="M595" s="26"/>
    </row>
    <row r="596" spans="13:13">
      <c r="M596" s="71"/>
    </row>
    <row r="597" spans="13:13">
      <c r="M597" s="26"/>
    </row>
    <row r="598" spans="13:13">
      <c r="M598" s="26"/>
    </row>
    <row r="599" spans="13:13">
      <c r="M599" s="26"/>
    </row>
    <row r="600" spans="13:13">
      <c r="M600" s="26"/>
    </row>
    <row r="601" spans="13:13">
      <c r="M601" s="26"/>
    </row>
    <row r="602" spans="13:13">
      <c r="M602" s="26"/>
    </row>
    <row r="603" spans="13:13">
      <c r="M603" s="26"/>
    </row>
    <row r="604" spans="13:13">
      <c r="M604" s="26"/>
    </row>
    <row r="605" spans="13:13">
      <c r="M605" s="26"/>
    </row>
    <row r="606" spans="13:13">
      <c r="M606" s="26"/>
    </row>
    <row r="607" spans="13:13">
      <c r="M607" s="26"/>
    </row>
    <row r="608" spans="13:13">
      <c r="M608" s="26"/>
    </row>
    <row r="609" spans="13:13">
      <c r="M609" s="26"/>
    </row>
    <row r="610" spans="13:13">
      <c r="M610" s="26"/>
    </row>
    <row r="611" spans="13:13">
      <c r="M611" s="26"/>
    </row>
    <row r="612" spans="13:13">
      <c r="M612" s="26"/>
    </row>
    <row r="613" spans="13:13">
      <c r="M613" s="26"/>
    </row>
    <row r="614" spans="13:13">
      <c r="M614" s="26"/>
    </row>
    <row r="615" spans="13:13">
      <c r="M615" s="26"/>
    </row>
    <row r="616" spans="13:13">
      <c r="M616" s="26"/>
    </row>
    <row r="617" spans="13:13">
      <c r="M617" s="26"/>
    </row>
    <row r="618" spans="13:13">
      <c r="M618" s="26"/>
    </row>
    <row r="619" spans="13:13">
      <c r="M619" s="26"/>
    </row>
    <row r="620" spans="13:13">
      <c r="M620" s="26"/>
    </row>
    <row r="621" spans="13:13">
      <c r="M621" s="26"/>
    </row>
    <row r="622" spans="13:13">
      <c r="M622" s="26"/>
    </row>
    <row r="623" spans="13:13">
      <c r="M623" s="27"/>
    </row>
    <row r="624" spans="13:13">
      <c r="M624" s="26"/>
    </row>
    <row r="625" spans="13:13">
      <c r="M625" s="26"/>
    </row>
    <row r="626" spans="13:13">
      <c r="M626" s="26"/>
    </row>
    <row r="627" spans="13:13">
      <c r="M627" s="26"/>
    </row>
    <row r="628" spans="13:13">
      <c r="M628" s="26"/>
    </row>
    <row r="629" spans="13:13">
      <c r="M629" s="26"/>
    </row>
    <row r="630" spans="13:13">
      <c r="M630" s="26"/>
    </row>
    <row r="631" spans="13:13">
      <c r="M631" s="26"/>
    </row>
    <row r="632" spans="13:13">
      <c r="M632" s="26"/>
    </row>
    <row r="633" spans="13:13">
      <c r="M633" s="26"/>
    </row>
    <row r="634" spans="13:13">
      <c r="M634" s="26"/>
    </row>
    <row r="635" spans="13:13">
      <c r="M635" s="26"/>
    </row>
    <row r="636" spans="13:13">
      <c r="M636" s="26"/>
    </row>
    <row r="637" spans="13:13">
      <c r="M637" s="26"/>
    </row>
    <row r="638" spans="13:13">
      <c r="M638" s="26"/>
    </row>
    <row r="639" spans="13:13">
      <c r="M639" s="26"/>
    </row>
    <row r="640" spans="13:13">
      <c r="M640" s="26"/>
    </row>
    <row r="641" spans="13:13">
      <c r="M641" s="26"/>
    </row>
    <row r="642" spans="13:13">
      <c r="M642" s="26"/>
    </row>
    <row r="643" spans="13:13">
      <c r="M643" s="26"/>
    </row>
    <row r="644" spans="13:13">
      <c r="M644" s="26"/>
    </row>
    <row r="645" spans="13:13">
      <c r="M645" s="26"/>
    </row>
    <row r="646" spans="13:13">
      <c r="M646" s="26"/>
    </row>
    <row r="647" spans="13:13">
      <c r="M647" s="26"/>
    </row>
    <row r="648" spans="13:13">
      <c r="M648" s="26"/>
    </row>
    <row r="649" spans="13:13">
      <c r="M649" s="26"/>
    </row>
    <row r="650" spans="13:13">
      <c r="M650" s="26"/>
    </row>
    <row r="651" spans="13:13">
      <c r="M651" s="26"/>
    </row>
    <row r="652" spans="13:13">
      <c r="M652" s="26"/>
    </row>
    <row r="653" spans="13:13">
      <c r="M653" s="26"/>
    </row>
    <row r="654" spans="13:13">
      <c r="M654" s="26"/>
    </row>
    <row r="655" spans="13:13">
      <c r="M655" s="26"/>
    </row>
    <row r="656" spans="13:13">
      <c r="M656" s="26"/>
    </row>
    <row r="657" spans="13:13">
      <c r="M657" s="26"/>
    </row>
    <row r="658" spans="13:13">
      <c r="M658" s="26"/>
    </row>
    <row r="659" spans="13:13">
      <c r="M659" s="26"/>
    </row>
    <row r="660" spans="13:13">
      <c r="M660" s="26"/>
    </row>
    <row r="661" spans="13:13">
      <c r="M661" s="26"/>
    </row>
    <row r="662" spans="13:13">
      <c r="M662" s="26"/>
    </row>
    <row r="663" spans="13:13">
      <c r="M663" s="26"/>
    </row>
    <row r="664" spans="13:13">
      <c r="M664" s="26"/>
    </row>
    <row r="665" spans="13:13">
      <c r="M665" s="26"/>
    </row>
    <row r="666" spans="13:13">
      <c r="M666" s="26"/>
    </row>
    <row r="667" spans="13:13">
      <c r="M667" s="26"/>
    </row>
    <row r="668" spans="13:13">
      <c r="M668" s="26"/>
    </row>
    <row r="669" spans="13:13">
      <c r="M669" s="26"/>
    </row>
    <row r="670" spans="13:13">
      <c r="M670" s="26"/>
    </row>
    <row r="671" spans="13:13">
      <c r="M671" s="26"/>
    </row>
    <row r="672" spans="13:13">
      <c r="M672" s="26"/>
    </row>
    <row r="673" spans="13:13">
      <c r="M673" s="26"/>
    </row>
    <row r="674" spans="13:13">
      <c r="M674" s="26"/>
    </row>
    <row r="675" spans="13:13">
      <c r="M675" s="26"/>
    </row>
    <row r="676" spans="13:13">
      <c r="M676" s="26"/>
    </row>
    <row r="677" spans="13:13">
      <c r="M677" s="26"/>
    </row>
    <row r="678" spans="13:13">
      <c r="M678" s="26"/>
    </row>
    <row r="679" spans="13:13">
      <c r="M679" s="26"/>
    </row>
    <row r="680" spans="13:13">
      <c r="M680" s="26"/>
    </row>
    <row r="681" spans="13:13">
      <c r="M681" s="26"/>
    </row>
    <row r="682" spans="13:13">
      <c r="M682" s="26"/>
    </row>
    <row r="683" spans="13:13">
      <c r="M683" s="26"/>
    </row>
    <row r="684" spans="13:13">
      <c r="M684" s="26"/>
    </row>
    <row r="685" spans="13:13">
      <c r="M685" s="26"/>
    </row>
    <row r="686" spans="13:13">
      <c r="M686" s="26"/>
    </row>
    <row r="687" spans="13:13">
      <c r="M687" s="26"/>
    </row>
    <row r="688" spans="13:13">
      <c r="M688" s="26"/>
    </row>
    <row r="689" spans="13:13">
      <c r="M689" s="26"/>
    </row>
    <row r="690" spans="13:13">
      <c r="M690" s="26"/>
    </row>
    <row r="691" spans="13:13">
      <c r="M691" s="26"/>
    </row>
    <row r="692" spans="13:13">
      <c r="M692" s="26"/>
    </row>
    <row r="693" spans="13:13">
      <c r="M693" s="26"/>
    </row>
    <row r="694" spans="13:13">
      <c r="M694" s="26"/>
    </row>
    <row r="695" spans="13:13">
      <c r="M695" s="26"/>
    </row>
    <row r="696" spans="13:13">
      <c r="M696" s="26"/>
    </row>
    <row r="697" spans="13:13">
      <c r="M697" s="26"/>
    </row>
    <row r="698" spans="13:13">
      <c r="M698" s="26"/>
    </row>
    <row r="699" spans="13:13">
      <c r="M699" s="26"/>
    </row>
    <row r="700" spans="13:13">
      <c r="M700" s="26"/>
    </row>
    <row r="701" spans="13:13">
      <c r="M701" s="26"/>
    </row>
    <row r="702" spans="13:13">
      <c r="M702" s="26"/>
    </row>
    <row r="703" spans="13:13">
      <c r="M703" s="26"/>
    </row>
    <row r="704" spans="13:13">
      <c r="M704" s="26"/>
    </row>
    <row r="705" spans="13:13">
      <c r="M705" s="26"/>
    </row>
    <row r="706" spans="13:13">
      <c r="M706" s="26"/>
    </row>
    <row r="707" spans="13:13">
      <c r="M707" s="26"/>
    </row>
    <row r="708" spans="13:13">
      <c r="M708" s="26"/>
    </row>
    <row r="709" spans="13:13">
      <c r="M709" s="26"/>
    </row>
    <row r="710" spans="13:13">
      <c r="M710" s="26"/>
    </row>
    <row r="711" spans="13:13">
      <c r="M711" s="26"/>
    </row>
    <row r="712" spans="13:13">
      <c r="M712" s="26"/>
    </row>
    <row r="713" spans="13:13">
      <c r="M713" s="26"/>
    </row>
    <row r="714" spans="13:13">
      <c r="M714" s="26"/>
    </row>
    <row r="715" spans="13:13">
      <c r="M715" s="26"/>
    </row>
    <row r="716" spans="13:13">
      <c r="M716" s="26"/>
    </row>
    <row r="717" spans="13:13">
      <c r="M717" s="26"/>
    </row>
    <row r="718" spans="13:13">
      <c r="M718" s="26"/>
    </row>
    <row r="719" spans="13:13">
      <c r="M719" s="26"/>
    </row>
    <row r="720" spans="13:13">
      <c r="M720" s="26"/>
    </row>
    <row r="721" spans="13:13">
      <c r="M721" s="26"/>
    </row>
    <row r="722" spans="13:13">
      <c r="M722" s="26"/>
    </row>
    <row r="723" spans="13:13">
      <c r="M723" s="26"/>
    </row>
    <row r="724" spans="13:13">
      <c r="M724" s="26"/>
    </row>
    <row r="725" spans="13:13">
      <c r="M725" s="26"/>
    </row>
    <row r="726" spans="13:13">
      <c r="M726" s="26"/>
    </row>
    <row r="727" spans="13:13">
      <c r="M727" s="26"/>
    </row>
    <row r="728" spans="13:13">
      <c r="M728" s="26"/>
    </row>
    <row r="729" spans="13:13">
      <c r="M729" s="26"/>
    </row>
    <row r="730" spans="13:13">
      <c r="M730" s="26"/>
    </row>
    <row r="731" spans="13:13">
      <c r="M731" s="26"/>
    </row>
    <row r="732" spans="13:13">
      <c r="M732" s="26"/>
    </row>
    <row r="733" spans="13:13">
      <c r="M733" s="26"/>
    </row>
    <row r="734" spans="13:13">
      <c r="M734" s="26"/>
    </row>
    <row r="735" spans="13:13">
      <c r="M735" s="26"/>
    </row>
    <row r="736" spans="13:13">
      <c r="M736" s="26"/>
    </row>
    <row r="737" spans="13:13">
      <c r="M737" s="26"/>
    </row>
    <row r="738" spans="13:13">
      <c r="M738" s="26"/>
    </row>
    <row r="739" spans="13:13">
      <c r="M739" s="26"/>
    </row>
    <row r="740" spans="13:13">
      <c r="M740" s="26"/>
    </row>
    <row r="741" spans="13:13">
      <c r="M741" s="26"/>
    </row>
    <row r="742" spans="13:13">
      <c r="M742" s="26"/>
    </row>
    <row r="743" spans="13:13">
      <c r="M743" s="26"/>
    </row>
    <row r="744" spans="13:13">
      <c r="M744" s="26"/>
    </row>
    <row r="745" spans="13:13">
      <c r="M745" s="26"/>
    </row>
    <row r="746" spans="13:13">
      <c r="M746" s="26"/>
    </row>
    <row r="747" spans="13:13">
      <c r="M747" s="26"/>
    </row>
    <row r="748" spans="13:13">
      <c r="M748" s="26"/>
    </row>
    <row r="749" spans="13:13">
      <c r="M749" s="26"/>
    </row>
    <row r="750" spans="13:13">
      <c r="M750" s="26"/>
    </row>
    <row r="751" spans="13:13">
      <c r="M751" s="26"/>
    </row>
    <row r="752" spans="13:13">
      <c r="M752" s="26"/>
    </row>
    <row r="753" spans="13:13">
      <c r="M753" s="26"/>
    </row>
    <row r="754" spans="13:13">
      <c r="M754" s="26"/>
    </row>
    <row r="755" spans="13:13">
      <c r="M755" s="26"/>
    </row>
    <row r="756" spans="13:13">
      <c r="M756" s="26"/>
    </row>
    <row r="757" spans="13:13">
      <c r="M757" s="26"/>
    </row>
    <row r="758" spans="13:13">
      <c r="M758" s="26"/>
    </row>
    <row r="759" spans="13:13">
      <c r="M759" s="26"/>
    </row>
    <row r="760" spans="13:13">
      <c r="M760" s="26"/>
    </row>
    <row r="761" spans="13:13">
      <c r="M761" s="26"/>
    </row>
    <row r="762" spans="13:13">
      <c r="M762" s="26"/>
    </row>
    <row r="763" spans="13:13">
      <c r="M763" s="26"/>
    </row>
    <row r="764" spans="13:13">
      <c r="M764" s="26"/>
    </row>
    <row r="765" spans="13:13">
      <c r="M765" s="26"/>
    </row>
    <row r="766" spans="13:13">
      <c r="M766" s="26"/>
    </row>
    <row r="767" spans="13:13">
      <c r="M767" s="26"/>
    </row>
    <row r="768" spans="13:13">
      <c r="M768" s="26"/>
    </row>
    <row r="769" spans="13:13">
      <c r="M769" s="26"/>
    </row>
    <row r="770" spans="13:13">
      <c r="M770" s="26"/>
    </row>
    <row r="771" spans="13:13">
      <c r="M771" s="26"/>
    </row>
    <row r="772" spans="13:13">
      <c r="M772" s="26"/>
    </row>
    <row r="773" spans="13:13">
      <c r="M773" s="26"/>
    </row>
    <row r="774" spans="13:13">
      <c r="M774" s="26"/>
    </row>
    <row r="775" spans="13:13">
      <c r="M775" s="26"/>
    </row>
    <row r="776" spans="13:13">
      <c r="M776" s="26"/>
    </row>
    <row r="777" spans="13:13">
      <c r="M777" s="26"/>
    </row>
    <row r="778" spans="13:13">
      <c r="M778" s="26"/>
    </row>
    <row r="779" spans="13:13">
      <c r="M779" s="26"/>
    </row>
    <row r="780" spans="13:13">
      <c r="M780" s="26"/>
    </row>
    <row r="781" spans="13:13">
      <c r="M781" s="26"/>
    </row>
    <row r="782" spans="13:13">
      <c r="M782" s="26"/>
    </row>
    <row r="783" spans="13:13">
      <c r="M783" s="26"/>
    </row>
    <row r="784" spans="13:13">
      <c r="M784" s="26"/>
    </row>
    <row r="785" spans="13:13">
      <c r="M785" s="26"/>
    </row>
    <row r="786" spans="13:13">
      <c r="M786" s="26"/>
    </row>
    <row r="787" spans="13:13">
      <c r="M787" s="26"/>
    </row>
    <row r="788" spans="13:13">
      <c r="M788" s="26"/>
    </row>
    <row r="789" spans="13:13">
      <c r="M789" s="26"/>
    </row>
    <row r="790" spans="13:13">
      <c r="M790" s="26"/>
    </row>
    <row r="791" spans="13:13">
      <c r="M791" s="26"/>
    </row>
    <row r="792" spans="13:13">
      <c r="M792" s="26"/>
    </row>
    <row r="793" spans="13:13">
      <c r="M793" s="26"/>
    </row>
    <row r="794" spans="13:13">
      <c r="M794" s="26"/>
    </row>
    <row r="795" spans="13:13">
      <c r="M795" s="26"/>
    </row>
    <row r="796" spans="13:13">
      <c r="M796" s="26"/>
    </row>
    <row r="797" spans="13:13">
      <c r="M797" s="26"/>
    </row>
    <row r="798" spans="13:13">
      <c r="M798" s="26"/>
    </row>
    <row r="799" spans="13:13">
      <c r="M799" s="26"/>
    </row>
    <row r="800" spans="13:13">
      <c r="M800" s="26"/>
    </row>
    <row r="801" spans="13:13">
      <c r="M801" s="26"/>
    </row>
    <row r="802" spans="13:13">
      <c r="M802" s="26"/>
    </row>
    <row r="803" spans="13:13">
      <c r="M803" s="26"/>
    </row>
    <row r="804" spans="13:13">
      <c r="M804" s="26"/>
    </row>
    <row r="805" spans="13:13">
      <c r="M805" s="26"/>
    </row>
    <row r="806" spans="13:13">
      <c r="M806" s="26"/>
    </row>
    <row r="807" spans="13:13">
      <c r="M807" s="26"/>
    </row>
    <row r="808" spans="13:13">
      <c r="M808" s="26"/>
    </row>
    <row r="809" spans="13:13">
      <c r="M809" s="26"/>
    </row>
    <row r="810" spans="13:13">
      <c r="M810" s="26"/>
    </row>
    <row r="811" spans="13:13">
      <c r="M811" s="26"/>
    </row>
    <row r="812" spans="13:13">
      <c r="M812" s="26"/>
    </row>
    <row r="813" spans="13:13">
      <c r="M813" s="26"/>
    </row>
    <row r="814" spans="13:13">
      <c r="M814" s="26"/>
    </row>
    <row r="815" spans="13:13">
      <c r="M815" s="26"/>
    </row>
    <row r="816" spans="13:13">
      <c r="M816" s="26"/>
    </row>
    <row r="817" spans="13:13">
      <c r="M817" s="26"/>
    </row>
    <row r="818" spans="13:13">
      <c r="M818" s="26"/>
    </row>
    <row r="819" spans="13:13">
      <c r="M819" s="26"/>
    </row>
    <row r="820" spans="13:13">
      <c r="M820" s="26"/>
    </row>
    <row r="821" spans="13:13">
      <c r="M821" s="26"/>
    </row>
    <row r="822" spans="13:13">
      <c r="M822" s="26"/>
    </row>
    <row r="823" spans="13:13">
      <c r="M823" s="26"/>
    </row>
    <row r="824" spans="13:13">
      <c r="M824" s="26"/>
    </row>
    <row r="825" spans="13:13">
      <c r="M825" s="26"/>
    </row>
    <row r="826" spans="13:13">
      <c r="M826" s="26"/>
    </row>
    <row r="827" spans="13:13">
      <c r="M827" s="26"/>
    </row>
    <row r="828" spans="13:13">
      <c r="M828" s="26"/>
    </row>
    <row r="829" spans="13:13">
      <c r="M829" s="26"/>
    </row>
    <row r="830" spans="13:13">
      <c r="M830" s="26"/>
    </row>
    <row r="831" spans="13:13">
      <c r="M831" s="26"/>
    </row>
    <row r="832" spans="13:13">
      <c r="M832" s="26"/>
    </row>
    <row r="833" spans="13:13">
      <c r="M833" s="26"/>
    </row>
    <row r="834" spans="13:13">
      <c r="M834" s="26"/>
    </row>
    <row r="835" spans="13:13">
      <c r="M835" s="26"/>
    </row>
    <row r="836" spans="13:13">
      <c r="M836" s="26"/>
    </row>
    <row r="837" spans="13:13">
      <c r="M837" s="26"/>
    </row>
    <row r="838" spans="13:13">
      <c r="M838" s="26"/>
    </row>
    <row r="839" spans="13:13">
      <c r="M839" s="26"/>
    </row>
    <row r="840" spans="13:13">
      <c r="M840" s="26"/>
    </row>
    <row r="841" spans="13:13">
      <c r="M841" s="26"/>
    </row>
    <row r="842" spans="13:13">
      <c r="M842" s="26"/>
    </row>
    <row r="843" spans="13:13">
      <c r="M843" s="26"/>
    </row>
    <row r="844" spans="13:13">
      <c r="M844" s="26"/>
    </row>
    <row r="845" spans="13:13">
      <c r="M845" s="26"/>
    </row>
    <row r="846" spans="13:13">
      <c r="M846" s="26"/>
    </row>
    <row r="847" spans="13:13">
      <c r="M847" s="26"/>
    </row>
    <row r="848" spans="13:13">
      <c r="M848" s="26"/>
    </row>
    <row r="849" spans="13:13">
      <c r="M849" s="26"/>
    </row>
    <row r="850" spans="13:13">
      <c r="M850" s="26"/>
    </row>
    <row r="851" spans="13:13">
      <c r="M851" s="26"/>
    </row>
    <row r="852" spans="13:13">
      <c r="M852" s="26"/>
    </row>
    <row r="853" spans="13:13">
      <c r="M853" s="26"/>
    </row>
    <row r="854" spans="13:13">
      <c r="M854" s="26"/>
    </row>
    <row r="855" spans="13:13">
      <c r="M855" s="26"/>
    </row>
    <row r="856" spans="13:13">
      <c r="M856" s="26"/>
    </row>
    <row r="857" spans="13:13">
      <c r="M857" s="26"/>
    </row>
    <row r="858" spans="13:13">
      <c r="M858" s="26"/>
    </row>
    <row r="859" spans="13:13">
      <c r="M859" s="26"/>
    </row>
    <row r="860" spans="13:13">
      <c r="M860" s="26"/>
    </row>
    <row r="861" spans="13:13">
      <c r="M861" s="26"/>
    </row>
    <row r="862" spans="13:13">
      <c r="M862" s="26"/>
    </row>
    <row r="863" spans="13:13">
      <c r="M863" s="26"/>
    </row>
    <row r="864" spans="13:13">
      <c r="M864" s="26"/>
    </row>
    <row r="865" spans="13:13">
      <c r="M865" s="26"/>
    </row>
    <row r="866" spans="13:13">
      <c r="M866" s="26"/>
    </row>
    <row r="867" spans="13:13">
      <c r="M867" s="26"/>
    </row>
    <row r="868" spans="13:13">
      <c r="M868" s="26"/>
    </row>
    <row r="869" spans="13:13">
      <c r="M869" s="26"/>
    </row>
    <row r="870" spans="13:13">
      <c r="M870" s="26"/>
    </row>
    <row r="871" spans="13:13">
      <c r="M871" s="26"/>
    </row>
    <row r="872" spans="13:13">
      <c r="M872" s="26"/>
    </row>
    <row r="873" spans="13:13">
      <c r="M873" s="26"/>
    </row>
    <row r="874" spans="13:13">
      <c r="M874" s="26"/>
    </row>
    <row r="875" spans="13:13">
      <c r="M875" s="26"/>
    </row>
    <row r="876" spans="13:13">
      <c r="M876" s="26"/>
    </row>
    <row r="877" spans="13:13">
      <c r="M877" s="26"/>
    </row>
    <row r="878" spans="13:13">
      <c r="M878" s="26"/>
    </row>
    <row r="879" spans="13:13">
      <c r="M879" s="26"/>
    </row>
    <row r="880" spans="13:13">
      <c r="M880" s="26"/>
    </row>
    <row r="881" spans="13:13">
      <c r="M881" s="26"/>
    </row>
    <row r="882" spans="13:13">
      <c r="M882" s="26"/>
    </row>
    <row r="883" spans="13:13">
      <c r="M883" s="26"/>
    </row>
    <row r="884" spans="13:13">
      <c r="M884" s="26"/>
    </row>
    <row r="885" spans="13:13">
      <c r="M885" s="26"/>
    </row>
    <row r="886" spans="13:13">
      <c r="M886" s="26"/>
    </row>
    <row r="887" spans="13:13">
      <c r="M887" s="26"/>
    </row>
    <row r="888" spans="13:13">
      <c r="M888" s="26"/>
    </row>
    <row r="889" spans="13:13">
      <c r="M889" s="26"/>
    </row>
    <row r="890" spans="13:13">
      <c r="M890" s="26"/>
    </row>
    <row r="891" spans="13:13">
      <c r="M891" s="26"/>
    </row>
    <row r="892" spans="13:13">
      <c r="M892" s="26"/>
    </row>
    <row r="893" spans="13:13">
      <c r="M893" s="26"/>
    </row>
    <row r="894" spans="13:13">
      <c r="M894" s="26"/>
    </row>
    <row r="895" spans="13:13">
      <c r="M895" s="26"/>
    </row>
    <row r="896" spans="13:13">
      <c r="M896" s="26"/>
    </row>
    <row r="897" spans="13:13">
      <c r="M897" s="26"/>
    </row>
    <row r="898" spans="13:13">
      <c r="M898" s="26"/>
    </row>
    <row r="899" spans="13:13">
      <c r="M899" s="26"/>
    </row>
    <row r="900" spans="13:13">
      <c r="M900" s="26"/>
    </row>
    <row r="901" spans="13:13">
      <c r="M901" s="26"/>
    </row>
    <row r="902" spans="13:13">
      <c r="M902" s="26"/>
    </row>
    <row r="903" spans="13:13">
      <c r="M903" s="26"/>
    </row>
    <row r="904" spans="13:13">
      <c r="M904" s="26"/>
    </row>
    <row r="905" spans="13:13">
      <c r="M905" s="26"/>
    </row>
    <row r="906" spans="13:13">
      <c r="M906" s="26"/>
    </row>
    <row r="907" spans="13:13">
      <c r="M907" s="26"/>
    </row>
    <row r="908" spans="13:13">
      <c r="M908" s="26"/>
    </row>
    <row r="909" spans="13:13">
      <c r="M909" s="26"/>
    </row>
    <row r="910" spans="13:13">
      <c r="M910" s="26"/>
    </row>
    <row r="911" spans="13:13">
      <c r="M911" s="26"/>
    </row>
    <row r="912" spans="13:13">
      <c r="M912" s="26"/>
    </row>
    <row r="913" spans="13:13">
      <c r="M913" s="26"/>
    </row>
    <row r="914" spans="13:13">
      <c r="M914" s="26"/>
    </row>
    <row r="915" spans="13:13">
      <c r="M915" s="26"/>
    </row>
    <row r="916" spans="13:13">
      <c r="M916" s="26"/>
    </row>
    <row r="917" spans="13:13">
      <c r="M917" s="26"/>
    </row>
    <row r="918" spans="13:13">
      <c r="M918" s="26"/>
    </row>
    <row r="919" spans="13:13">
      <c r="M919" s="26"/>
    </row>
    <row r="920" spans="13:13">
      <c r="M920" s="26"/>
    </row>
    <row r="921" spans="13:13">
      <c r="M921" s="26"/>
    </row>
    <row r="922" spans="13:13">
      <c r="M922" s="26"/>
    </row>
    <row r="923" spans="13:13">
      <c r="M923" s="26"/>
    </row>
    <row r="924" spans="13:13">
      <c r="M924" s="26"/>
    </row>
    <row r="925" spans="13:13">
      <c r="M925" s="26"/>
    </row>
    <row r="926" spans="13:13">
      <c r="M926" s="26"/>
    </row>
    <row r="927" spans="13:13">
      <c r="M927" s="26"/>
    </row>
    <row r="928" spans="13:13">
      <c r="M928" s="26"/>
    </row>
    <row r="929" spans="13:13">
      <c r="M929" s="26"/>
    </row>
    <row r="930" spans="13:13">
      <c r="M930" s="26"/>
    </row>
    <row r="931" spans="13:13">
      <c r="M931" s="26"/>
    </row>
    <row r="932" spans="13:13">
      <c r="M932" s="26"/>
    </row>
    <row r="933" spans="13:13">
      <c r="M933" s="26"/>
    </row>
    <row r="934" spans="13:13">
      <c r="M934" s="26"/>
    </row>
    <row r="935" spans="13:13">
      <c r="M935" s="26"/>
    </row>
    <row r="936" spans="13:13">
      <c r="M936" s="26"/>
    </row>
    <row r="937" spans="13:13">
      <c r="M937" s="26"/>
    </row>
    <row r="938" spans="13:13">
      <c r="M938" s="26"/>
    </row>
    <row r="939" spans="13:13">
      <c r="M939" s="26"/>
    </row>
    <row r="940" spans="13:13">
      <c r="M940" s="26"/>
    </row>
    <row r="941" spans="13:13">
      <c r="M941" s="26"/>
    </row>
    <row r="942" spans="13:13">
      <c r="M942" s="26"/>
    </row>
    <row r="943" spans="13:13">
      <c r="M943" s="26"/>
    </row>
    <row r="944" spans="13:13">
      <c r="M944" s="26"/>
    </row>
    <row r="945" spans="13:13">
      <c r="M945" s="26"/>
    </row>
    <row r="946" spans="13:13">
      <c r="M946" s="26"/>
    </row>
    <row r="947" spans="13:13">
      <c r="M947" s="26"/>
    </row>
    <row r="948" spans="13:13">
      <c r="M948" s="26"/>
    </row>
    <row r="949" spans="13:13">
      <c r="M949" s="26"/>
    </row>
    <row r="950" spans="13:13">
      <c r="M950" s="26"/>
    </row>
    <row r="951" spans="13:13">
      <c r="M951" s="26"/>
    </row>
    <row r="952" spans="13:13">
      <c r="M952" s="26"/>
    </row>
    <row r="953" spans="13:13">
      <c r="M953" s="26"/>
    </row>
    <row r="954" spans="13:13">
      <c r="M954" s="26"/>
    </row>
    <row r="955" spans="13:13">
      <c r="M955" s="26"/>
    </row>
    <row r="956" spans="13:13">
      <c r="M956" s="26"/>
    </row>
    <row r="957" spans="13:13">
      <c r="M957" s="26"/>
    </row>
    <row r="958" spans="13:13">
      <c r="M958" s="26"/>
    </row>
    <row r="959" spans="13:13">
      <c r="M959" s="26"/>
    </row>
    <row r="960" spans="13:13">
      <c r="M960" s="26"/>
    </row>
    <row r="961" spans="13:13">
      <c r="M961" s="26"/>
    </row>
    <row r="962" spans="13:13">
      <c r="M962" s="26"/>
    </row>
    <row r="963" spans="13:13">
      <c r="M963" s="26"/>
    </row>
    <row r="964" spans="13:13">
      <c r="M964" s="26"/>
    </row>
    <row r="965" spans="13:13">
      <c r="M965" s="26"/>
    </row>
    <row r="966" spans="13:13">
      <c r="M966" s="26"/>
    </row>
    <row r="967" spans="13:13">
      <c r="M967" s="26"/>
    </row>
    <row r="968" spans="13:13">
      <c r="M968" s="26"/>
    </row>
    <row r="969" spans="13:13">
      <c r="M969" s="26"/>
    </row>
    <row r="970" spans="13:13">
      <c r="M970" s="26"/>
    </row>
    <row r="971" spans="13:13">
      <c r="M971" s="26"/>
    </row>
    <row r="972" spans="13:13">
      <c r="M972" s="26"/>
    </row>
    <row r="973" spans="13:13">
      <c r="M973" s="26"/>
    </row>
    <row r="974" spans="13:13">
      <c r="M974" s="26"/>
    </row>
    <row r="975" spans="13:13">
      <c r="M975" s="26"/>
    </row>
    <row r="976" spans="13:13">
      <c r="M976" s="26"/>
    </row>
    <row r="977" spans="13:13">
      <c r="M977" s="26"/>
    </row>
    <row r="978" spans="13:13">
      <c r="M978" s="26"/>
    </row>
    <row r="979" spans="13:13">
      <c r="M979" s="26"/>
    </row>
    <row r="980" spans="13:13">
      <c r="M980" s="26"/>
    </row>
    <row r="981" spans="13:13">
      <c r="M981" s="26"/>
    </row>
    <row r="982" spans="13:13">
      <c r="M982" s="26"/>
    </row>
    <row r="983" spans="13:13">
      <c r="M983" s="26"/>
    </row>
    <row r="984" spans="13:13">
      <c r="M984" s="26"/>
    </row>
    <row r="985" spans="13:13">
      <c r="M985" s="26"/>
    </row>
    <row r="986" spans="13:13">
      <c r="M986" s="26"/>
    </row>
    <row r="987" spans="13:13">
      <c r="M987" s="26"/>
    </row>
    <row r="988" spans="13:13">
      <c r="M988" s="26"/>
    </row>
    <row r="989" spans="13:13">
      <c r="M989" s="26"/>
    </row>
    <row r="990" spans="13:13">
      <c r="M990" s="26"/>
    </row>
    <row r="991" spans="13:13">
      <c r="M991" s="26"/>
    </row>
    <row r="992" spans="13:13">
      <c r="M992" s="26"/>
    </row>
    <row r="993" spans="13:13">
      <c r="M993" s="26"/>
    </row>
    <row r="994" spans="13:13">
      <c r="M994" s="26"/>
    </row>
    <row r="995" spans="13:13">
      <c r="M995" s="26"/>
    </row>
    <row r="996" spans="13:13">
      <c r="M996" s="26"/>
    </row>
    <row r="997" spans="13:13">
      <c r="M997" s="26"/>
    </row>
    <row r="998" spans="13:13">
      <c r="M998" s="26"/>
    </row>
    <row r="999" spans="13:13">
      <c r="M999" s="26"/>
    </row>
    <row r="1000" spans="13:13">
      <c r="M1000" s="26"/>
    </row>
    <row r="1001" spans="13:13">
      <c r="M1001" s="26"/>
    </row>
    <row r="1002" spans="13:13">
      <c r="M1002" s="26"/>
    </row>
    <row r="1003" spans="13:13">
      <c r="M1003" s="26"/>
    </row>
    <row r="1004" spans="13:13">
      <c r="M1004" s="26"/>
    </row>
    <row r="1005" spans="13:13">
      <c r="M1005" s="26"/>
    </row>
    <row r="1006" spans="13:13">
      <c r="M1006" s="26"/>
    </row>
    <row r="1007" spans="13:13">
      <c r="M1007" s="26"/>
    </row>
  </sheetData>
  <mergeCells count="6">
    <mergeCell ref="A67:K67"/>
    <mergeCell ref="Q8:AC8"/>
    <mergeCell ref="G8:M8"/>
    <mergeCell ref="AN8:AP8"/>
    <mergeCell ref="AX8:AZ8"/>
    <mergeCell ref="AH8:AJ8"/>
  </mergeCells>
  <phoneticPr fontId="3" type="noConversion"/>
  <pageMargins left="0.75" right="0.5" top="0.5" bottom="0.5" header="0.25" footer="0.25"/>
  <pageSetup scale="76" firstPageNumber="38" pageOrder="overThenDown" orientation="portrait" useFirstPageNumber="1" r:id="rId1"/>
  <headerFooter scaleWithDoc="0" alignWithMargins="0"/>
  <rowBreaks count="1" manualBreakCount="1">
    <brk id="67" max="16383" man="1"/>
  </rowBreaks>
  <colBreaks count="5" manualBreakCount="5">
    <brk id="14" max="1048575" man="1"/>
    <brk id="29" max="1048575" man="1"/>
    <brk id="42" max="1048575" man="1"/>
    <brk id="62" max="1048575" man="1"/>
    <brk id="7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8"/>
  <sheetViews>
    <sheetView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G12" sqref="G12"/>
    </sheetView>
  </sheetViews>
  <sheetFormatPr defaultRowHeight="12"/>
  <cols>
    <col min="1" max="1" width="45.7109375" style="27" customWidth="1"/>
    <col min="2" max="2" width="1.7109375" style="27" customWidth="1"/>
    <col min="3" max="3" width="10.5703125" style="27" customWidth="1"/>
    <col min="4" max="4" width="1.7109375" style="27" hidden="1" customWidth="1"/>
    <col min="5" max="5" width="6.7109375" style="27" hidden="1" customWidth="1"/>
    <col min="6" max="6" width="1.7109375" style="27" customWidth="1"/>
    <col min="7" max="7" width="11.7109375" style="27" customWidth="1"/>
    <col min="8" max="8" width="1.7109375" style="27" customWidth="1"/>
    <col min="9" max="9" width="11.7109375" style="27" customWidth="1"/>
    <col min="10" max="10" width="1.7109375" style="27" customWidth="1"/>
    <col min="11" max="11" width="11.7109375" style="27" customWidth="1"/>
    <col min="12" max="12" width="1.7109375" style="27" customWidth="1"/>
    <col min="13" max="13" width="11.7109375" style="27" customWidth="1"/>
    <col min="14" max="14" width="1.28515625" style="27" customWidth="1"/>
    <col min="15" max="15" width="11.7109375" style="27" customWidth="1"/>
    <col min="16" max="16" width="1.28515625" style="27" customWidth="1"/>
    <col min="17" max="17" width="11.7109375" style="27" customWidth="1"/>
    <col min="18" max="18" width="1.7109375" style="27" customWidth="1"/>
    <col min="19" max="19" width="11.7109375" style="27" customWidth="1"/>
    <col min="20" max="20" width="1.28515625" style="27" customWidth="1"/>
    <col min="21" max="21" width="11.7109375" style="27" customWidth="1"/>
    <col min="22" max="22" width="1.28515625" style="27" customWidth="1"/>
    <col min="23" max="23" width="11.7109375" style="27" customWidth="1"/>
    <col min="24" max="24" width="1.28515625" style="27" customWidth="1"/>
    <col min="25" max="25" width="11.7109375" style="27" customWidth="1"/>
    <col min="26" max="26" width="1.28515625" style="27" customWidth="1"/>
    <col min="27" max="27" width="11.7109375" style="27" customWidth="1"/>
    <col min="28" max="28" width="1.28515625" style="27" customWidth="1"/>
    <col min="29" max="29" width="11.7109375" style="27" customWidth="1"/>
    <col min="30" max="30" width="1.28515625" style="27" customWidth="1"/>
    <col min="31" max="31" width="11.7109375" style="27" customWidth="1"/>
    <col min="32" max="32" width="1.7109375" style="27" customWidth="1"/>
    <col min="33" max="33" width="11.7109375" style="27" customWidth="1"/>
    <col min="34" max="34" width="1.7109375" style="27" customWidth="1"/>
    <col min="35" max="35" width="10.7109375" style="27" customWidth="1"/>
    <col min="36" max="16384" width="9.140625" style="27"/>
  </cols>
  <sheetData>
    <row r="1" spans="1:37" s="3" customFormat="1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7" s="3" customFormat="1">
      <c r="A2" s="4" t="s">
        <v>367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7" s="3" customForma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7" s="3" customFormat="1">
      <c r="A4" s="7" t="s">
        <v>257</v>
      </c>
      <c r="B4" s="7"/>
      <c r="C4" s="7"/>
      <c r="D4" s="7"/>
      <c r="E4" s="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7" s="3" customFormat="1">
      <c r="A5" s="7"/>
      <c r="B5" s="7"/>
      <c r="C5" s="7"/>
      <c r="D5" s="7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37" s="3" customFormat="1">
      <c r="A6" s="6"/>
      <c r="B6" s="7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37" s="3" customFormat="1">
      <c r="A7" s="29" t="s">
        <v>311</v>
      </c>
      <c r="B7" s="7"/>
      <c r="C7" s="7"/>
      <c r="D7" s="7"/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37" s="3" customFormat="1">
      <c r="A8" s="6"/>
      <c r="B8" s="7"/>
      <c r="C8" s="7"/>
      <c r="D8" s="7"/>
      <c r="E8" s="7"/>
      <c r="F8" s="1"/>
      <c r="G8" s="119" t="s">
        <v>1</v>
      </c>
      <c r="H8" s="119"/>
      <c r="I8" s="119"/>
      <c r="J8" s="119"/>
      <c r="K8" s="119"/>
      <c r="L8" s="1"/>
      <c r="M8" s="1"/>
      <c r="N8" s="1"/>
      <c r="O8" s="1"/>
      <c r="P8" s="1"/>
      <c r="Q8" s="100" t="s">
        <v>13</v>
      </c>
      <c r="R8" s="2"/>
      <c r="S8" s="2"/>
      <c r="T8" s="1"/>
      <c r="U8" s="119" t="s">
        <v>336</v>
      </c>
      <c r="V8" s="119"/>
      <c r="W8" s="119"/>
      <c r="X8" s="119"/>
      <c r="Y8" s="119"/>
      <c r="Z8" s="119"/>
      <c r="AA8" s="119"/>
      <c r="AB8" s="119"/>
      <c r="AC8" s="119"/>
    </row>
    <row r="9" spans="1:37" s="11" customFormat="1">
      <c r="A9" s="20"/>
      <c r="B9" s="43"/>
      <c r="C9" s="43"/>
      <c r="D9" s="43"/>
      <c r="E9" s="43"/>
      <c r="F9" s="2"/>
      <c r="G9" s="2"/>
      <c r="H9" s="2"/>
      <c r="I9" s="2"/>
      <c r="J9" s="2"/>
      <c r="K9" s="2"/>
      <c r="L9" s="2"/>
      <c r="M9" s="2"/>
      <c r="N9" s="2"/>
      <c r="O9" s="2" t="s">
        <v>5</v>
      </c>
      <c r="P9" s="2"/>
      <c r="Q9" s="2"/>
      <c r="R9" s="2"/>
      <c r="S9" s="2" t="s">
        <v>5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 t="s">
        <v>6</v>
      </c>
      <c r="AG9" s="11" t="s">
        <v>2</v>
      </c>
      <c r="AI9" s="101" t="s">
        <v>2</v>
      </c>
    </row>
    <row r="10" spans="1:37" s="11" customFormat="1">
      <c r="A10" s="2"/>
      <c r="B10" s="2"/>
      <c r="C10" s="2"/>
      <c r="D10" s="2"/>
      <c r="E10" s="2"/>
      <c r="F10" s="2"/>
      <c r="G10" s="2" t="s">
        <v>90</v>
      </c>
      <c r="H10" s="2"/>
      <c r="I10" s="2" t="s">
        <v>16</v>
      </c>
      <c r="J10" s="2"/>
      <c r="K10" s="2" t="s">
        <v>82</v>
      </c>
      <c r="L10" s="2"/>
      <c r="M10" s="2" t="s">
        <v>6</v>
      </c>
      <c r="N10" s="2"/>
      <c r="O10" s="2" t="s">
        <v>381</v>
      </c>
      <c r="P10" s="2"/>
      <c r="Q10" s="2" t="s">
        <v>6</v>
      </c>
      <c r="R10" s="2"/>
      <c r="S10" s="2" t="s">
        <v>382</v>
      </c>
      <c r="T10" s="2"/>
      <c r="U10" s="2" t="s">
        <v>279</v>
      </c>
      <c r="V10" s="2"/>
      <c r="W10" s="2" t="s">
        <v>16</v>
      </c>
      <c r="X10" s="2"/>
      <c r="Y10" s="2" t="s">
        <v>280</v>
      </c>
      <c r="Z10" s="2"/>
      <c r="AA10" s="2" t="s">
        <v>281</v>
      </c>
      <c r="AB10" s="2"/>
      <c r="AC10" s="2" t="s">
        <v>282</v>
      </c>
      <c r="AD10" s="2"/>
      <c r="AE10" s="2" t="s">
        <v>91</v>
      </c>
      <c r="AG10" s="11" t="s">
        <v>92</v>
      </c>
      <c r="AI10" s="101" t="s">
        <v>92</v>
      </c>
    </row>
    <row r="11" spans="1:37" s="2" customFormat="1">
      <c r="A11" s="25" t="s">
        <v>277</v>
      </c>
      <c r="B11" s="11"/>
      <c r="C11" s="25" t="s">
        <v>10</v>
      </c>
      <c r="D11" s="11"/>
      <c r="E11" s="25" t="s">
        <v>11</v>
      </c>
      <c r="G11" s="25" t="s">
        <v>12</v>
      </c>
      <c r="I11" s="25" t="s">
        <v>1</v>
      </c>
      <c r="K11" s="25" t="s">
        <v>1</v>
      </c>
      <c r="M11" s="25" t="s">
        <v>1</v>
      </c>
      <c r="O11" s="100" t="s">
        <v>370</v>
      </c>
      <c r="Q11" s="25" t="s">
        <v>13</v>
      </c>
      <c r="S11" s="100" t="s">
        <v>370</v>
      </c>
      <c r="U11" s="25" t="s">
        <v>94</v>
      </c>
      <c r="W11" s="25" t="s">
        <v>94</v>
      </c>
      <c r="Y11" s="25" t="s">
        <v>94</v>
      </c>
      <c r="AA11" s="25" t="s">
        <v>94</v>
      </c>
      <c r="AC11" s="25" t="s">
        <v>94</v>
      </c>
      <c r="AE11" s="25" t="s">
        <v>116</v>
      </c>
      <c r="AG11" s="25" t="s">
        <v>18</v>
      </c>
      <c r="AI11" s="100" t="s">
        <v>18</v>
      </c>
    </row>
    <row r="12" spans="1:37" s="2" customFormat="1">
      <c r="B12" s="11"/>
      <c r="D12" s="11"/>
    </row>
    <row r="13" spans="1:37" ht="12.75" customHeight="1">
      <c r="A13" s="32" t="s">
        <v>252</v>
      </c>
    </row>
    <row r="14" spans="1:37" ht="12.75" customHeight="1">
      <c r="A14" s="32"/>
    </row>
    <row r="15" spans="1:37" s="102" customFormat="1">
      <c r="A15" s="3" t="s">
        <v>283</v>
      </c>
      <c r="B15" s="3"/>
      <c r="C15" s="3" t="s">
        <v>260</v>
      </c>
      <c r="E15" s="103">
        <v>50773</v>
      </c>
      <c r="G15" s="19">
        <v>8121305</v>
      </c>
      <c r="H15" s="19"/>
      <c r="I15" s="19">
        <v>0</v>
      </c>
      <c r="J15" s="19"/>
      <c r="K15" s="112">
        <f>+M15-I15-G15</f>
        <v>5010879</v>
      </c>
      <c r="L15" s="19"/>
      <c r="M15" s="19">
        <v>13132184</v>
      </c>
      <c r="N15" s="19"/>
      <c r="O15" s="19">
        <v>0</v>
      </c>
      <c r="P15" s="19"/>
      <c r="Q15" s="19">
        <v>1247840</v>
      </c>
      <c r="R15" s="19"/>
      <c r="S15" s="19">
        <v>4587373</v>
      </c>
      <c r="T15" s="19"/>
      <c r="U15" s="19">
        <v>99067</v>
      </c>
      <c r="V15" s="19"/>
      <c r="W15" s="19">
        <v>1181069</v>
      </c>
      <c r="X15" s="19"/>
      <c r="Y15" s="19">
        <v>24828</v>
      </c>
      <c r="Z15" s="19"/>
      <c r="AA15" s="19">
        <v>658273</v>
      </c>
      <c r="AB15" s="19"/>
      <c r="AC15" s="19">
        <v>5333734</v>
      </c>
      <c r="AD15" s="19"/>
      <c r="AE15" s="113">
        <f>+AA15+Y15+U15+W15+AC15</f>
        <v>7296971</v>
      </c>
      <c r="AF15" s="19"/>
      <c r="AG15" s="3">
        <f>+G15+I15+K15+O15-Q15-S15-AA15-Y15-U15-W15-AC15</f>
        <v>0</v>
      </c>
      <c r="AH15" s="19"/>
      <c r="AI15" s="3">
        <f>M15+O15-Q15-S15-AE15</f>
        <v>0</v>
      </c>
      <c r="AJ15" s="19"/>
    </row>
    <row r="16" spans="1:37" s="19" customFormat="1">
      <c r="A16" s="3" t="s">
        <v>239</v>
      </c>
      <c r="C16" s="19" t="s">
        <v>143</v>
      </c>
      <c r="E16" s="114">
        <v>62042</v>
      </c>
      <c r="G16" s="3">
        <v>5609710</v>
      </c>
      <c r="H16" s="3"/>
      <c r="I16" s="3">
        <v>0</v>
      </c>
      <c r="J16" s="3"/>
      <c r="K16" s="8">
        <f>+M16-I16-G16</f>
        <v>2968697</v>
      </c>
      <c r="L16" s="3"/>
      <c r="M16" s="3">
        <v>8578407</v>
      </c>
      <c r="N16" s="3"/>
      <c r="O16" s="3">
        <v>0</v>
      </c>
      <c r="P16" s="3"/>
      <c r="Q16" s="3">
        <v>623994</v>
      </c>
      <c r="R16" s="3"/>
      <c r="S16" s="3">
        <v>2354021</v>
      </c>
      <c r="T16" s="3"/>
      <c r="U16" s="3">
        <f>21184+23617</f>
        <v>44801</v>
      </c>
      <c r="V16" s="3"/>
      <c r="W16" s="3">
        <f>504815+726634+5987+13152+6797</f>
        <v>1257385</v>
      </c>
      <c r="X16" s="3"/>
      <c r="Y16" s="3">
        <f>69559+23713+129801</f>
        <v>223073</v>
      </c>
      <c r="Z16" s="3"/>
      <c r="AA16" s="3">
        <f>53219+23901+694584+20144+6592+58304</f>
        <v>856744</v>
      </c>
      <c r="AB16" s="3"/>
      <c r="AC16" s="3">
        <v>3218389</v>
      </c>
      <c r="AD16" s="3"/>
      <c r="AE16" s="22">
        <f>+AA16+Y16+U16+W16+AC16</f>
        <v>5600392</v>
      </c>
      <c r="AF16" s="3"/>
      <c r="AG16" s="3">
        <f t="shared" ref="AG16:AG65" si="0">+G16+I16+K16+O16-Q16-S16-AA16-Y16-U16-W16-AC16</f>
        <v>0</v>
      </c>
      <c r="AH16" s="103"/>
      <c r="AI16" s="3">
        <f t="shared" ref="AI16:AI65" si="1">M16+O16-Q16-S16-AE16</f>
        <v>0</v>
      </c>
      <c r="AJ16" s="103"/>
      <c r="AK16" s="103"/>
    </row>
    <row r="17" spans="1:35" s="103" customFormat="1">
      <c r="A17" s="3" t="s">
        <v>348</v>
      </c>
      <c r="C17" s="103" t="s">
        <v>144</v>
      </c>
      <c r="E17" s="103">
        <v>50815</v>
      </c>
      <c r="G17" s="3">
        <v>9001948</v>
      </c>
      <c r="H17" s="3"/>
      <c r="I17" s="3">
        <v>6559</v>
      </c>
      <c r="J17" s="3"/>
      <c r="K17" s="8">
        <f>+M17-I17-G17</f>
        <v>5733423</v>
      </c>
      <c r="L17" s="3"/>
      <c r="M17" s="3">
        <v>14741930</v>
      </c>
      <c r="N17" s="3"/>
      <c r="O17" s="3">
        <v>0</v>
      </c>
      <c r="P17" s="3"/>
      <c r="Q17" s="3">
        <v>1885634</v>
      </c>
      <c r="R17" s="3"/>
      <c r="S17" s="3">
        <v>3514572</v>
      </c>
      <c r="T17" s="3"/>
      <c r="U17" s="3">
        <v>43976</v>
      </c>
      <c r="V17" s="3"/>
      <c r="W17" s="3">
        <v>3739210</v>
      </c>
      <c r="X17" s="3"/>
      <c r="Y17" s="3">
        <v>0</v>
      </c>
      <c r="Z17" s="3"/>
      <c r="AA17" s="3">
        <v>791886</v>
      </c>
      <c r="AB17" s="3"/>
      <c r="AC17" s="3">
        <v>4766652</v>
      </c>
      <c r="AD17" s="3"/>
      <c r="AE17" s="22">
        <f t="shared" ref="AE17:AE65" si="2">+AA17+Y17+U17+W17+AC17</f>
        <v>9341724</v>
      </c>
      <c r="AF17" s="3"/>
      <c r="AG17" s="3">
        <f t="shared" si="0"/>
        <v>0</v>
      </c>
      <c r="AI17" s="3">
        <f t="shared" si="1"/>
        <v>0</v>
      </c>
    </row>
    <row r="18" spans="1:35" s="103" customFormat="1">
      <c r="A18" s="3" t="s">
        <v>289</v>
      </c>
      <c r="C18" s="103" t="s">
        <v>146</v>
      </c>
      <c r="E18" s="103">
        <v>51169</v>
      </c>
      <c r="G18" s="3">
        <v>6775982</v>
      </c>
      <c r="H18" s="3"/>
      <c r="I18" s="3">
        <v>0</v>
      </c>
      <c r="J18" s="3"/>
      <c r="K18" s="8">
        <f t="shared" ref="K18:K65" si="3">+M18-I18-G18</f>
        <v>7364670</v>
      </c>
      <c r="L18" s="3"/>
      <c r="M18" s="3">
        <v>14140652</v>
      </c>
      <c r="N18" s="3"/>
      <c r="O18" s="3">
        <v>0</v>
      </c>
      <c r="P18" s="3"/>
      <c r="Q18" s="3">
        <v>2369979</v>
      </c>
      <c r="R18" s="3"/>
      <c r="S18" s="3">
        <v>5320799</v>
      </c>
      <c r="T18" s="3"/>
      <c r="U18" s="3">
        <v>1451079</v>
      </c>
      <c r="V18" s="3"/>
      <c r="W18" s="3">
        <v>638041</v>
      </c>
      <c r="X18" s="3"/>
      <c r="Y18" s="3">
        <v>0</v>
      </c>
      <c r="Z18" s="3"/>
      <c r="AA18" s="3">
        <v>2281016</v>
      </c>
      <c r="AB18" s="3"/>
      <c r="AC18" s="3">
        <v>2079738</v>
      </c>
      <c r="AD18" s="3"/>
      <c r="AE18" s="22">
        <f t="shared" si="2"/>
        <v>6449874</v>
      </c>
      <c r="AF18" s="3"/>
      <c r="AG18" s="3">
        <f t="shared" si="0"/>
        <v>0</v>
      </c>
      <c r="AI18" s="3">
        <f t="shared" si="1"/>
        <v>0</v>
      </c>
    </row>
    <row r="19" spans="1:35" s="103" customFormat="1">
      <c r="A19" s="3" t="s">
        <v>290</v>
      </c>
      <c r="C19" s="103" t="s">
        <v>149</v>
      </c>
      <c r="E19" s="103">
        <v>50856</v>
      </c>
      <c r="G19" s="3">
        <v>1897294</v>
      </c>
      <c r="H19" s="3"/>
      <c r="I19" s="3">
        <v>65257</v>
      </c>
      <c r="J19" s="3"/>
      <c r="K19" s="8">
        <f t="shared" si="3"/>
        <v>2231078</v>
      </c>
      <c r="L19" s="3"/>
      <c r="M19" s="3">
        <v>4193629</v>
      </c>
      <c r="N19" s="3"/>
      <c r="O19" s="3">
        <v>0</v>
      </c>
      <c r="P19" s="3"/>
      <c r="Q19" s="3">
        <v>840235</v>
      </c>
      <c r="R19" s="3"/>
      <c r="S19" s="3">
        <v>1887404</v>
      </c>
      <c r="T19" s="3"/>
      <c r="U19" s="3">
        <f>37891+39675</f>
        <v>77566</v>
      </c>
      <c r="V19" s="3"/>
      <c r="W19" s="3">
        <f>206735+6967+7938+11000</f>
        <v>232640</v>
      </c>
      <c r="X19" s="3"/>
      <c r="Y19" s="3">
        <v>12000</v>
      </c>
      <c r="Z19" s="3"/>
      <c r="AA19" s="3">
        <v>97988</v>
      </c>
      <c r="AB19" s="3"/>
      <c r="AC19" s="3">
        <v>1045796</v>
      </c>
      <c r="AD19" s="3"/>
      <c r="AE19" s="22">
        <f t="shared" si="2"/>
        <v>1465990</v>
      </c>
      <c r="AF19" s="3"/>
      <c r="AG19" s="3">
        <f t="shared" si="0"/>
        <v>0</v>
      </c>
      <c r="AI19" s="3">
        <f t="shared" si="1"/>
        <v>0</v>
      </c>
    </row>
    <row r="20" spans="1:35" s="103" customFormat="1">
      <c r="A20" s="3" t="s">
        <v>220</v>
      </c>
      <c r="C20" s="103" t="s">
        <v>198</v>
      </c>
      <c r="E20" s="103">
        <v>51656</v>
      </c>
      <c r="G20" s="3">
        <v>19538184</v>
      </c>
      <c r="H20" s="3"/>
      <c r="I20" s="3">
        <v>0</v>
      </c>
      <c r="J20" s="3"/>
      <c r="K20" s="8">
        <f t="shared" si="3"/>
        <v>5758612</v>
      </c>
      <c r="L20" s="3"/>
      <c r="M20" s="3">
        <v>25296796</v>
      </c>
      <c r="N20" s="3"/>
      <c r="O20" s="3">
        <v>0</v>
      </c>
      <c r="P20" s="3"/>
      <c r="Q20" s="3">
        <v>1431495</v>
      </c>
      <c r="R20" s="3"/>
      <c r="S20" s="3">
        <v>4766129</v>
      </c>
      <c r="T20" s="3"/>
      <c r="U20" s="3">
        <f>118164+9377+2043</f>
        <v>129584</v>
      </c>
      <c r="V20" s="3"/>
      <c r="W20" s="3">
        <f>4605451+1512595</f>
        <v>6118046</v>
      </c>
      <c r="X20" s="3"/>
      <c r="Y20" s="3">
        <f>53125+3314</f>
        <v>56439</v>
      </c>
      <c r="Z20" s="3"/>
      <c r="AA20" s="3">
        <f>46460+99150+1283943+89591+196388+113577+16881</f>
        <v>1845990</v>
      </c>
      <c r="AB20" s="3"/>
      <c r="AC20" s="3">
        <v>10949113</v>
      </c>
      <c r="AD20" s="3"/>
      <c r="AE20" s="22">
        <f t="shared" si="2"/>
        <v>19099172</v>
      </c>
      <c r="AF20" s="3"/>
      <c r="AG20" s="3">
        <f t="shared" si="0"/>
        <v>0</v>
      </c>
      <c r="AI20" s="3">
        <f t="shared" si="1"/>
        <v>0</v>
      </c>
    </row>
    <row r="21" spans="1:35" s="103" customFormat="1">
      <c r="A21" s="3" t="s">
        <v>357</v>
      </c>
      <c r="C21" s="103" t="s">
        <v>147</v>
      </c>
      <c r="E21" s="103">
        <v>50880</v>
      </c>
      <c r="G21" s="3">
        <v>19755338</v>
      </c>
      <c r="H21" s="3"/>
      <c r="I21" s="3">
        <v>864849</v>
      </c>
      <c r="J21" s="3"/>
      <c r="K21" s="8">
        <f t="shared" si="3"/>
        <v>18284855</v>
      </c>
      <c r="L21" s="3"/>
      <c r="M21" s="3">
        <v>38905042</v>
      </c>
      <c r="N21" s="3"/>
      <c r="O21" s="3">
        <v>0</v>
      </c>
      <c r="P21" s="3"/>
      <c r="Q21" s="3">
        <v>25353277</v>
      </c>
      <c r="R21" s="3"/>
      <c r="S21" s="3">
        <v>0</v>
      </c>
      <c r="T21" s="3"/>
      <c r="U21" s="3">
        <v>0</v>
      </c>
      <c r="V21" s="3"/>
      <c r="W21" s="3">
        <v>1247553</v>
      </c>
      <c r="X21" s="3"/>
      <c r="Y21" s="3">
        <v>0</v>
      </c>
      <c r="Z21" s="3"/>
      <c r="AA21" s="3">
        <v>4419119</v>
      </c>
      <c r="AB21" s="3"/>
      <c r="AC21" s="3">
        <v>7885093</v>
      </c>
      <c r="AD21" s="3"/>
      <c r="AE21" s="22">
        <f t="shared" si="2"/>
        <v>13551765</v>
      </c>
      <c r="AF21" s="3"/>
      <c r="AG21" s="3">
        <f t="shared" si="0"/>
        <v>0</v>
      </c>
      <c r="AI21" s="3">
        <f t="shared" si="1"/>
        <v>0</v>
      </c>
    </row>
    <row r="22" spans="1:35" s="103" customFormat="1">
      <c r="A22" s="3" t="s">
        <v>273</v>
      </c>
      <c r="C22" s="103" t="s">
        <v>173</v>
      </c>
      <c r="E22" s="103">
        <v>51201</v>
      </c>
      <c r="G22" s="3">
        <f>8972611+880</f>
        <v>8973491</v>
      </c>
      <c r="H22" s="3"/>
      <c r="I22" s="3">
        <v>0</v>
      </c>
      <c r="J22" s="3"/>
      <c r="K22" s="8">
        <f>+M22-I22-G22</f>
        <v>9954430</v>
      </c>
      <c r="L22" s="3"/>
      <c r="M22" s="3">
        <v>18927921</v>
      </c>
      <c r="N22" s="3"/>
      <c r="O22" s="3">
        <v>0</v>
      </c>
      <c r="P22" s="3"/>
      <c r="Q22" s="3">
        <v>1321462</v>
      </c>
      <c r="R22" s="3"/>
      <c r="S22" s="3">
        <v>8534432</v>
      </c>
      <c r="T22" s="3"/>
      <c r="U22" s="3">
        <v>69924</v>
      </c>
      <c r="V22" s="3"/>
      <c r="W22" s="3">
        <v>1876842</v>
      </c>
      <c r="X22" s="3"/>
      <c r="Y22" s="3">
        <v>11686</v>
      </c>
      <c r="Z22" s="3"/>
      <c r="AA22" s="3">
        <v>236992</v>
      </c>
      <c r="AB22" s="3"/>
      <c r="AC22" s="3">
        <v>6876583</v>
      </c>
      <c r="AD22" s="3"/>
      <c r="AE22" s="22">
        <f>+AA22+Y22+U22+W22+AC22</f>
        <v>9072027</v>
      </c>
      <c r="AF22" s="3"/>
      <c r="AG22" s="3">
        <f t="shared" si="0"/>
        <v>0</v>
      </c>
      <c r="AI22" s="3">
        <f t="shared" si="1"/>
        <v>0</v>
      </c>
    </row>
    <row r="23" spans="1:35" s="89" customFormat="1" hidden="1">
      <c r="A23" s="88" t="s">
        <v>271</v>
      </c>
      <c r="C23" s="89" t="s">
        <v>214</v>
      </c>
      <c r="E23" s="89">
        <v>63511</v>
      </c>
      <c r="G23" s="88">
        <v>0</v>
      </c>
      <c r="H23" s="88"/>
      <c r="I23" s="88">
        <v>0</v>
      </c>
      <c r="J23" s="88"/>
      <c r="K23" s="95">
        <f t="shared" si="3"/>
        <v>0</v>
      </c>
      <c r="L23" s="88"/>
      <c r="M23" s="88">
        <v>0</v>
      </c>
      <c r="N23" s="88"/>
      <c r="O23" s="88">
        <v>0</v>
      </c>
      <c r="P23" s="88"/>
      <c r="Q23" s="88">
        <v>0</v>
      </c>
      <c r="R23" s="88"/>
      <c r="S23" s="88">
        <v>0</v>
      </c>
      <c r="T23" s="88"/>
      <c r="U23" s="88">
        <v>0</v>
      </c>
      <c r="V23" s="88"/>
      <c r="W23" s="88">
        <v>0</v>
      </c>
      <c r="X23" s="88"/>
      <c r="Y23" s="88">
        <v>0</v>
      </c>
      <c r="Z23" s="88"/>
      <c r="AA23" s="88">
        <v>0</v>
      </c>
      <c r="AB23" s="88"/>
      <c r="AC23" s="88">
        <v>0</v>
      </c>
      <c r="AD23" s="88"/>
      <c r="AE23" s="96">
        <f t="shared" si="2"/>
        <v>0</v>
      </c>
      <c r="AF23" s="88"/>
      <c r="AG23" s="87">
        <f t="shared" si="0"/>
        <v>0</v>
      </c>
      <c r="AI23" s="87">
        <f t="shared" si="1"/>
        <v>0</v>
      </c>
    </row>
    <row r="24" spans="1:35" s="103" customFormat="1">
      <c r="A24" s="3" t="s">
        <v>356</v>
      </c>
      <c r="C24" s="103" t="s">
        <v>156</v>
      </c>
      <c r="E24" s="103">
        <v>50906</v>
      </c>
      <c r="G24" s="3">
        <v>7266619</v>
      </c>
      <c r="H24" s="3"/>
      <c r="I24" s="3">
        <v>0</v>
      </c>
      <c r="J24" s="3"/>
      <c r="K24" s="8">
        <f t="shared" si="3"/>
        <v>1983136</v>
      </c>
      <c r="L24" s="3"/>
      <c r="M24" s="3">
        <v>9249755</v>
      </c>
      <c r="N24" s="3"/>
      <c r="O24" s="3">
        <v>0</v>
      </c>
      <c r="P24" s="3"/>
      <c r="Q24" s="3">
        <v>390314</v>
      </c>
      <c r="R24" s="3"/>
      <c r="S24" s="3">
        <v>1893867</v>
      </c>
      <c r="T24" s="3"/>
      <c r="U24" s="3">
        <v>1330</v>
      </c>
      <c r="V24" s="3"/>
      <c r="W24" s="3">
        <f>2852052+764741+49203+1974</f>
        <v>3667970</v>
      </c>
      <c r="X24" s="3"/>
      <c r="Y24" s="3">
        <v>0</v>
      </c>
      <c r="Z24" s="3"/>
      <c r="AA24" s="3">
        <f>16318+32406+1230+24267+471072+40561</f>
        <v>585854</v>
      </c>
      <c r="AB24" s="3"/>
      <c r="AC24" s="3">
        <v>2710420</v>
      </c>
      <c r="AD24" s="3"/>
      <c r="AE24" s="22">
        <f t="shared" si="2"/>
        <v>6965574</v>
      </c>
      <c r="AF24" s="3"/>
      <c r="AG24" s="3">
        <f t="shared" si="0"/>
        <v>0</v>
      </c>
      <c r="AI24" s="3">
        <f t="shared" si="1"/>
        <v>0</v>
      </c>
    </row>
    <row r="25" spans="1:35" s="103" customFormat="1">
      <c r="A25" s="3" t="s">
        <v>243</v>
      </c>
      <c r="C25" s="103" t="s">
        <v>207</v>
      </c>
      <c r="E25" s="103">
        <v>65227</v>
      </c>
      <c r="G25" s="3">
        <v>926839</v>
      </c>
      <c r="H25" s="3"/>
      <c r="I25" s="3">
        <v>0</v>
      </c>
      <c r="J25" s="3"/>
      <c r="K25" s="8">
        <f t="shared" si="3"/>
        <v>1415591</v>
      </c>
      <c r="L25" s="3"/>
      <c r="M25" s="3">
        <v>2342430</v>
      </c>
      <c r="N25" s="3"/>
      <c r="O25" s="3">
        <v>0</v>
      </c>
      <c r="P25" s="3"/>
      <c r="Q25" s="3">
        <v>1671064</v>
      </c>
      <c r="R25" s="3"/>
      <c r="S25" s="3">
        <v>0</v>
      </c>
      <c r="T25" s="3"/>
      <c r="U25" s="3">
        <v>10978</v>
      </c>
      <c r="V25" s="3"/>
      <c r="W25" s="3">
        <v>46480</v>
      </c>
      <c r="X25" s="3"/>
      <c r="Y25" s="3">
        <v>0</v>
      </c>
      <c r="Z25" s="3"/>
      <c r="AA25" s="3">
        <v>476454</v>
      </c>
      <c r="AB25" s="3"/>
      <c r="AC25" s="3">
        <v>137454</v>
      </c>
      <c r="AD25" s="3"/>
      <c r="AE25" s="22">
        <f t="shared" si="2"/>
        <v>671366</v>
      </c>
      <c r="AF25" s="3"/>
      <c r="AG25" s="3">
        <f t="shared" si="0"/>
        <v>0</v>
      </c>
      <c r="AI25" s="3">
        <f t="shared" si="1"/>
        <v>0</v>
      </c>
    </row>
    <row r="26" spans="1:35" s="103" customFormat="1">
      <c r="A26" s="3" t="s">
        <v>241</v>
      </c>
      <c r="C26" s="103" t="s">
        <v>157</v>
      </c>
      <c r="E26" s="103">
        <v>50922</v>
      </c>
      <c r="G26" s="3">
        <f>6628821+6426478</f>
        <v>13055299</v>
      </c>
      <c r="H26" s="3"/>
      <c r="I26" s="3">
        <v>0</v>
      </c>
      <c r="J26" s="3"/>
      <c r="K26" s="8">
        <f t="shared" si="3"/>
        <v>11149782</v>
      </c>
      <c r="L26" s="3"/>
      <c r="M26" s="3">
        <v>24205081</v>
      </c>
      <c r="N26" s="3"/>
      <c r="O26" s="3">
        <v>0</v>
      </c>
      <c r="P26" s="3"/>
      <c r="Q26" s="3">
        <v>1849248</v>
      </c>
      <c r="R26" s="3"/>
      <c r="S26" s="3">
        <v>9914298</v>
      </c>
      <c r="T26" s="3"/>
      <c r="U26" s="3">
        <f>17097+14379</f>
        <v>31476</v>
      </c>
      <c r="V26" s="3"/>
      <c r="W26" s="3">
        <f>2371+8910+4259</f>
        <v>15540</v>
      </c>
      <c r="X26" s="3"/>
      <c r="Y26" s="3">
        <f>306267+33000</f>
        <v>339267</v>
      </c>
      <c r="Z26" s="3"/>
      <c r="AA26" s="3">
        <f>84249+871809+99001+27205+91281+77119</f>
        <v>1250664</v>
      </c>
      <c r="AB26" s="3"/>
      <c r="AC26" s="3">
        <v>10804588</v>
      </c>
      <c r="AD26" s="3"/>
      <c r="AE26" s="22">
        <f t="shared" si="2"/>
        <v>12441535</v>
      </c>
      <c r="AF26" s="3"/>
      <c r="AG26" s="3">
        <f t="shared" si="0"/>
        <v>0</v>
      </c>
      <c r="AI26" s="3">
        <f t="shared" si="1"/>
        <v>0</v>
      </c>
    </row>
    <row r="27" spans="1:35" s="103" customFormat="1">
      <c r="A27" s="3" t="s">
        <v>240</v>
      </c>
      <c r="C27" s="103" t="s">
        <v>159</v>
      </c>
      <c r="E27" s="103">
        <v>50989</v>
      </c>
      <c r="G27" s="3">
        <v>28585375</v>
      </c>
      <c r="H27" s="3"/>
      <c r="I27" s="3">
        <v>0</v>
      </c>
      <c r="J27" s="3"/>
      <c r="K27" s="8">
        <f t="shared" si="3"/>
        <v>11650744</v>
      </c>
      <c r="L27" s="3"/>
      <c r="M27" s="3">
        <v>40236119</v>
      </c>
      <c r="N27" s="3"/>
      <c r="O27" s="3">
        <v>0</v>
      </c>
      <c r="P27" s="3"/>
      <c r="Q27" s="3">
        <v>1247800</v>
      </c>
      <c r="R27" s="3"/>
      <c r="S27" s="3">
        <v>8802452</v>
      </c>
      <c r="T27" s="3"/>
      <c r="U27" s="3">
        <f>21008+66643</f>
        <v>87651</v>
      </c>
      <c r="V27" s="3"/>
      <c r="W27" s="3">
        <f>5275426+273526+11923+283+10523+6279</f>
        <v>5577960</v>
      </c>
      <c r="X27" s="3"/>
      <c r="Y27" s="3">
        <f>1600000+1302+17052</f>
        <v>1618354</v>
      </c>
      <c r="Z27" s="3"/>
      <c r="AA27" s="3">
        <f>85151+187757+47595+18773+110836</f>
        <v>450112</v>
      </c>
      <c r="AB27" s="3"/>
      <c r="AC27" s="3">
        <v>22451790</v>
      </c>
      <c r="AD27" s="3"/>
      <c r="AE27" s="22">
        <f t="shared" si="2"/>
        <v>30185867</v>
      </c>
      <c r="AF27" s="3"/>
      <c r="AG27" s="3">
        <f t="shared" si="0"/>
        <v>0</v>
      </c>
      <c r="AI27" s="3">
        <f t="shared" si="1"/>
        <v>0</v>
      </c>
    </row>
    <row r="28" spans="1:35" s="103" customFormat="1">
      <c r="A28" s="3" t="s">
        <v>358</v>
      </c>
      <c r="C28" s="103" t="s">
        <v>162</v>
      </c>
      <c r="E28" s="103">
        <v>51003</v>
      </c>
      <c r="G28" s="3">
        <v>18265564</v>
      </c>
      <c r="H28" s="3"/>
      <c r="I28" s="3">
        <v>18348</v>
      </c>
      <c r="J28" s="3"/>
      <c r="K28" s="8">
        <f t="shared" si="3"/>
        <v>14011484</v>
      </c>
      <c r="L28" s="3"/>
      <c r="M28" s="3">
        <v>32295396</v>
      </c>
      <c r="N28" s="3"/>
      <c r="O28" s="3">
        <v>0</v>
      </c>
      <c r="P28" s="3"/>
      <c r="Q28" s="3">
        <v>2306459</v>
      </c>
      <c r="R28" s="3"/>
      <c r="S28" s="3">
        <v>10515287</v>
      </c>
      <c r="T28" s="3"/>
      <c r="U28" s="3">
        <v>131888</v>
      </c>
      <c r="V28" s="3"/>
      <c r="W28" s="3">
        <v>2502517</v>
      </c>
      <c r="X28" s="3"/>
      <c r="Y28" s="3">
        <v>26124</v>
      </c>
      <c r="Z28" s="3"/>
      <c r="AA28" s="3">
        <v>440897</v>
      </c>
      <c r="AB28" s="3"/>
      <c r="AC28" s="3">
        <v>16372224</v>
      </c>
      <c r="AD28" s="3"/>
      <c r="AE28" s="22">
        <f t="shared" si="2"/>
        <v>19473650</v>
      </c>
      <c r="AF28" s="3"/>
      <c r="AG28" s="3">
        <f t="shared" si="0"/>
        <v>0</v>
      </c>
      <c r="AI28" s="3">
        <f t="shared" si="1"/>
        <v>0</v>
      </c>
    </row>
    <row r="29" spans="1:35" s="103" customFormat="1">
      <c r="A29" s="3" t="s">
        <v>242</v>
      </c>
      <c r="C29" s="103" t="s">
        <v>160</v>
      </c>
      <c r="E29" s="103">
        <v>51029</v>
      </c>
      <c r="G29" s="3">
        <v>12604010</v>
      </c>
      <c r="H29" s="3"/>
      <c r="I29" s="3">
        <v>0</v>
      </c>
      <c r="J29" s="3"/>
      <c r="K29" s="8">
        <f t="shared" si="3"/>
        <v>8731648</v>
      </c>
      <c r="L29" s="3"/>
      <c r="M29" s="3">
        <v>21335658</v>
      </c>
      <c r="N29" s="3"/>
      <c r="O29" s="3">
        <v>0</v>
      </c>
      <c r="P29" s="3"/>
      <c r="Q29" s="3">
        <v>1340506</v>
      </c>
      <c r="R29" s="3"/>
      <c r="S29" s="3">
        <v>7233478</v>
      </c>
      <c r="T29" s="3"/>
      <c r="U29" s="3">
        <f>43468+49590+4352</f>
        <v>97410</v>
      </c>
      <c r="V29" s="3"/>
      <c r="W29" s="3">
        <f>6721069+11353</f>
        <v>6732422</v>
      </c>
      <c r="X29" s="3"/>
      <c r="Y29" s="3">
        <v>996680</v>
      </c>
      <c r="Z29" s="3"/>
      <c r="AA29" s="3">
        <f>7678+63256+3904+39222+4372+84643</f>
        <v>203075</v>
      </c>
      <c r="AB29" s="3"/>
      <c r="AC29" s="3">
        <v>4732087</v>
      </c>
      <c r="AD29" s="3"/>
      <c r="AE29" s="22">
        <f t="shared" si="2"/>
        <v>12761674</v>
      </c>
      <c r="AF29" s="3"/>
      <c r="AG29" s="3">
        <f t="shared" si="0"/>
        <v>0</v>
      </c>
      <c r="AI29" s="3">
        <f t="shared" si="1"/>
        <v>0</v>
      </c>
    </row>
    <row r="30" spans="1:35" s="103" customFormat="1">
      <c r="A30" s="3" t="s">
        <v>244</v>
      </c>
      <c r="C30" s="103" t="s">
        <v>209</v>
      </c>
      <c r="E30" s="103">
        <v>50963</v>
      </c>
      <c r="G30" s="3">
        <f>5887545+26145+5928823</f>
        <v>11842513</v>
      </c>
      <c r="H30" s="3"/>
      <c r="I30" s="3">
        <v>725000</v>
      </c>
      <c r="J30" s="3"/>
      <c r="K30" s="8">
        <f t="shared" si="3"/>
        <v>6394277</v>
      </c>
      <c r="L30" s="3"/>
      <c r="M30" s="3">
        <v>18961790</v>
      </c>
      <c r="N30" s="3"/>
      <c r="O30" s="3">
        <v>0</v>
      </c>
      <c r="P30" s="3"/>
      <c r="Q30" s="3">
        <v>8090391</v>
      </c>
      <c r="R30" s="3"/>
      <c r="S30" s="3">
        <v>0</v>
      </c>
      <c r="T30" s="3"/>
      <c r="U30" s="3">
        <v>191368</v>
      </c>
      <c r="V30" s="3"/>
      <c r="W30" s="3">
        <v>5907197</v>
      </c>
      <c r="X30" s="3"/>
      <c r="Y30" s="3">
        <v>0</v>
      </c>
      <c r="Z30" s="3"/>
      <c r="AA30" s="3">
        <v>1734594</v>
      </c>
      <c r="AB30" s="3"/>
      <c r="AC30" s="3">
        <v>3038240</v>
      </c>
      <c r="AD30" s="3"/>
      <c r="AE30" s="22">
        <f t="shared" si="2"/>
        <v>10871399</v>
      </c>
      <c r="AF30" s="3"/>
      <c r="AG30" s="3">
        <f t="shared" si="0"/>
        <v>0</v>
      </c>
      <c r="AI30" s="3">
        <f t="shared" si="1"/>
        <v>0</v>
      </c>
    </row>
    <row r="31" spans="1:35" s="103" customFormat="1">
      <c r="A31" s="3" t="s">
        <v>208</v>
      </c>
      <c r="C31" s="103" t="s">
        <v>165</v>
      </c>
      <c r="E31" s="103">
        <v>62067</v>
      </c>
      <c r="G31" s="3">
        <v>6890892</v>
      </c>
      <c r="H31" s="3"/>
      <c r="I31" s="3">
        <v>32757</v>
      </c>
      <c r="J31" s="3"/>
      <c r="K31" s="8">
        <f t="shared" si="3"/>
        <v>3242185</v>
      </c>
      <c r="L31" s="3"/>
      <c r="M31" s="3">
        <v>10165834</v>
      </c>
      <c r="N31" s="3"/>
      <c r="O31" s="3">
        <v>0</v>
      </c>
      <c r="P31" s="3"/>
      <c r="Q31" s="3">
        <v>890372</v>
      </c>
      <c r="R31" s="3"/>
      <c r="S31" s="3">
        <v>2820273</v>
      </c>
      <c r="T31" s="3"/>
      <c r="U31" s="3">
        <v>71366</v>
      </c>
      <c r="V31" s="3"/>
      <c r="W31" s="3">
        <v>2192743</v>
      </c>
      <c r="X31" s="3"/>
      <c r="Y31" s="3">
        <v>439</v>
      </c>
      <c r="Z31" s="3"/>
      <c r="AA31" s="3">
        <v>2943503</v>
      </c>
      <c r="AB31" s="3"/>
      <c r="AC31" s="3">
        <v>1247138</v>
      </c>
      <c r="AD31" s="3"/>
      <c r="AE31" s="22">
        <f t="shared" si="2"/>
        <v>6455189</v>
      </c>
      <c r="AF31" s="3"/>
      <c r="AG31" s="3">
        <f t="shared" si="0"/>
        <v>0</v>
      </c>
      <c r="AI31" s="3">
        <f t="shared" si="1"/>
        <v>0</v>
      </c>
    </row>
    <row r="32" spans="1:35" s="103" customFormat="1">
      <c r="A32" s="3" t="s">
        <v>359</v>
      </c>
      <c r="C32" s="103" t="s">
        <v>168</v>
      </c>
      <c r="E32" s="103">
        <v>51060</v>
      </c>
      <c r="G32" s="3">
        <v>32322541</v>
      </c>
      <c r="H32" s="3"/>
      <c r="I32" s="3">
        <v>20982</v>
      </c>
      <c r="J32" s="3"/>
      <c r="K32" s="8">
        <f t="shared" si="3"/>
        <v>42766122</v>
      </c>
      <c r="L32" s="3"/>
      <c r="M32" s="3">
        <v>75109645</v>
      </c>
      <c r="N32" s="3"/>
      <c r="O32" s="3">
        <v>0</v>
      </c>
      <c r="P32" s="3"/>
      <c r="Q32" s="3">
        <f>35825806-30820352</f>
        <v>5005454</v>
      </c>
      <c r="R32" s="3"/>
      <c r="S32" s="3">
        <v>30820352</v>
      </c>
      <c r="T32" s="3"/>
      <c r="U32" s="3">
        <v>0</v>
      </c>
      <c r="V32" s="3"/>
      <c r="W32" s="3">
        <v>628854</v>
      </c>
      <c r="X32" s="3"/>
      <c r="Y32" s="3">
        <v>2645946</v>
      </c>
      <c r="Z32" s="3"/>
      <c r="AA32" s="3">
        <v>134800</v>
      </c>
      <c r="AB32" s="3"/>
      <c r="AC32" s="3">
        <v>35874239</v>
      </c>
      <c r="AD32" s="3"/>
      <c r="AE32" s="22">
        <f t="shared" si="2"/>
        <v>39283839</v>
      </c>
      <c r="AF32" s="3"/>
      <c r="AG32" s="3">
        <f t="shared" si="0"/>
        <v>0</v>
      </c>
      <c r="AI32" s="3">
        <f t="shared" si="1"/>
        <v>0</v>
      </c>
    </row>
    <row r="33" spans="1:35" s="103" customFormat="1">
      <c r="A33" s="3" t="s">
        <v>315</v>
      </c>
      <c r="C33" s="103" t="s">
        <v>167</v>
      </c>
      <c r="E33" s="103">
        <v>51045</v>
      </c>
      <c r="G33" s="3">
        <v>7430042</v>
      </c>
      <c r="H33" s="3"/>
      <c r="I33" s="3">
        <v>0</v>
      </c>
      <c r="J33" s="3"/>
      <c r="K33" s="8">
        <f t="shared" si="3"/>
        <v>9347709</v>
      </c>
      <c r="L33" s="3"/>
      <c r="M33" s="3">
        <v>16777751</v>
      </c>
      <c r="N33" s="3"/>
      <c r="O33" s="3">
        <v>0</v>
      </c>
      <c r="P33" s="3"/>
      <c r="Q33" s="3">
        <v>1687679</v>
      </c>
      <c r="R33" s="3"/>
      <c r="S33" s="3">
        <v>8367301</v>
      </c>
      <c r="T33" s="3"/>
      <c r="U33" s="3">
        <v>79425</v>
      </c>
      <c r="V33" s="3"/>
      <c r="W33" s="3">
        <v>3056990</v>
      </c>
      <c r="X33" s="3"/>
      <c r="Y33" s="3">
        <v>0</v>
      </c>
      <c r="Z33" s="3"/>
      <c r="AA33" s="3">
        <v>9068</v>
      </c>
      <c r="AB33" s="3"/>
      <c r="AC33" s="3">
        <v>3577288</v>
      </c>
      <c r="AD33" s="3"/>
      <c r="AE33" s="22">
        <f t="shared" si="2"/>
        <v>6722771</v>
      </c>
      <c r="AF33" s="3"/>
      <c r="AG33" s="3">
        <f t="shared" si="0"/>
        <v>0</v>
      </c>
      <c r="AI33" s="3">
        <f t="shared" si="1"/>
        <v>0</v>
      </c>
    </row>
    <row r="34" spans="1:35" s="103" customFormat="1">
      <c r="A34" s="3" t="s">
        <v>210</v>
      </c>
      <c r="C34" s="103" t="s">
        <v>170</v>
      </c>
      <c r="E34" s="103">
        <v>51128</v>
      </c>
      <c r="G34" s="3">
        <v>827898</v>
      </c>
      <c r="H34" s="3"/>
      <c r="I34" s="3">
        <v>17604</v>
      </c>
      <c r="J34" s="3"/>
      <c r="K34" s="8">
        <f t="shared" si="3"/>
        <v>2498787</v>
      </c>
      <c r="L34" s="3"/>
      <c r="M34" s="3">
        <v>3344289</v>
      </c>
      <c r="N34" s="3"/>
      <c r="O34" s="3">
        <v>0</v>
      </c>
      <c r="P34" s="3"/>
      <c r="Q34" s="3">
        <v>492215</v>
      </c>
      <c r="R34" s="3"/>
      <c r="S34" s="3">
        <v>2179919</v>
      </c>
      <c r="T34" s="3"/>
      <c r="U34" s="3">
        <f>8536+53195</f>
        <v>61731</v>
      </c>
      <c r="V34" s="3"/>
      <c r="W34" s="3">
        <f>117123+55910+17604+1803+1465+11428</f>
        <v>205333</v>
      </c>
      <c r="X34" s="3"/>
      <c r="Y34" s="3">
        <v>405091</v>
      </c>
      <c r="Z34" s="3"/>
      <c r="AA34" s="3">
        <v>0</v>
      </c>
      <c r="AB34" s="3"/>
      <c r="AC34" s="3">
        <v>0</v>
      </c>
      <c r="AD34" s="3"/>
      <c r="AE34" s="22">
        <f t="shared" si="2"/>
        <v>672155</v>
      </c>
      <c r="AF34" s="3"/>
      <c r="AG34" s="3">
        <f t="shared" si="0"/>
        <v>0</v>
      </c>
      <c r="AI34" s="3">
        <f t="shared" si="1"/>
        <v>0</v>
      </c>
    </row>
    <row r="35" spans="1:35" s="103" customFormat="1">
      <c r="A35" s="3" t="s">
        <v>245</v>
      </c>
      <c r="C35" s="103" t="s">
        <v>171</v>
      </c>
      <c r="E35" s="103">
        <v>51144</v>
      </c>
      <c r="G35" s="3">
        <v>11021247</v>
      </c>
      <c r="H35" s="3"/>
      <c r="I35" s="3">
        <v>0</v>
      </c>
      <c r="J35" s="3"/>
      <c r="K35" s="8">
        <v>3564507</v>
      </c>
      <c r="L35" s="3"/>
      <c r="M35" s="3">
        <v>14585754</v>
      </c>
      <c r="N35" s="3"/>
      <c r="O35" s="3">
        <v>0</v>
      </c>
      <c r="P35" s="3"/>
      <c r="Q35" s="3">
        <v>1095307</v>
      </c>
      <c r="R35" s="3"/>
      <c r="S35" s="3">
        <v>2009843</v>
      </c>
      <c r="T35" s="3"/>
      <c r="U35" s="3">
        <v>33179</v>
      </c>
      <c r="V35" s="3"/>
      <c r="W35" s="3">
        <v>1018745</v>
      </c>
      <c r="X35" s="3"/>
      <c r="Y35" s="3">
        <v>2477</v>
      </c>
      <c r="Z35" s="3"/>
      <c r="AA35" s="3">
        <v>349364</v>
      </c>
      <c r="AB35" s="3"/>
      <c r="AC35" s="3">
        <v>10076839</v>
      </c>
      <c r="AD35" s="3"/>
      <c r="AE35" s="22">
        <v>11480604</v>
      </c>
      <c r="AF35" s="3"/>
      <c r="AG35" s="3">
        <v>0</v>
      </c>
      <c r="AI35" s="3">
        <v>0</v>
      </c>
    </row>
    <row r="36" spans="1:35" s="103" customFormat="1">
      <c r="A36" s="3" t="s">
        <v>211</v>
      </c>
      <c r="C36" s="103" t="s">
        <v>172</v>
      </c>
      <c r="E36" s="103">
        <v>51185</v>
      </c>
      <c r="G36" s="3">
        <v>7395362</v>
      </c>
      <c r="H36" s="3"/>
      <c r="I36" s="3">
        <f>136876+804053</f>
        <v>940929</v>
      </c>
      <c r="J36" s="3"/>
      <c r="K36" s="8">
        <f t="shared" si="3"/>
        <v>4459249</v>
      </c>
      <c r="L36" s="3"/>
      <c r="M36" s="3">
        <v>12795540</v>
      </c>
      <c r="N36" s="3"/>
      <c r="O36" s="3">
        <v>0</v>
      </c>
      <c r="P36" s="3"/>
      <c r="Q36" s="3">
        <v>2922863</v>
      </c>
      <c r="R36" s="3"/>
      <c r="S36" s="3">
        <v>4123700</v>
      </c>
      <c r="T36" s="3"/>
      <c r="U36" s="3">
        <v>368</v>
      </c>
      <c r="V36" s="3"/>
      <c r="W36" s="3">
        <v>4056369</v>
      </c>
      <c r="X36" s="3"/>
      <c r="Y36" s="3">
        <v>81637</v>
      </c>
      <c r="Z36" s="3"/>
      <c r="AA36" s="3">
        <v>7965</v>
      </c>
      <c r="AB36" s="3"/>
      <c r="AC36" s="3">
        <v>1602638</v>
      </c>
      <c r="AD36" s="3"/>
      <c r="AE36" s="22">
        <f t="shared" si="2"/>
        <v>5748977</v>
      </c>
      <c r="AF36" s="3"/>
      <c r="AG36" s="3">
        <f t="shared" si="0"/>
        <v>0</v>
      </c>
      <c r="AI36" s="3">
        <f t="shared" si="1"/>
        <v>0</v>
      </c>
    </row>
    <row r="37" spans="1:35" s="89" customFormat="1" hidden="1">
      <c r="A37" s="88" t="s">
        <v>284</v>
      </c>
      <c r="C37" s="89" t="s">
        <v>173</v>
      </c>
      <c r="E37" s="89">
        <v>47977</v>
      </c>
      <c r="G37" s="88">
        <v>0</v>
      </c>
      <c r="H37" s="88"/>
      <c r="I37" s="88">
        <v>0</v>
      </c>
      <c r="J37" s="88"/>
      <c r="K37" s="95">
        <f t="shared" si="3"/>
        <v>0</v>
      </c>
      <c r="L37" s="88"/>
      <c r="M37" s="88">
        <v>0</v>
      </c>
      <c r="N37" s="88"/>
      <c r="O37" s="88">
        <v>0</v>
      </c>
      <c r="P37" s="88"/>
      <c r="Q37" s="88">
        <v>0</v>
      </c>
      <c r="R37" s="88"/>
      <c r="S37" s="88">
        <v>0</v>
      </c>
      <c r="T37" s="88"/>
      <c r="U37" s="88">
        <v>0</v>
      </c>
      <c r="V37" s="88"/>
      <c r="W37" s="88">
        <v>0</v>
      </c>
      <c r="X37" s="88"/>
      <c r="Y37" s="88">
        <v>0</v>
      </c>
      <c r="Z37" s="88"/>
      <c r="AA37" s="88">
        <v>0</v>
      </c>
      <c r="AB37" s="88"/>
      <c r="AC37" s="88">
        <v>0</v>
      </c>
      <c r="AD37" s="88"/>
      <c r="AE37" s="96">
        <f t="shared" si="2"/>
        <v>0</v>
      </c>
      <c r="AG37" s="87">
        <f t="shared" si="0"/>
        <v>0</v>
      </c>
      <c r="AI37" s="87">
        <f t="shared" si="1"/>
        <v>0</v>
      </c>
    </row>
    <row r="38" spans="1:35" s="103" customFormat="1">
      <c r="A38" s="3" t="s">
        <v>213</v>
      </c>
      <c r="C38" s="103" t="s">
        <v>142</v>
      </c>
      <c r="E38" s="103">
        <v>51227</v>
      </c>
      <c r="G38" s="3">
        <v>9916049</v>
      </c>
      <c r="H38" s="3"/>
      <c r="I38" s="3">
        <v>0</v>
      </c>
      <c r="J38" s="3"/>
      <c r="K38" s="8">
        <f t="shared" si="3"/>
        <v>12160728</v>
      </c>
      <c r="L38" s="3"/>
      <c r="M38" s="3">
        <v>22076777</v>
      </c>
      <c r="N38" s="3"/>
      <c r="O38" s="3">
        <v>0</v>
      </c>
      <c r="P38" s="3"/>
      <c r="Q38" s="3">
        <v>3262285</v>
      </c>
      <c r="R38" s="3"/>
      <c r="S38" s="3">
        <v>10629946</v>
      </c>
      <c r="T38" s="3"/>
      <c r="U38" s="3">
        <v>30533</v>
      </c>
      <c r="V38" s="3"/>
      <c r="W38" s="3">
        <v>3812135</v>
      </c>
      <c r="X38" s="3"/>
      <c r="Y38" s="3">
        <v>0</v>
      </c>
      <c r="Z38" s="3"/>
      <c r="AA38" s="3">
        <v>1119356</v>
      </c>
      <c r="AB38" s="3"/>
      <c r="AC38" s="3">
        <v>3222522</v>
      </c>
      <c r="AD38" s="3"/>
      <c r="AE38" s="22">
        <f t="shared" si="2"/>
        <v>8184546</v>
      </c>
      <c r="AF38" s="3"/>
      <c r="AG38" s="3">
        <f t="shared" si="0"/>
        <v>0</v>
      </c>
      <c r="AI38" s="3">
        <f t="shared" si="1"/>
        <v>0</v>
      </c>
    </row>
    <row r="39" spans="1:35" s="103" customFormat="1">
      <c r="A39" s="3" t="s">
        <v>360</v>
      </c>
      <c r="C39" s="103" t="s">
        <v>176</v>
      </c>
      <c r="E39" s="103">
        <v>51243</v>
      </c>
      <c r="G39" s="3">
        <f>5947459+16419690</f>
        <v>22367149</v>
      </c>
      <c r="H39" s="3"/>
      <c r="I39" s="3">
        <v>0</v>
      </c>
      <c r="J39" s="3"/>
      <c r="K39" s="8">
        <f t="shared" si="3"/>
        <v>7066932</v>
      </c>
      <c r="L39" s="3"/>
      <c r="M39" s="3">
        <v>29434081</v>
      </c>
      <c r="N39" s="3"/>
      <c r="O39" s="3">
        <v>0</v>
      </c>
      <c r="P39" s="3"/>
      <c r="Q39" s="3">
        <v>990798</v>
      </c>
      <c r="R39" s="3"/>
      <c r="S39" s="3">
        <v>6835464</v>
      </c>
      <c r="T39" s="3"/>
      <c r="U39" s="3">
        <v>39641</v>
      </c>
      <c r="V39" s="3"/>
      <c r="W39" s="3">
        <v>370165</v>
      </c>
      <c r="X39" s="3"/>
      <c r="Y39" s="3">
        <v>524</v>
      </c>
      <c r="Z39" s="3"/>
      <c r="AA39" s="3">
        <v>15847134</v>
      </c>
      <c r="AB39" s="3"/>
      <c r="AC39" s="3">
        <v>5350355</v>
      </c>
      <c r="AD39" s="3"/>
      <c r="AE39" s="22">
        <f t="shared" si="2"/>
        <v>21607819</v>
      </c>
      <c r="AF39" s="3"/>
      <c r="AG39" s="3">
        <f t="shared" si="0"/>
        <v>0</v>
      </c>
      <c r="AI39" s="3">
        <f t="shared" si="1"/>
        <v>0</v>
      </c>
    </row>
    <row r="40" spans="1:35" s="103" customFormat="1">
      <c r="A40" s="3" t="s">
        <v>246</v>
      </c>
      <c r="C40" s="103" t="s">
        <v>186</v>
      </c>
      <c r="E40" s="103">
        <v>51391</v>
      </c>
      <c r="G40" s="3">
        <v>22187514</v>
      </c>
      <c r="H40" s="3"/>
      <c r="I40" s="3">
        <v>223362</v>
      </c>
      <c r="J40" s="3"/>
      <c r="K40" s="8">
        <f t="shared" si="3"/>
        <v>7455391</v>
      </c>
      <c r="L40" s="3"/>
      <c r="M40" s="3">
        <v>29866267</v>
      </c>
      <c r="N40" s="3"/>
      <c r="O40" s="3">
        <v>0</v>
      </c>
      <c r="P40" s="3"/>
      <c r="Q40" s="3">
        <v>1404233</v>
      </c>
      <c r="R40" s="3"/>
      <c r="S40" s="3">
        <v>6226593</v>
      </c>
      <c r="T40" s="3"/>
      <c r="U40" s="3">
        <v>57207</v>
      </c>
      <c r="V40" s="3"/>
      <c r="W40" s="3">
        <v>40604</v>
      </c>
      <c r="X40" s="3"/>
      <c r="Y40" s="3">
        <v>255901</v>
      </c>
      <c r="Z40" s="3"/>
      <c r="AA40" s="3">
        <v>710070</v>
      </c>
      <c r="AB40" s="3"/>
      <c r="AC40" s="3">
        <v>21171659</v>
      </c>
      <c r="AD40" s="3"/>
      <c r="AE40" s="22">
        <f t="shared" si="2"/>
        <v>22235441</v>
      </c>
      <c r="AF40" s="3"/>
      <c r="AG40" s="3">
        <f t="shared" si="0"/>
        <v>0</v>
      </c>
      <c r="AI40" s="3">
        <f t="shared" si="1"/>
        <v>0</v>
      </c>
    </row>
    <row r="41" spans="1:35" s="103" customFormat="1">
      <c r="A41" s="3" t="s">
        <v>217</v>
      </c>
      <c r="C41" s="103" t="s">
        <v>178</v>
      </c>
      <c r="E41" s="103">
        <v>62109</v>
      </c>
      <c r="G41" s="3">
        <v>10243886</v>
      </c>
      <c r="H41" s="3"/>
      <c r="I41" s="3">
        <v>0</v>
      </c>
      <c r="J41" s="3"/>
      <c r="K41" s="8">
        <f t="shared" si="3"/>
        <v>8368507</v>
      </c>
      <c r="L41" s="3"/>
      <c r="M41" s="3">
        <v>18612393</v>
      </c>
      <c r="N41" s="3"/>
      <c r="O41" s="3">
        <v>0</v>
      </c>
      <c r="P41" s="3"/>
      <c r="Q41" s="3">
        <v>8767565</v>
      </c>
      <c r="R41" s="3"/>
      <c r="S41" s="3">
        <v>0</v>
      </c>
      <c r="T41" s="3"/>
      <c r="U41" s="3">
        <v>140341</v>
      </c>
      <c r="V41" s="3"/>
      <c r="W41" s="3">
        <v>131771</v>
      </c>
      <c r="X41" s="3"/>
      <c r="Y41" s="3">
        <v>0</v>
      </c>
      <c r="Z41" s="3"/>
      <c r="AA41" s="3">
        <v>516014</v>
      </c>
      <c r="AB41" s="3"/>
      <c r="AC41" s="3">
        <v>9056702</v>
      </c>
      <c r="AD41" s="3"/>
      <c r="AE41" s="22">
        <f t="shared" si="2"/>
        <v>9844828</v>
      </c>
      <c r="AF41" s="3"/>
      <c r="AG41" s="3">
        <f t="shared" si="0"/>
        <v>0</v>
      </c>
      <c r="AI41" s="3">
        <f t="shared" si="1"/>
        <v>0</v>
      </c>
    </row>
    <row r="42" spans="1:35" s="103" customFormat="1">
      <c r="A42" s="3" t="s">
        <v>361</v>
      </c>
      <c r="C42" s="103" t="s">
        <v>181</v>
      </c>
      <c r="E42" s="103">
        <v>51284</v>
      </c>
      <c r="G42" s="3">
        <v>6496392</v>
      </c>
      <c r="H42" s="3"/>
      <c r="I42" s="3">
        <v>0</v>
      </c>
      <c r="J42" s="3"/>
      <c r="K42" s="8">
        <f t="shared" si="3"/>
        <v>13419404</v>
      </c>
      <c r="L42" s="3"/>
      <c r="M42" s="3">
        <v>19915796</v>
      </c>
      <c r="N42" s="3"/>
      <c r="O42" s="3">
        <v>0</v>
      </c>
      <c r="P42" s="3"/>
      <c r="Q42" s="3">
        <v>14878746</v>
      </c>
      <c r="R42" s="3"/>
      <c r="S42" s="3">
        <v>0</v>
      </c>
      <c r="T42" s="3"/>
      <c r="U42" s="3">
        <v>0</v>
      </c>
      <c r="V42" s="3"/>
      <c r="W42" s="3">
        <v>1078312</v>
      </c>
      <c r="X42" s="3"/>
      <c r="Y42" s="3">
        <v>0</v>
      </c>
      <c r="Z42" s="3"/>
      <c r="AA42" s="3">
        <v>1100410</v>
      </c>
      <c r="AB42" s="3"/>
      <c r="AC42" s="3">
        <v>2858328</v>
      </c>
      <c r="AD42" s="3"/>
      <c r="AE42" s="22">
        <f t="shared" si="2"/>
        <v>5037050</v>
      </c>
      <c r="AF42" s="3"/>
      <c r="AG42" s="3">
        <f t="shared" si="0"/>
        <v>0</v>
      </c>
      <c r="AI42" s="3">
        <f t="shared" si="1"/>
        <v>0</v>
      </c>
    </row>
    <row r="43" spans="1:35" s="103" customFormat="1">
      <c r="A43" s="3" t="s">
        <v>362</v>
      </c>
      <c r="C43" s="103" t="s">
        <v>183</v>
      </c>
      <c r="E43" s="103">
        <v>51300</v>
      </c>
      <c r="G43" s="3">
        <f>24567906+1402709+774479+9775474</f>
        <v>36520568</v>
      </c>
      <c r="H43" s="3"/>
      <c r="I43" s="3">
        <v>50258</v>
      </c>
      <c r="J43" s="3"/>
      <c r="K43" s="8">
        <f t="shared" si="3"/>
        <v>17965459</v>
      </c>
      <c r="L43" s="3"/>
      <c r="M43" s="3">
        <v>54536285</v>
      </c>
      <c r="N43" s="3"/>
      <c r="O43" s="3">
        <v>0</v>
      </c>
      <c r="P43" s="3"/>
      <c r="Q43" s="3">
        <v>4928790</v>
      </c>
      <c r="R43" s="3"/>
      <c r="S43" s="3">
        <v>12845625</v>
      </c>
      <c r="T43" s="3"/>
      <c r="U43" s="3">
        <f>67662+96695+4692</f>
        <v>169049</v>
      </c>
      <c r="V43" s="3"/>
      <c r="W43" s="3">
        <f>45566+26969+994448+1319272+19386+17304449</f>
        <v>19710090</v>
      </c>
      <c r="X43" s="3"/>
      <c r="Y43" s="3">
        <f>2457053+128102+440667+76501</f>
        <v>3102323</v>
      </c>
      <c r="Z43" s="3"/>
      <c r="AA43" s="3">
        <f>374673+419599+16510</f>
        <v>810782</v>
      </c>
      <c r="AB43" s="3"/>
      <c r="AC43" s="3">
        <v>12969626</v>
      </c>
      <c r="AD43" s="3"/>
      <c r="AE43" s="22">
        <f t="shared" si="2"/>
        <v>36761870</v>
      </c>
      <c r="AF43" s="3"/>
      <c r="AG43" s="3">
        <f t="shared" si="0"/>
        <v>0</v>
      </c>
      <c r="AI43" s="3">
        <f t="shared" si="1"/>
        <v>0</v>
      </c>
    </row>
    <row r="44" spans="1:35" s="103" customFormat="1">
      <c r="A44" s="3" t="s">
        <v>212</v>
      </c>
      <c r="C44" s="103" t="s">
        <v>174</v>
      </c>
      <c r="E44" s="103">
        <v>51334</v>
      </c>
      <c r="G44" s="3">
        <v>9277381</v>
      </c>
      <c r="H44" s="3"/>
      <c r="I44" s="3">
        <v>0</v>
      </c>
      <c r="J44" s="3"/>
      <c r="K44" s="8">
        <f t="shared" si="3"/>
        <v>6683667</v>
      </c>
      <c r="L44" s="3"/>
      <c r="M44" s="3">
        <v>15961048</v>
      </c>
      <c r="N44" s="3"/>
      <c r="O44" s="3">
        <v>0</v>
      </c>
      <c r="P44" s="3"/>
      <c r="Q44" s="3">
        <v>6774903</v>
      </c>
      <c r="R44" s="3"/>
      <c r="S44" s="3">
        <v>0</v>
      </c>
      <c r="T44" s="3"/>
      <c r="U44" s="3">
        <v>209</v>
      </c>
      <c r="V44" s="3"/>
      <c r="W44" s="3">
        <v>236307</v>
      </c>
      <c r="X44" s="3"/>
      <c r="Y44" s="3">
        <v>112705</v>
      </c>
      <c r="Z44" s="3"/>
      <c r="AA44" s="3">
        <v>186148</v>
      </c>
      <c r="AB44" s="3"/>
      <c r="AC44" s="3">
        <v>8650776</v>
      </c>
      <c r="AD44" s="3"/>
      <c r="AE44" s="22">
        <f t="shared" si="2"/>
        <v>9186145</v>
      </c>
      <c r="AF44" s="3"/>
      <c r="AG44" s="3">
        <f t="shared" si="0"/>
        <v>0</v>
      </c>
      <c r="AI44" s="3">
        <f t="shared" si="1"/>
        <v>0</v>
      </c>
    </row>
    <row r="45" spans="1:35" s="103" customFormat="1">
      <c r="A45" s="3" t="s">
        <v>322</v>
      </c>
      <c r="C45" s="103" t="s">
        <v>204</v>
      </c>
      <c r="E45" s="103">
        <v>51359</v>
      </c>
      <c r="G45" s="3">
        <v>15688014</v>
      </c>
      <c r="H45" s="3"/>
      <c r="I45" s="3">
        <v>0</v>
      </c>
      <c r="J45" s="3"/>
      <c r="K45" s="8">
        <f t="shared" si="3"/>
        <v>15976062</v>
      </c>
      <c r="L45" s="3"/>
      <c r="M45" s="3">
        <v>31664076</v>
      </c>
      <c r="N45" s="3"/>
      <c r="O45" s="3">
        <v>0</v>
      </c>
      <c r="P45" s="3"/>
      <c r="Q45" s="3">
        <v>2812710</v>
      </c>
      <c r="R45" s="3"/>
      <c r="S45" s="3">
        <v>13625338</v>
      </c>
      <c r="T45" s="3"/>
      <c r="U45" s="3">
        <f>9737+92061</f>
        <v>101798</v>
      </c>
      <c r="V45" s="3"/>
      <c r="W45" s="3">
        <f>6358569+188380+27571+4536</f>
        <v>6579056</v>
      </c>
      <c r="X45" s="3"/>
      <c r="Y45" s="3">
        <v>3014398</v>
      </c>
      <c r="Z45" s="3"/>
      <c r="AA45" s="3">
        <f>144092+255197+12274+808360+124492</f>
        <v>1344415</v>
      </c>
      <c r="AB45" s="3"/>
      <c r="AC45" s="3">
        <v>4186361</v>
      </c>
      <c r="AD45" s="3"/>
      <c r="AE45" s="22">
        <f t="shared" si="2"/>
        <v>15226028</v>
      </c>
      <c r="AF45" s="3"/>
      <c r="AG45" s="3">
        <f t="shared" si="0"/>
        <v>0</v>
      </c>
      <c r="AI45" s="3">
        <f t="shared" si="1"/>
        <v>0</v>
      </c>
    </row>
    <row r="46" spans="1:35" s="103" customFormat="1">
      <c r="A46" s="3" t="s">
        <v>363</v>
      </c>
      <c r="C46" s="103" t="s">
        <v>190</v>
      </c>
      <c r="E46" s="103">
        <v>51433</v>
      </c>
      <c r="G46" s="3">
        <v>13165108</v>
      </c>
      <c r="H46" s="3"/>
      <c r="I46" s="3">
        <v>0</v>
      </c>
      <c r="J46" s="3"/>
      <c r="K46" s="8">
        <f t="shared" si="3"/>
        <v>5390368</v>
      </c>
      <c r="L46" s="3"/>
      <c r="M46" s="3">
        <v>18555476</v>
      </c>
      <c r="N46" s="3"/>
      <c r="O46" s="3">
        <v>0</v>
      </c>
      <c r="P46" s="3"/>
      <c r="Q46" s="3">
        <v>1803807</v>
      </c>
      <c r="R46" s="3"/>
      <c r="S46" s="3">
        <v>4536480</v>
      </c>
      <c r="T46" s="3"/>
      <c r="U46" s="3">
        <v>0</v>
      </c>
      <c r="V46" s="3"/>
      <c r="W46" s="3">
        <v>3706574</v>
      </c>
      <c r="X46" s="3"/>
      <c r="Y46" s="3">
        <v>353481</v>
      </c>
      <c r="Z46" s="3"/>
      <c r="AA46" s="3">
        <v>295206</v>
      </c>
      <c r="AB46" s="3"/>
      <c r="AC46" s="3">
        <v>7859928</v>
      </c>
      <c r="AD46" s="3"/>
      <c r="AE46" s="22">
        <f t="shared" si="2"/>
        <v>12215189</v>
      </c>
      <c r="AF46" s="3"/>
      <c r="AG46" s="3">
        <f t="shared" si="0"/>
        <v>0</v>
      </c>
      <c r="AI46" s="3">
        <f t="shared" si="1"/>
        <v>0</v>
      </c>
    </row>
    <row r="47" spans="1:35" s="103" customFormat="1">
      <c r="A47" s="3" t="s">
        <v>247</v>
      </c>
      <c r="C47" s="103" t="s">
        <v>218</v>
      </c>
      <c r="E47" s="103">
        <v>51375</v>
      </c>
      <c r="G47" s="3">
        <f>4963728+5000</f>
        <v>4968728</v>
      </c>
      <c r="H47" s="3"/>
      <c r="I47" s="3">
        <v>23547</v>
      </c>
      <c r="J47" s="3"/>
      <c r="K47" s="8">
        <f t="shared" si="3"/>
        <v>1693540</v>
      </c>
      <c r="L47" s="3"/>
      <c r="M47" s="3">
        <v>6685815</v>
      </c>
      <c r="N47" s="3"/>
      <c r="O47" s="3">
        <v>0</v>
      </c>
      <c r="P47" s="3"/>
      <c r="Q47" s="3">
        <v>617144</v>
      </c>
      <c r="R47" s="3"/>
      <c r="S47" s="3">
        <v>1414702</v>
      </c>
      <c r="T47" s="3"/>
      <c r="U47" s="3">
        <v>66609</v>
      </c>
      <c r="V47" s="3"/>
      <c r="W47" s="3">
        <v>1001412</v>
      </c>
      <c r="X47" s="3"/>
      <c r="Y47" s="3">
        <v>0</v>
      </c>
      <c r="Z47" s="3"/>
      <c r="AA47" s="3">
        <v>62838</v>
      </c>
      <c r="AB47" s="3"/>
      <c r="AC47" s="3">
        <v>3523110</v>
      </c>
      <c r="AD47" s="3"/>
      <c r="AE47" s="22">
        <f t="shared" si="2"/>
        <v>4653969</v>
      </c>
      <c r="AF47" s="3"/>
      <c r="AG47" s="3">
        <f t="shared" si="0"/>
        <v>0</v>
      </c>
      <c r="AI47" s="3">
        <f t="shared" si="1"/>
        <v>0</v>
      </c>
    </row>
    <row r="48" spans="1:35" s="103" customFormat="1">
      <c r="A48" s="3" t="s">
        <v>364</v>
      </c>
      <c r="C48" s="103" t="s">
        <v>189</v>
      </c>
      <c r="E48" s="103">
        <v>51417</v>
      </c>
      <c r="G48" s="3">
        <f>16061269+782445</f>
        <v>16843714</v>
      </c>
      <c r="H48" s="3"/>
      <c r="I48" s="3">
        <v>0</v>
      </c>
      <c r="J48" s="3"/>
      <c r="K48" s="8">
        <f t="shared" si="3"/>
        <v>4544372</v>
      </c>
      <c r="L48" s="3"/>
      <c r="M48" s="3">
        <v>21388086</v>
      </c>
      <c r="N48" s="3"/>
      <c r="O48" s="3">
        <v>0</v>
      </c>
      <c r="P48" s="3"/>
      <c r="Q48" s="3">
        <v>1901106</v>
      </c>
      <c r="R48" s="3"/>
      <c r="S48" s="3">
        <v>3124921</v>
      </c>
      <c r="T48" s="3"/>
      <c r="U48" s="3">
        <f>90032+26923</f>
        <v>116955</v>
      </c>
      <c r="V48" s="3"/>
      <c r="W48" s="3">
        <f>3095476+612136+719524+18388+5975+14078+25155</f>
        <v>4490732</v>
      </c>
      <c r="X48" s="3"/>
      <c r="Y48" s="3">
        <f>2636595+784818</f>
        <v>3421413</v>
      </c>
      <c r="Z48" s="3"/>
      <c r="AA48" s="3">
        <f>55916+112770+583+1739195+94095+115607</f>
        <v>2118166</v>
      </c>
      <c r="AB48" s="3"/>
      <c r="AC48" s="3">
        <v>6214793</v>
      </c>
      <c r="AD48" s="3"/>
      <c r="AE48" s="22">
        <f t="shared" si="2"/>
        <v>16362059</v>
      </c>
      <c r="AF48" s="3"/>
      <c r="AG48" s="3">
        <f t="shared" si="0"/>
        <v>0</v>
      </c>
      <c r="AI48" s="3">
        <f t="shared" si="1"/>
        <v>0</v>
      </c>
    </row>
    <row r="49" spans="1:35" s="103" customFormat="1">
      <c r="A49" s="3" t="s">
        <v>248</v>
      </c>
      <c r="C49" s="103" t="s">
        <v>157</v>
      </c>
      <c r="E49" s="103">
        <v>50948</v>
      </c>
      <c r="G49" s="3">
        <v>8884477</v>
      </c>
      <c r="H49" s="3"/>
      <c r="I49" s="3">
        <v>241244</v>
      </c>
      <c r="J49" s="3"/>
      <c r="K49" s="8">
        <f t="shared" si="3"/>
        <v>9931829</v>
      </c>
      <c r="L49" s="3"/>
      <c r="M49" s="3">
        <v>19057550</v>
      </c>
      <c r="N49" s="3"/>
      <c r="O49" s="3">
        <v>0</v>
      </c>
      <c r="P49" s="3"/>
      <c r="Q49" s="3">
        <v>1479374</v>
      </c>
      <c r="R49" s="3"/>
      <c r="S49" s="3">
        <v>8386512</v>
      </c>
      <c r="T49" s="3"/>
      <c r="U49" s="3">
        <v>28683</v>
      </c>
      <c r="V49" s="3"/>
      <c r="W49" s="3">
        <v>1228</v>
      </c>
      <c r="X49" s="3"/>
      <c r="Y49" s="3">
        <v>0</v>
      </c>
      <c r="Z49" s="3"/>
      <c r="AA49" s="3">
        <v>2731159</v>
      </c>
      <c r="AB49" s="3"/>
      <c r="AC49" s="3">
        <v>6430594</v>
      </c>
      <c r="AD49" s="3"/>
      <c r="AE49" s="22">
        <f t="shared" si="2"/>
        <v>9191664</v>
      </c>
      <c r="AF49" s="3"/>
      <c r="AG49" s="3">
        <f t="shared" si="0"/>
        <v>0</v>
      </c>
      <c r="AI49" s="3">
        <f t="shared" si="1"/>
        <v>0</v>
      </c>
    </row>
    <row r="50" spans="1:35" s="103" customFormat="1">
      <c r="A50" s="3" t="s">
        <v>249</v>
      </c>
      <c r="C50" s="103" t="s">
        <v>196</v>
      </c>
      <c r="E50" s="103">
        <v>63495</v>
      </c>
      <c r="G50" s="3">
        <v>11532849</v>
      </c>
      <c r="H50" s="3"/>
      <c r="I50" s="3">
        <v>38707</v>
      </c>
      <c r="J50" s="3"/>
      <c r="K50" s="8">
        <f t="shared" si="3"/>
        <v>3147004</v>
      </c>
      <c r="L50" s="3"/>
      <c r="M50" s="3">
        <v>14718560</v>
      </c>
      <c r="N50" s="3"/>
      <c r="O50" s="3">
        <v>0</v>
      </c>
      <c r="P50" s="3"/>
      <c r="Q50" s="3">
        <v>4351014</v>
      </c>
      <c r="R50" s="3"/>
      <c r="S50" s="3">
        <v>0</v>
      </c>
      <c r="T50" s="3"/>
      <c r="U50" s="3">
        <v>0</v>
      </c>
      <c r="V50" s="3"/>
      <c r="W50" s="3">
        <v>686983</v>
      </c>
      <c r="X50" s="3"/>
      <c r="Y50" s="3">
        <v>2472669</v>
      </c>
      <c r="Z50" s="3"/>
      <c r="AA50" s="3">
        <v>189099</v>
      </c>
      <c r="AB50" s="3"/>
      <c r="AC50" s="3">
        <v>7018795</v>
      </c>
      <c r="AD50" s="3"/>
      <c r="AE50" s="22">
        <f t="shared" si="2"/>
        <v>10367546</v>
      </c>
      <c r="AF50" s="3"/>
      <c r="AG50" s="3">
        <f t="shared" si="0"/>
        <v>0</v>
      </c>
      <c r="AI50" s="3">
        <f t="shared" si="1"/>
        <v>0</v>
      </c>
    </row>
    <row r="51" spans="1:35" s="103" customFormat="1">
      <c r="A51" s="3" t="s">
        <v>383</v>
      </c>
      <c r="C51" s="103" t="s">
        <v>192</v>
      </c>
      <c r="E51" s="103">
        <v>51490</v>
      </c>
      <c r="G51" s="3">
        <v>6118527</v>
      </c>
      <c r="H51" s="3"/>
      <c r="I51" s="3">
        <v>1355452</v>
      </c>
      <c r="J51" s="3"/>
      <c r="K51" s="8">
        <f t="shared" si="3"/>
        <v>3438116</v>
      </c>
      <c r="L51" s="3"/>
      <c r="M51" s="3">
        <v>10912095</v>
      </c>
      <c r="N51" s="3"/>
      <c r="O51" s="3">
        <v>0</v>
      </c>
      <c r="P51" s="3"/>
      <c r="Q51" s="3">
        <v>620233</v>
      </c>
      <c r="R51" s="3"/>
      <c r="S51" s="3">
        <v>2838154</v>
      </c>
      <c r="T51" s="3"/>
      <c r="U51" s="3">
        <v>0</v>
      </c>
      <c r="V51" s="3"/>
      <c r="W51" s="3">
        <v>5096284</v>
      </c>
      <c r="X51" s="3"/>
      <c r="Y51" s="3">
        <v>0</v>
      </c>
      <c r="Z51" s="3"/>
      <c r="AA51" s="3">
        <v>401175</v>
      </c>
      <c r="AB51" s="3"/>
      <c r="AC51" s="3">
        <v>1956249</v>
      </c>
      <c r="AD51" s="3"/>
      <c r="AE51" s="22">
        <f t="shared" si="2"/>
        <v>7453708</v>
      </c>
      <c r="AF51" s="3"/>
      <c r="AG51" s="3">
        <f t="shared" si="0"/>
        <v>0</v>
      </c>
      <c r="AI51" s="3">
        <f t="shared" si="1"/>
        <v>0</v>
      </c>
    </row>
    <row r="52" spans="1:35" s="103" customFormat="1">
      <c r="A52" s="3" t="s">
        <v>205</v>
      </c>
      <c r="C52" s="103" t="s">
        <v>150</v>
      </c>
      <c r="E52" s="103">
        <v>50799</v>
      </c>
      <c r="G52" s="3">
        <v>8457303</v>
      </c>
      <c r="H52" s="3"/>
      <c r="I52" s="3">
        <v>20297</v>
      </c>
      <c r="J52" s="3"/>
      <c r="K52" s="8">
        <f t="shared" si="3"/>
        <v>2738386</v>
      </c>
      <c r="L52" s="3"/>
      <c r="M52" s="3">
        <v>11215986</v>
      </c>
      <c r="N52" s="3"/>
      <c r="O52" s="3">
        <v>0</v>
      </c>
      <c r="P52" s="3"/>
      <c r="Q52" s="3">
        <v>718963</v>
      </c>
      <c r="R52" s="3"/>
      <c r="S52" s="3">
        <v>1947569</v>
      </c>
      <c r="T52" s="3"/>
      <c r="U52" s="3">
        <v>209183</v>
      </c>
      <c r="V52" s="3"/>
      <c r="W52" s="3">
        <v>4273220</v>
      </c>
      <c r="X52" s="3"/>
      <c r="Y52" s="3">
        <v>323401</v>
      </c>
      <c r="Z52" s="3"/>
      <c r="AA52" s="3">
        <v>116652</v>
      </c>
      <c r="AB52" s="3"/>
      <c r="AC52" s="3">
        <v>3626998</v>
      </c>
      <c r="AD52" s="3"/>
      <c r="AE52" s="22">
        <f t="shared" si="2"/>
        <v>8549454</v>
      </c>
      <c r="AF52" s="3"/>
      <c r="AG52" s="3">
        <f t="shared" si="0"/>
        <v>0</v>
      </c>
      <c r="AI52" s="3">
        <f t="shared" si="1"/>
        <v>0</v>
      </c>
    </row>
    <row r="53" spans="1:35" s="103" customFormat="1">
      <c r="A53" s="3" t="s">
        <v>365</v>
      </c>
      <c r="C53" s="103" t="s">
        <v>152</v>
      </c>
      <c r="E53" s="103">
        <v>51532</v>
      </c>
      <c r="G53" s="3">
        <v>8163336</v>
      </c>
      <c r="H53" s="3"/>
      <c r="I53" s="3">
        <v>0</v>
      </c>
      <c r="J53" s="3"/>
      <c r="K53" s="8">
        <f t="shared" si="3"/>
        <v>6042951</v>
      </c>
      <c r="L53" s="3"/>
      <c r="M53" s="3">
        <v>14206287</v>
      </c>
      <c r="N53" s="3"/>
      <c r="O53" s="3">
        <v>0</v>
      </c>
      <c r="P53" s="3"/>
      <c r="Q53" s="3">
        <f>5816290-4647896</f>
        <v>1168394</v>
      </c>
      <c r="R53" s="3"/>
      <c r="S53" s="3">
        <v>4647896</v>
      </c>
      <c r="T53" s="3"/>
      <c r="U53" s="3">
        <v>27180</v>
      </c>
      <c r="V53" s="3"/>
      <c r="W53" s="3">
        <v>73079</v>
      </c>
      <c r="X53" s="3"/>
      <c r="Y53" s="3">
        <v>0</v>
      </c>
      <c r="Z53" s="3"/>
      <c r="AA53" s="3">
        <v>908078</v>
      </c>
      <c r="AB53" s="3"/>
      <c r="AC53" s="3">
        <v>7381660</v>
      </c>
      <c r="AD53" s="3"/>
      <c r="AE53" s="22">
        <f t="shared" si="2"/>
        <v>8389997</v>
      </c>
      <c r="AF53" s="3"/>
      <c r="AG53" s="3">
        <f t="shared" si="0"/>
        <v>0</v>
      </c>
      <c r="AI53" s="3">
        <f t="shared" si="1"/>
        <v>0</v>
      </c>
    </row>
    <row r="54" spans="1:35" s="103" customFormat="1">
      <c r="A54" s="3" t="s">
        <v>219</v>
      </c>
      <c r="C54" s="103" t="s">
        <v>195</v>
      </c>
      <c r="E54" s="103">
        <v>62026</v>
      </c>
      <c r="G54" s="3">
        <v>10393784</v>
      </c>
      <c r="H54" s="3"/>
      <c r="I54" s="3">
        <v>0</v>
      </c>
      <c r="J54" s="3"/>
      <c r="K54" s="8">
        <f t="shared" si="3"/>
        <v>2250713</v>
      </c>
      <c r="L54" s="3"/>
      <c r="M54" s="3">
        <v>12644497</v>
      </c>
      <c r="N54" s="3"/>
      <c r="O54" s="3">
        <v>0</v>
      </c>
      <c r="P54" s="3"/>
      <c r="Q54" s="3">
        <v>980598</v>
      </c>
      <c r="R54" s="3"/>
      <c r="S54" s="3">
        <v>2036148</v>
      </c>
      <c r="T54" s="3"/>
      <c r="U54" s="3">
        <f>6750+5452+30000</f>
        <v>42202</v>
      </c>
      <c r="V54" s="3"/>
      <c r="W54" s="3">
        <v>23514</v>
      </c>
      <c r="X54" s="3"/>
      <c r="Y54" s="3">
        <v>42780</v>
      </c>
      <c r="Z54" s="3"/>
      <c r="AA54" s="3">
        <f>61206+130856+810+794612+4194+52687</f>
        <v>1044365</v>
      </c>
      <c r="AB54" s="3"/>
      <c r="AC54" s="3">
        <v>8474890</v>
      </c>
      <c r="AD54" s="3"/>
      <c r="AE54" s="22">
        <f t="shared" si="2"/>
        <v>9627751</v>
      </c>
      <c r="AF54" s="3"/>
      <c r="AG54" s="3">
        <f t="shared" si="0"/>
        <v>0</v>
      </c>
      <c r="AI54" s="3">
        <f t="shared" si="1"/>
        <v>0</v>
      </c>
    </row>
    <row r="55" spans="1:35" s="103" customFormat="1">
      <c r="A55" s="3" t="s">
        <v>272</v>
      </c>
      <c r="C55" s="103" t="s">
        <v>214</v>
      </c>
      <c r="E55" s="103">
        <v>63511</v>
      </c>
      <c r="G55" s="3">
        <v>6680953</v>
      </c>
      <c r="H55" s="3"/>
      <c r="I55" s="3">
        <v>0</v>
      </c>
      <c r="J55" s="3"/>
      <c r="K55" s="8">
        <f t="shared" si="3"/>
        <v>10519863</v>
      </c>
      <c r="L55" s="3"/>
      <c r="M55" s="3">
        <v>17200816</v>
      </c>
      <c r="N55" s="3"/>
      <c r="O55" s="3">
        <v>0</v>
      </c>
      <c r="P55" s="3"/>
      <c r="Q55" s="3">
        <v>1130057</v>
      </c>
      <c r="R55" s="3"/>
      <c r="S55" s="3">
        <v>6903153</v>
      </c>
      <c r="T55" s="3"/>
      <c r="U55" s="3">
        <f>135739+23208</f>
        <v>158947</v>
      </c>
      <c r="V55" s="3"/>
      <c r="W55" s="3">
        <f>3611+7719+39306+11502+285988</f>
        <v>348126</v>
      </c>
      <c r="X55" s="3"/>
      <c r="Y55" s="3">
        <v>0</v>
      </c>
      <c r="Z55" s="3"/>
      <c r="AA55" s="3">
        <v>179276</v>
      </c>
      <c r="AB55" s="3"/>
      <c r="AC55" s="3">
        <v>8481257</v>
      </c>
      <c r="AD55" s="3"/>
      <c r="AE55" s="22">
        <f t="shared" si="2"/>
        <v>9167606</v>
      </c>
      <c r="AF55" s="3"/>
      <c r="AG55" s="3">
        <f t="shared" si="0"/>
        <v>0</v>
      </c>
      <c r="AI55" s="3">
        <f t="shared" si="1"/>
        <v>0</v>
      </c>
    </row>
    <row r="56" spans="1:35" s="103" customFormat="1">
      <c r="A56" s="3" t="s">
        <v>285</v>
      </c>
      <c r="C56" s="103" t="s">
        <v>145</v>
      </c>
      <c r="E56" s="103">
        <v>51607</v>
      </c>
      <c r="G56" s="3">
        <v>4005032</v>
      </c>
      <c r="H56" s="3"/>
      <c r="I56" s="3">
        <v>0</v>
      </c>
      <c r="J56" s="3"/>
      <c r="K56" s="8">
        <f t="shared" si="3"/>
        <v>3467452</v>
      </c>
      <c r="L56" s="3"/>
      <c r="M56" s="3">
        <v>7472484</v>
      </c>
      <c r="N56" s="3"/>
      <c r="O56" s="3">
        <v>0</v>
      </c>
      <c r="P56" s="3"/>
      <c r="Q56" s="3">
        <v>598258</v>
      </c>
      <c r="R56" s="3"/>
      <c r="S56" s="3">
        <v>3006456</v>
      </c>
      <c r="T56" s="3"/>
      <c r="U56" s="3">
        <v>63692</v>
      </c>
      <c r="V56" s="3"/>
      <c r="W56" s="3">
        <v>156555</v>
      </c>
      <c r="X56" s="3"/>
      <c r="Y56" s="3">
        <v>0</v>
      </c>
      <c r="Z56" s="3"/>
      <c r="AA56" s="3">
        <v>437378</v>
      </c>
      <c r="AB56" s="3"/>
      <c r="AC56" s="3">
        <v>3210145</v>
      </c>
      <c r="AD56" s="3"/>
      <c r="AE56" s="22">
        <f t="shared" si="2"/>
        <v>3867770</v>
      </c>
      <c r="AF56" s="3"/>
      <c r="AG56" s="3">
        <f t="shared" si="0"/>
        <v>0</v>
      </c>
      <c r="AI56" s="3">
        <f t="shared" si="1"/>
        <v>0</v>
      </c>
    </row>
    <row r="57" spans="1:35" s="103" customFormat="1">
      <c r="A57" s="3" t="s">
        <v>215</v>
      </c>
      <c r="C57" s="103" t="s">
        <v>216</v>
      </c>
      <c r="E57" s="103">
        <v>65268</v>
      </c>
      <c r="G57" s="3">
        <v>3555654</v>
      </c>
      <c r="H57" s="3"/>
      <c r="I57" s="3">
        <v>0</v>
      </c>
      <c r="J57" s="3"/>
      <c r="K57" s="8">
        <f t="shared" si="3"/>
        <v>4271826</v>
      </c>
      <c r="L57" s="3"/>
      <c r="M57" s="3">
        <v>7827480</v>
      </c>
      <c r="N57" s="3"/>
      <c r="O57" s="3">
        <v>0</v>
      </c>
      <c r="P57" s="3"/>
      <c r="Q57" s="3">
        <v>972687</v>
      </c>
      <c r="R57" s="3"/>
      <c r="S57" s="3">
        <v>3029144</v>
      </c>
      <c r="T57" s="3"/>
      <c r="U57" s="3">
        <v>56393</v>
      </c>
      <c r="V57" s="3"/>
      <c r="W57" s="3">
        <v>1352832</v>
      </c>
      <c r="X57" s="3"/>
      <c r="Y57" s="3">
        <v>0</v>
      </c>
      <c r="Z57" s="3"/>
      <c r="AA57" s="3">
        <v>154965</v>
      </c>
      <c r="AB57" s="3"/>
      <c r="AC57" s="3">
        <v>2261459</v>
      </c>
      <c r="AD57" s="3"/>
      <c r="AE57" s="22">
        <f t="shared" si="2"/>
        <v>3825649</v>
      </c>
      <c r="AF57" s="3"/>
      <c r="AG57" s="3">
        <f t="shared" si="0"/>
        <v>0</v>
      </c>
      <c r="AI57" s="3">
        <f t="shared" si="1"/>
        <v>0</v>
      </c>
    </row>
    <row r="58" spans="1:35" s="103" customFormat="1">
      <c r="A58" s="3" t="s">
        <v>366</v>
      </c>
      <c r="C58" s="103" t="s">
        <v>197</v>
      </c>
      <c r="E58" s="103">
        <v>51631</v>
      </c>
      <c r="G58" s="3">
        <v>9482179</v>
      </c>
      <c r="H58" s="3"/>
      <c r="I58" s="3">
        <v>0</v>
      </c>
      <c r="J58" s="3"/>
      <c r="K58" s="8">
        <f t="shared" si="3"/>
        <v>6825112</v>
      </c>
      <c r="L58" s="3"/>
      <c r="M58" s="3">
        <v>16307291</v>
      </c>
      <c r="N58" s="3"/>
      <c r="O58" s="3">
        <v>0</v>
      </c>
      <c r="P58" s="3"/>
      <c r="Q58" s="3">
        <v>1816551</v>
      </c>
      <c r="R58" s="3"/>
      <c r="S58" s="3">
        <v>6500280</v>
      </c>
      <c r="T58" s="3"/>
      <c r="U58" s="3">
        <f>3747+29593+2118</f>
        <v>35458</v>
      </c>
      <c r="V58" s="3"/>
      <c r="W58" s="3">
        <f>25953+55192</f>
        <v>81145</v>
      </c>
      <c r="X58" s="3"/>
      <c r="Y58" s="3">
        <v>933074</v>
      </c>
      <c r="Z58" s="3"/>
      <c r="AA58" s="3">
        <f>39083+55388+1247+899761+250+185103</f>
        <v>1180832</v>
      </c>
      <c r="AB58" s="3"/>
      <c r="AC58" s="3">
        <v>5759951</v>
      </c>
      <c r="AD58" s="3"/>
      <c r="AE58" s="22">
        <f t="shared" si="2"/>
        <v>7990460</v>
      </c>
      <c r="AF58" s="3"/>
      <c r="AG58" s="3">
        <f t="shared" si="0"/>
        <v>0</v>
      </c>
      <c r="AI58" s="3">
        <f t="shared" si="1"/>
        <v>0</v>
      </c>
    </row>
    <row r="59" spans="1:35" s="103" customFormat="1">
      <c r="A59" s="3" t="s">
        <v>206</v>
      </c>
      <c r="C59" s="103" t="s">
        <v>154</v>
      </c>
      <c r="E59" s="103">
        <v>62802</v>
      </c>
      <c r="G59" s="3">
        <f>11767319+27819</f>
        <v>11795138</v>
      </c>
      <c r="H59" s="3"/>
      <c r="I59" s="3">
        <v>24056</v>
      </c>
      <c r="J59" s="3"/>
      <c r="K59" s="8">
        <f t="shared" si="3"/>
        <v>3607800</v>
      </c>
      <c r="L59" s="3"/>
      <c r="M59" s="3">
        <v>15426994</v>
      </c>
      <c r="N59" s="3"/>
      <c r="O59" s="3">
        <v>0</v>
      </c>
      <c r="P59" s="3"/>
      <c r="Q59" s="3">
        <f>3650455-2957645</f>
        <v>692810</v>
      </c>
      <c r="R59" s="3"/>
      <c r="S59" s="3">
        <v>2957645</v>
      </c>
      <c r="T59" s="3"/>
      <c r="U59" s="3">
        <v>819</v>
      </c>
      <c r="V59" s="3"/>
      <c r="W59" s="3">
        <v>274685</v>
      </c>
      <c r="X59" s="3"/>
      <c r="Y59" s="3">
        <v>0</v>
      </c>
      <c r="Z59" s="3"/>
      <c r="AA59" s="3">
        <v>690835</v>
      </c>
      <c r="AB59" s="3"/>
      <c r="AC59" s="3">
        <v>10810200</v>
      </c>
      <c r="AD59" s="3"/>
      <c r="AE59" s="22">
        <f t="shared" si="2"/>
        <v>11776539</v>
      </c>
      <c r="AF59" s="3"/>
      <c r="AG59" s="3">
        <f t="shared" si="0"/>
        <v>0</v>
      </c>
      <c r="AI59" s="3">
        <f t="shared" si="1"/>
        <v>0</v>
      </c>
    </row>
    <row r="60" spans="1:35" s="103" customFormat="1">
      <c r="A60" s="3" t="s">
        <v>354</v>
      </c>
      <c r="C60" s="103" t="s">
        <v>180</v>
      </c>
      <c r="E60" s="103">
        <v>62125</v>
      </c>
      <c r="G60" s="3">
        <v>7515193</v>
      </c>
      <c r="H60" s="3"/>
      <c r="I60" s="3">
        <v>790</v>
      </c>
      <c r="J60" s="3"/>
      <c r="K60" s="8">
        <f t="shared" si="3"/>
        <v>7664345</v>
      </c>
      <c r="L60" s="3"/>
      <c r="M60" s="3">
        <v>15180328</v>
      </c>
      <c r="N60" s="3"/>
      <c r="O60" s="3">
        <v>0</v>
      </c>
      <c r="P60" s="3"/>
      <c r="Q60" s="3">
        <v>2581639</v>
      </c>
      <c r="R60" s="3"/>
      <c r="S60" s="3">
        <v>6057081</v>
      </c>
      <c r="T60" s="3"/>
      <c r="U60" s="3">
        <v>423712</v>
      </c>
      <c r="V60" s="3"/>
      <c r="W60" s="3">
        <v>2749607</v>
      </c>
      <c r="X60" s="3"/>
      <c r="Y60" s="3">
        <v>352370</v>
      </c>
      <c r="Z60" s="3"/>
      <c r="AA60" s="3">
        <v>935685</v>
      </c>
      <c r="AB60" s="3"/>
      <c r="AC60" s="3">
        <v>2080234</v>
      </c>
      <c r="AD60" s="3"/>
      <c r="AE60" s="22">
        <f t="shared" si="2"/>
        <v>6541608</v>
      </c>
      <c r="AF60" s="3"/>
      <c r="AG60" s="3">
        <f t="shared" si="0"/>
        <v>0</v>
      </c>
      <c r="AI60" s="3">
        <f t="shared" si="1"/>
        <v>0</v>
      </c>
    </row>
    <row r="61" spans="1:35" s="103" customFormat="1">
      <c r="A61" s="3" t="s">
        <v>250</v>
      </c>
      <c r="C61" s="103" t="s">
        <v>191</v>
      </c>
      <c r="E61" s="103">
        <v>51458</v>
      </c>
      <c r="G61" s="3">
        <f>14447517+423</f>
        <v>14447940</v>
      </c>
      <c r="H61" s="3"/>
      <c r="I61" s="3">
        <v>0</v>
      </c>
      <c r="J61" s="3"/>
      <c r="K61" s="8">
        <f t="shared" si="3"/>
        <v>5492041</v>
      </c>
      <c r="L61" s="3"/>
      <c r="M61" s="3">
        <v>19939981</v>
      </c>
      <c r="N61" s="3"/>
      <c r="O61" s="3">
        <v>0</v>
      </c>
      <c r="P61" s="3"/>
      <c r="Q61" s="3">
        <v>1513207</v>
      </c>
      <c r="R61" s="3"/>
      <c r="S61" s="3">
        <v>4641969</v>
      </c>
      <c r="T61" s="3"/>
      <c r="U61" s="3">
        <f>11314+60151</f>
        <v>71465</v>
      </c>
      <c r="V61" s="3"/>
      <c r="W61" s="3">
        <f>108180+428450+1088980+82329</f>
        <v>1707939</v>
      </c>
      <c r="X61" s="3"/>
      <c r="Y61" s="3">
        <f>396153+450</f>
        <v>396603</v>
      </c>
      <c r="Z61" s="3"/>
      <c r="AA61" s="3">
        <f>121524+90541+15356+22161+36324+4755000+1540943+166505</f>
        <v>6748354</v>
      </c>
      <c r="AB61" s="3"/>
      <c r="AC61" s="3">
        <v>4860444</v>
      </c>
      <c r="AD61" s="3"/>
      <c r="AE61" s="22">
        <f t="shared" si="2"/>
        <v>13784805</v>
      </c>
      <c r="AF61" s="3"/>
      <c r="AG61" s="3">
        <f t="shared" si="0"/>
        <v>0</v>
      </c>
      <c r="AI61" s="3">
        <f t="shared" si="1"/>
        <v>0</v>
      </c>
    </row>
    <row r="62" spans="1:35" s="103" customFormat="1">
      <c r="A62" s="3" t="s">
        <v>251</v>
      </c>
      <c r="C62" s="103" t="s">
        <v>200</v>
      </c>
      <c r="E62" s="103">
        <v>51672</v>
      </c>
      <c r="G62" s="3">
        <v>8999965</v>
      </c>
      <c r="H62" s="3"/>
      <c r="I62" s="3">
        <v>0</v>
      </c>
      <c r="J62" s="3"/>
      <c r="K62" s="8">
        <f t="shared" si="3"/>
        <v>4595937</v>
      </c>
      <c r="L62" s="3"/>
      <c r="M62" s="3">
        <v>13595902</v>
      </c>
      <c r="N62" s="3"/>
      <c r="O62" s="3">
        <v>0</v>
      </c>
      <c r="P62" s="3"/>
      <c r="Q62" s="3">
        <v>850240</v>
      </c>
      <c r="R62" s="3"/>
      <c r="S62" s="3">
        <v>4094146</v>
      </c>
      <c r="T62" s="3"/>
      <c r="U62" s="3">
        <f>78990+57499</f>
        <v>136489</v>
      </c>
      <c r="V62" s="3"/>
      <c r="W62" s="3">
        <f>857369+1411121+239564+842383+49286</f>
        <v>3399723</v>
      </c>
      <c r="X62" s="3"/>
      <c r="Y62" s="3">
        <v>606740</v>
      </c>
      <c r="Z62" s="3"/>
      <c r="AA62" s="3">
        <f>810+9570+338679</f>
        <v>349059</v>
      </c>
      <c r="AB62" s="3"/>
      <c r="AC62" s="3">
        <v>4159505</v>
      </c>
      <c r="AD62" s="3"/>
      <c r="AE62" s="22">
        <f t="shared" si="2"/>
        <v>8651516</v>
      </c>
      <c r="AF62" s="3"/>
      <c r="AG62" s="3">
        <f t="shared" si="0"/>
        <v>0</v>
      </c>
      <c r="AI62" s="3">
        <f t="shared" si="1"/>
        <v>0</v>
      </c>
    </row>
    <row r="63" spans="1:35" s="103" customFormat="1">
      <c r="A63" s="3" t="s">
        <v>385</v>
      </c>
      <c r="C63" s="103" t="s">
        <v>201</v>
      </c>
      <c r="E63" s="103">
        <v>51474</v>
      </c>
      <c r="G63" s="3">
        <v>17294771</v>
      </c>
      <c r="H63" s="3"/>
      <c r="I63" s="3">
        <v>0</v>
      </c>
      <c r="J63" s="3"/>
      <c r="K63" s="8">
        <f t="shared" si="3"/>
        <v>9514886</v>
      </c>
      <c r="L63" s="3"/>
      <c r="M63" s="3">
        <v>26809657</v>
      </c>
      <c r="N63" s="3"/>
      <c r="O63" s="3">
        <v>0</v>
      </c>
      <c r="P63" s="3"/>
      <c r="Q63" s="3">
        <v>1155070</v>
      </c>
      <c r="R63" s="3"/>
      <c r="S63" s="3">
        <v>7430898</v>
      </c>
      <c r="T63" s="3"/>
      <c r="U63" s="3">
        <v>4240</v>
      </c>
      <c r="V63" s="3"/>
      <c r="W63" s="3">
        <v>482120</v>
      </c>
      <c r="X63" s="3"/>
      <c r="Y63" s="3">
        <v>0</v>
      </c>
      <c r="Z63" s="3"/>
      <c r="AA63" s="3">
        <v>8134152</v>
      </c>
      <c r="AB63" s="3"/>
      <c r="AC63" s="3">
        <v>9603177</v>
      </c>
      <c r="AD63" s="3"/>
      <c r="AE63" s="22">
        <f t="shared" si="2"/>
        <v>18223689</v>
      </c>
      <c r="AF63" s="3"/>
      <c r="AG63" s="3">
        <f t="shared" si="0"/>
        <v>0</v>
      </c>
      <c r="AI63" s="3">
        <f t="shared" si="1"/>
        <v>0</v>
      </c>
    </row>
    <row r="64" spans="1:35" s="103" customFormat="1">
      <c r="A64" s="3" t="s">
        <v>264</v>
      </c>
      <c r="C64" s="103" t="s">
        <v>202</v>
      </c>
      <c r="E64" s="103">
        <v>51698</v>
      </c>
      <c r="G64" s="3">
        <v>3531969</v>
      </c>
      <c r="H64" s="3"/>
      <c r="I64" s="3">
        <f>29228+436089</f>
        <v>465317</v>
      </c>
      <c r="J64" s="3"/>
      <c r="K64" s="8">
        <f t="shared" si="3"/>
        <v>2484234</v>
      </c>
      <c r="L64" s="3"/>
      <c r="M64" s="3">
        <v>6481520</v>
      </c>
      <c r="N64" s="3"/>
      <c r="O64" s="3">
        <v>0</v>
      </c>
      <c r="P64" s="3"/>
      <c r="Q64" s="3">
        <v>502981</v>
      </c>
      <c r="R64" s="3"/>
      <c r="S64" s="3">
        <v>2148586</v>
      </c>
      <c r="T64" s="3"/>
      <c r="U64" s="3">
        <v>29549</v>
      </c>
      <c r="V64" s="3"/>
      <c r="W64" s="3">
        <v>147152</v>
      </c>
      <c r="X64" s="3"/>
      <c r="Y64" s="3">
        <v>12001</v>
      </c>
      <c r="Z64" s="3"/>
      <c r="AA64" s="3">
        <v>346091</v>
      </c>
      <c r="AB64" s="3"/>
      <c r="AC64" s="3">
        <v>3295160</v>
      </c>
      <c r="AD64" s="3"/>
      <c r="AE64" s="22">
        <f t="shared" si="2"/>
        <v>3829953</v>
      </c>
      <c r="AF64" s="3"/>
      <c r="AG64" s="3">
        <f t="shared" si="0"/>
        <v>0</v>
      </c>
      <c r="AI64" s="3">
        <f t="shared" si="1"/>
        <v>0</v>
      </c>
    </row>
    <row r="65" spans="1:38" s="103" customFormat="1">
      <c r="A65" s="3" t="s">
        <v>352</v>
      </c>
      <c r="C65" s="103" t="s">
        <v>203</v>
      </c>
      <c r="E65" s="103">
        <v>51714</v>
      </c>
      <c r="G65" s="3">
        <v>12242251</v>
      </c>
      <c r="H65" s="3"/>
      <c r="I65" s="3">
        <v>0</v>
      </c>
      <c r="J65" s="3"/>
      <c r="K65" s="8">
        <f t="shared" si="3"/>
        <v>5857112</v>
      </c>
      <c r="L65" s="3"/>
      <c r="M65" s="3">
        <v>18099363</v>
      </c>
      <c r="N65" s="3"/>
      <c r="O65" s="3">
        <v>0</v>
      </c>
      <c r="P65" s="3"/>
      <c r="Q65" s="3">
        <f>6467846-5375085</f>
        <v>1092761</v>
      </c>
      <c r="R65" s="3"/>
      <c r="S65" s="3">
        <v>5375085</v>
      </c>
      <c r="T65" s="3"/>
      <c r="U65" s="3">
        <v>0</v>
      </c>
      <c r="V65" s="3"/>
      <c r="W65" s="3">
        <v>4714833</v>
      </c>
      <c r="X65" s="3"/>
      <c r="Y65" s="3">
        <v>0</v>
      </c>
      <c r="Z65" s="3"/>
      <c r="AA65" s="3">
        <v>290319</v>
      </c>
      <c r="AB65" s="3"/>
      <c r="AC65" s="3">
        <v>6626365</v>
      </c>
      <c r="AD65" s="3"/>
      <c r="AE65" s="22">
        <f t="shared" si="2"/>
        <v>11631517</v>
      </c>
      <c r="AF65" s="3"/>
      <c r="AG65" s="3">
        <f t="shared" si="0"/>
        <v>0</v>
      </c>
      <c r="AI65" s="3">
        <f t="shared" si="1"/>
        <v>0</v>
      </c>
    </row>
    <row r="66" spans="1:38" s="15" customFormat="1">
      <c r="A66" s="3"/>
      <c r="G66" s="3"/>
      <c r="H66" s="3"/>
      <c r="I66" s="3"/>
      <c r="J66" s="3"/>
      <c r="K66" s="8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22"/>
      <c r="AF66" s="3"/>
      <c r="AG66" s="3"/>
    </row>
    <row r="67" spans="1:38" s="15" customFormat="1">
      <c r="A67" s="3"/>
      <c r="G67" s="3"/>
      <c r="H67" s="3"/>
      <c r="I67" s="3"/>
      <c r="J67" s="3"/>
      <c r="K67" s="8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22"/>
      <c r="AF67" s="3"/>
      <c r="AG67" s="3"/>
    </row>
    <row r="68" spans="1:38" s="15" customFormat="1">
      <c r="A68" s="34" t="s">
        <v>253</v>
      </c>
      <c r="C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22"/>
      <c r="AF68" s="3"/>
      <c r="AG68" s="3"/>
    </row>
    <row r="69" spans="1:38" s="15" customFormat="1">
      <c r="A69" s="34"/>
      <c r="C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22"/>
      <c r="AF69" s="3"/>
      <c r="AG69" s="3"/>
    </row>
    <row r="70" spans="1:38" s="59" customFormat="1" ht="12.75" hidden="1" customHeight="1">
      <c r="A70" s="58" t="s">
        <v>327</v>
      </c>
      <c r="B70" s="58"/>
      <c r="C70" s="58" t="s">
        <v>260</v>
      </c>
      <c r="E70" s="75">
        <v>45740</v>
      </c>
      <c r="G70" s="58">
        <v>0</v>
      </c>
      <c r="H70" s="58"/>
      <c r="I70" s="58">
        <v>0</v>
      </c>
      <c r="J70" s="58"/>
      <c r="K70" s="63">
        <f>+M70-I70-G70</f>
        <v>0</v>
      </c>
      <c r="L70" s="58"/>
      <c r="M70" s="58">
        <v>0</v>
      </c>
      <c r="N70" s="58"/>
      <c r="O70" s="58">
        <v>0</v>
      </c>
      <c r="P70" s="58"/>
      <c r="Q70" s="58">
        <v>0</v>
      </c>
      <c r="R70" s="58"/>
      <c r="S70" s="58">
        <v>0</v>
      </c>
      <c r="T70" s="58"/>
      <c r="U70" s="58">
        <v>0</v>
      </c>
      <c r="V70" s="58"/>
      <c r="W70" s="58">
        <v>0</v>
      </c>
      <c r="X70" s="58"/>
      <c r="Y70" s="58">
        <v>0</v>
      </c>
      <c r="Z70" s="58"/>
      <c r="AA70" s="58">
        <v>0</v>
      </c>
      <c r="AB70" s="58"/>
      <c r="AC70" s="58">
        <v>0</v>
      </c>
      <c r="AD70" s="58"/>
      <c r="AE70" s="66">
        <f>+AA70+Y70+U70+W70</f>
        <v>0</v>
      </c>
      <c r="AF70" s="58"/>
      <c r="AG70" s="87">
        <f t="shared" ref="AG70:AG131" si="4">+G70+I70+K70+O70-Q70-S70-AA70-Y70-U70-W70-AC70</f>
        <v>0</v>
      </c>
      <c r="AI70" s="87">
        <f t="shared" ref="AI70:AI131" si="5">M70+O70-Q70-S70-AE70</f>
        <v>0</v>
      </c>
    </row>
    <row r="71" spans="1:38" s="59" customFormat="1" hidden="1">
      <c r="A71" s="58" t="s">
        <v>328</v>
      </c>
      <c r="B71" s="58"/>
      <c r="C71" s="58" t="s">
        <v>144</v>
      </c>
      <c r="E71" s="75">
        <v>45849</v>
      </c>
      <c r="G71" s="58">
        <v>0</v>
      </c>
      <c r="H71" s="58"/>
      <c r="I71" s="58">
        <v>0</v>
      </c>
      <c r="J71" s="58"/>
      <c r="K71" s="63">
        <f>+M71-I71-G71</f>
        <v>0</v>
      </c>
      <c r="L71" s="58"/>
      <c r="M71" s="58">
        <v>0</v>
      </c>
      <c r="N71" s="58"/>
      <c r="O71" s="58">
        <v>0</v>
      </c>
      <c r="P71" s="58"/>
      <c r="Q71" s="58">
        <v>0</v>
      </c>
      <c r="R71" s="58"/>
      <c r="S71" s="58">
        <v>0</v>
      </c>
      <c r="T71" s="58"/>
      <c r="U71" s="58">
        <v>0</v>
      </c>
      <c r="V71" s="58"/>
      <c r="W71" s="58">
        <v>0</v>
      </c>
      <c r="X71" s="58"/>
      <c r="Y71" s="58">
        <v>0</v>
      </c>
      <c r="Z71" s="58"/>
      <c r="AA71" s="58">
        <v>0</v>
      </c>
      <c r="AB71" s="58"/>
      <c r="AC71" s="58">
        <v>0</v>
      </c>
      <c r="AD71" s="58"/>
      <c r="AE71" s="66">
        <f t="shared" ref="AE71:AE131" si="6">+AA71+Y71+U71+W71+AC71</f>
        <v>0</v>
      </c>
      <c r="AG71" s="87">
        <f t="shared" si="4"/>
        <v>0</v>
      </c>
      <c r="AI71" s="87">
        <f t="shared" si="5"/>
        <v>0</v>
      </c>
    </row>
    <row r="72" spans="1:38" s="103" customFormat="1">
      <c r="A72" s="3" t="s">
        <v>148</v>
      </c>
      <c r="C72" s="103" t="s">
        <v>145</v>
      </c>
      <c r="E72" s="103">
        <v>135145</v>
      </c>
      <c r="G72" s="19">
        <v>847595</v>
      </c>
      <c r="H72" s="19"/>
      <c r="I72" s="19">
        <v>0</v>
      </c>
      <c r="J72" s="19"/>
      <c r="K72" s="112">
        <f>+M72-I72-G72</f>
        <v>1589043</v>
      </c>
      <c r="L72" s="19"/>
      <c r="M72" s="19">
        <v>2436638</v>
      </c>
      <c r="N72" s="19"/>
      <c r="O72" s="19">
        <v>0</v>
      </c>
      <c r="P72" s="19"/>
      <c r="Q72" s="19">
        <v>1365266</v>
      </c>
      <c r="R72" s="19"/>
      <c r="S72" s="19">
        <v>125587</v>
      </c>
      <c r="T72" s="19"/>
      <c r="U72" s="19">
        <v>0</v>
      </c>
      <c r="V72" s="19"/>
      <c r="W72" s="19">
        <v>529876</v>
      </c>
      <c r="X72" s="19"/>
      <c r="Y72" s="19">
        <v>0</v>
      </c>
      <c r="Z72" s="19"/>
      <c r="AA72" s="19">
        <v>86348</v>
      </c>
      <c r="AB72" s="19"/>
      <c r="AC72" s="19">
        <v>329561</v>
      </c>
      <c r="AD72" s="19"/>
      <c r="AE72" s="113">
        <f t="shared" si="6"/>
        <v>945785</v>
      </c>
      <c r="AF72" s="3"/>
      <c r="AG72" s="3">
        <f t="shared" si="4"/>
        <v>0</v>
      </c>
      <c r="AI72" s="3">
        <f t="shared" si="5"/>
        <v>0</v>
      </c>
    </row>
    <row r="73" spans="1:38" s="59" customFormat="1" hidden="1">
      <c r="A73" s="58" t="s">
        <v>329</v>
      </c>
      <c r="B73" s="58"/>
      <c r="C73" s="58" t="s">
        <v>261</v>
      </c>
      <c r="E73" s="59">
        <v>45930</v>
      </c>
      <c r="G73" s="58">
        <v>0</v>
      </c>
      <c r="H73" s="58"/>
      <c r="I73" s="58">
        <v>0</v>
      </c>
      <c r="J73" s="58"/>
      <c r="K73" s="63">
        <f>+M73-I73-G73</f>
        <v>0</v>
      </c>
      <c r="L73" s="58"/>
      <c r="M73" s="58">
        <v>0</v>
      </c>
      <c r="N73" s="58"/>
      <c r="O73" s="58">
        <v>0</v>
      </c>
      <c r="P73" s="58"/>
      <c r="Q73" s="58">
        <v>0</v>
      </c>
      <c r="R73" s="58"/>
      <c r="S73" s="58">
        <v>0</v>
      </c>
      <c r="T73" s="58"/>
      <c r="U73" s="58">
        <v>0</v>
      </c>
      <c r="V73" s="58"/>
      <c r="W73" s="58">
        <v>0</v>
      </c>
      <c r="X73" s="58"/>
      <c r="Y73" s="58">
        <v>0</v>
      </c>
      <c r="Z73" s="58"/>
      <c r="AA73" s="58">
        <v>0</v>
      </c>
      <c r="AB73" s="58"/>
      <c r="AC73" s="58">
        <v>0</v>
      </c>
      <c r="AD73" s="58"/>
      <c r="AE73" s="66">
        <f t="shared" si="6"/>
        <v>0</v>
      </c>
      <c r="AG73" s="87">
        <f t="shared" si="4"/>
        <v>0</v>
      </c>
      <c r="AH73" s="65"/>
      <c r="AI73" s="87">
        <f t="shared" si="5"/>
        <v>0</v>
      </c>
      <c r="AJ73" s="65"/>
      <c r="AK73" s="65"/>
      <c r="AL73" s="65"/>
    </row>
    <row r="74" spans="1:38" s="102" customFormat="1">
      <c r="A74" s="103" t="s">
        <v>286</v>
      </c>
      <c r="B74" s="103"/>
      <c r="C74" s="103" t="s">
        <v>150</v>
      </c>
      <c r="E74" s="103">
        <v>46029</v>
      </c>
      <c r="G74" s="3">
        <v>2032441</v>
      </c>
      <c r="H74" s="3"/>
      <c r="I74" s="3">
        <v>0</v>
      </c>
      <c r="J74" s="3"/>
      <c r="K74" s="8">
        <f>+M74-I74-G74</f>
        <v>124970</v>
      </c>
      <c r="L74" s="3"/>
      <c r="M74" s="3">
        <v>2157411</v>
      </c>
      <c r="N74" s="3"/>
      <c r="O74" s="3">
        <v>0</v>
      </c>
      <c r="P74" s="3"/>
      <c r="Q74" s="3">
        <v>520670</v>
      </c>
      <c r="R74" s="3"/>
      <c r="S74" s="3">
        <v>0</v>
      </c>
      <c r="T74" s="3"/>
      <c r="U74" s="3">
        <v>90257</v>
      </c>
      <c r="V74" s="3"/>
      <c r="W74" s="3">
        <v>0</v>
      </c>
      <c r="X74" s="3"/>
      <c r="Y74" s="3">
        <v>25000</v>
      </c>
      <c r="Z74" s="3"/>
      <c r="AA74" s="3">
        <v>12446</v>
      </c>
      <c r="AB74" s="3"/>
      <c r="AC74" s="3">
        <v>1509038</v>
      </c>
      <c r="AD74" s="3"/>
      <c r="AE74" s="22">
        <f t="shared" si="6"/>
        <v>1636741</v>
      </c>
      <c r="AF74" s="103"/>
      <c r="AG74" s="3">
        <f t="shared" si="4"/>
        <v>0</v>
      </c>
      <c r="AI74" s="3">
        <f t="shared" si="5"/>
        <v>0</v>
      </c>
    </row>
    <row r="75" spans="1:38" s="103" customFormat="1">
      <c r="A75" s="103" t="s">
        <v>287</v>
      </c>
      <c r="C75" s="103" t="s">
        <v>147</v>
      </c>
      <c r="E75" s="103">
        <v>46086</v>
      </c>
      <c r="G75" s="3">
        <v>2134253</v>
      </c>
      <c r="H75" s="3"/>
      <c r="I75" s="3">
        <v>0</v>
      </c>
      <c r="J75" s="3"/>
      <c r="K75" s="8">
        <f t="shared" ref="K75:K131" si="7">+M75-I75-G75</f>
        <v>4465697</v>
      </c>
      <c r="L75" s="3"/>
      <c r="M75" s="3">
        <v>6599950</v>
      </c>
      <c r="N75" s="3"/>
      <c r="O75" s="3">
        <v>0</v>
      </c>
      <c r="P75" s="3"/>
      <c r="Q75" s="3">
        <v>4598097</v>
      </c>
      <c r="R75" s="3"/>
      <c r="S75" s="3">
        <v>0</v>
      </c>
      <c r="T75" s="3"/>
      <c r="U75" s="3">
        <v>0</v>
      </c>
      <c r="V75" s="3"/>
      <c r="W75" s="3">
        <v>406788</v>
      </c>
      <c r="X75" s="3"/>
      <c r="Y75" s="3">
        <v>0</v>
      </c>
      <c r="Z75" s="3"/>
      <c r="AA75" s="3">
        <v>280722</v>
      </c>
      <c r="AB75" s="3"/>
      <c r="AC75" s="3">
        <v>1314343</v>
      </c>
      <c r="AD75" s="3"/>
      <c r="AE75" s="22">
        <f t="shared" si="6"/>
        <v>2001853</v>
      </c>
      <c r="AG75" s="3">
        <f t="shared" si="4"/>
        <v>0</v>
      </c>
      <c r="AI75" s="3">
        <f t="shared" si="5"/>
        <v>0</v>
      </c>
    </row>
    <row r="76" spans="1:38" s="103" customFormat="1">
      <c r="A76" s="103" t="s">
        <v>288</v>
      </c>
      <c r="C76" s="103" t="s">
        <v>152</v>
      </c>
      <c r="E76" s="103">
        <v>46227</v>
      </c>
      <c r="G76" s="3">
        <v>1357531</v>
      </c>
      <c r="H76" s="3"/>
      <c r="I76" s="3">
        <v>453216</v>
      </c>
      <c r="J76" s="3"/>
      <c r="K76" s="8">
        <f t="shared" si="7"/>
        <v>362826</v>
      </c>
      <c r="L76" s="3"/>
      <c r="M76" s="3">
        <v>2173573</v>
      </c>
      <c r="N76" s="3"/>
      <c r="O76" s="3">
        <v>0</v>
      </c>
      <c r="P76" s="3"/>
      <c r="Q76" s="3">
        <v>1026138</v>
      </c>
      <c r="R76" s="3"/>
      <c r="S76" s="3">
        <v>27992</v>
      </c>
      <c r="T76" s="3"/>
      <c r="U76" s="3">
        <v>0</v>
      </c>
      <c r="V76" s="3"/>
      <c r="W76" s="3">
        <f>52548+34807+453216</f>
        <v>540571</v>
      </c>
      <c r="X76" s="3"/>
      <c r="Y76" s="3">
        <v>0</v>
      </c>
      <c r="Z76" s="3"/>
      <c r="AA76" s="3">
        <f>109154+203667+44016</f>
        <v>356837</v>
      </c>
      <c r="AB76" s="3"/>
      <c r="AC76" s="3">
        <v>222035</v>
      </c>
      <c r="AD76" s="3"/>
      <c r="AE76" s="22">
        <f t="shared" si="6"/>
        <v>1119443</v>
      </c>
      <c r="AG76" s="3">
        <f t="shared" si="4"/>
        <v>0</v>
      </c>
      <c r="AI76" s="3">
        <f t="shared" si="5"/>
        <v>0</v>
      </c>
    </row>
    <row r="77" spans="1:38" s="103" customFormat="1">
      <c r="A77" s="3" t="s">
        <v>153</v>
      </c>
      <c r="C77" s="103" t="s">
        <v>154</v>
      </c>
      <c r="E77" s="103">
        <v>46292</v>
      </c>
      <c r="G77" s="3">
        <v>6014047</v>
      </c>
      <c r="H77" s="3"/>
      <c r="I77" s="3">
        <v>0</v>
      </c>
      <c r="J77" s="3"/>
      <c r="K77" s="8">
        <f t="shared" si="7"/>
        <v>1129537</v>
      </c>
      <c r="L77" s="3"/>
      <c r="M77" s="3">
        <v>7143584</v>
      </c>
      <c r="N77" s="3"/>
      <c r="O77" s="3">
        <v>0</v>
      </c>
      <c r="P77" s="3"/>
      <c r="Q77" s="3">
        <v>1614746</v>
      </c>
      <c r="R77" s="3"/>
      <c r="S77" s="3">
        <v>147455</v>
      </c>
      <c r="T77" s="3"/>
      <c r="U77" s="3">
        <v>0</v>
      </c>
      <c r="V77" s="3"/>
      <c r="W77" s="3">
        <v>19402</v>
      </c>
      <c r="X77" s="3"/>
      <c r="Y77" s="3">
        <v>0</v>
      </c>
      <c r="Z77" s="3"/>
      <c r="AA77" s="3">
        <v>27734</v>
      </c>
      <c r="AB77" s="3"/>
      <c r="AC77" s="3">
        <v>5334247</v>
      </c>
      <c r="AD77" s="3"/>
      <c r="AE77" s="22">
        <f t="shared" si="6"/>
        <v>5381383</v>
      </c>
      <c r="AG77" s="3">
        <f t="shared" si="4"/>
        <v>0</v>
      </c>
      <c r="AI77" s="3">
        <f t="shared" si="5"/>
        <v>0</v>
      </c>
    </row>
    <row r="78" spans="1:38" s="89" customFormat="1" hidden="1">
      <c r="A78" s="89" t="s">
        <v>276</v>
      </c>
      <c r="C78" s="89" t="s">
        <v>155</v>
      </c>
      <c r="E78" s="89">
        <v>46375</v>
      </c>
      <c r="G78" s="88">
        <v>0</v>
      </c>
      <c r="H78" s="88"/>
      <c r="I78" s="88">
        <v>0</v>
      </c>
      <c r="J78" s="88"/>
      <c r="K78" s="95">
        <f t="shared" si="7"/>
        <v>0</v>
      </c>
      <c r="L78" s="88"/>
      <c r="M78" s="88">
        <v>0</v>
      </c>
      <c r="N78" s="88"/>
      <c r="O78" s="88">
        <v>0</v>
      </c>
      <c r="P78" s="88"/>
      <c r="Q78" s="88">
        <v>0</v>
      </c>
      <c r="R78" s="88"/>
      <c r="S78" s="88">
        <v>0</v>
      </c>
      <c r="T78" s="88"/>
      <c r="U78" s="88">
        <v>0</v>
      </c>
      <c r="V78" s="88"/>
      <c r="W78" s="88">
        <v>0</v>
      </c>
      <c r="X78" s="88"/>
      <c r="Y78" s="88">
        <v>0</v>
      </c>
      <c r="Z78" s="88"/>
      <c r="AA78" s="88">
        <v>0</v>
      </c>
      <c r="AB78" s="88"/>
      <c r="AC78" s="88">
        <v>0</v>
      </c>
      <c r="AD78" s="88"/>
      <c r="AE78" s="96">
        <f t="shared" si="6"/>
        <v>0</v>
      </c>
      <c r="AG78" s="87">
        <f t="shared" si="4"/>
        <v>0</v>
      </c>
      <c r="AI78" s="87">
        <f t="shared" si="5"/>
        <v>0</v>
      </c>
    </row>
    <row r="79" spans="1:38" s="103" customFormat="1">
      <c r="A79" s="103" t="s">
        <v>304</v>
      </c>
      <c r="C79" s="103" t="s">
        <v>156</v>
      </c>
      <c r="E79" s="103">
        <v>46417</v>
      </c>
      <c r="G79" s="3">
        <v>492042</v>
      </c>
      <c r="H79" s="3"/>
      <c r="I79" s="3">
        <v>0</v>
      </c>
      <c r="J79" s="3"/>
      <c r="K79" s="8">
        <f t="shared" si="7"/>
        <v>769969</v>
      </c>
      <c r="L79" s="3"/>
      <c r="M79" s="3">
        <v>1262011</v>
      </c>
      <c r="N79" s="3"/>
      <c r="O79" s="3">
        <v>0</v>
      </c>
      <c r="P79" s="3"/>
      <c r="Q79" s="3">
        <v>997624</v>
      </c>
      <c r="R79" s="3"/>
      <c r="S79" s="3">
        <v>321277</v>
      </c>
      <c r="T79" s="3"/>
      <c r="U79" s="3">
        <v>9491</v>
      </c>
      <c r="V79" s="3"/>
      <c r="W79" s="3">
        <v>7163</v>
      </c>
      <c r="X79" s="3"/>
      <c r="Y79" s="3">
        <v>0</v>
      </c>
      <c r="Z79" s="3"/>
      <c r="AA79" s="3">
        <v>0</v>
      </c>
      <c r="AB79" s="3"/>
      <c r="AC79" s="3">
        <v>-73544</v>
      </c>
      <c r="AD79" s="3"/>
      <c r="AE79" s="22">
        <f t="shared" si="6"/>
        <v>-56890</v>
      </c>
      <c r="AG79" s="3">
        <f t="shared" si="4"/>
        <v>0</v>
      </c>
      <c r="AI79" s="3">
        <f t="shared" si="5"/>
        <v>0</v>
      </c>
    </row>
    <row r="80" spans="1:38" s="103" customFormat="1">
      <c r="A80" s="3" t="s">
        <v>306</v>
      </c>
      <c r="C80" s="103" t="s">
        <v>157</v>
      </c>
      <c r="E80" s="103">
        <v>46532</v>
      </c>
      <c r="G80" s="3">
        <v>16991384</v>
      </c>
      <c r="H80" s="3"/>
      <c r="I80" s="3">
        <v>125548</v>
      </c>
      <c r="J80" s="3"/>
      <c r="K80" s="8">
        <f t="shared" si="7"/>
        <v>6981922</v>
      </c>
      <c r="L80" s="3"/>
      <c r="M80" s="3">
        <v>24098854</v>
      </c>
      <c r="N80" s="3"/>
      <c r="O80" s="3">
        <v>0</v>
      </c>
      <c r="P80" s="3"/>
      <c r="Q80" s="3">
        <v>8525751</v>
      </c>
      <c r="R80" s="3"/>
      <c r="S80" s="3">
        <v>536140</v>
      </c>
      <c r="T80" s="3"/>
      <c r="U80" s="3">
        <v>125548</v>
      </c>
      <c r="V80" s="3"/>
      <c r="W80" s="3">
        <v>2487383</v>
      </c>
      <c r="X80" s="3"/>
      <c r="Y80" s="3">
        <v>100000</v>
      </c>
      <c r="Z80" s="3"/>
      <c r="AA80" s="3">
        <v>5258711</v>
      </c>
      <c r="AB80" s="3"/>
      <c r="AC80" s="3">
        <v>7065321</v>
      </c>
      <c r="AD80" s="3"/>
      <c r="AE80" s="22">
        <f t="shared" si="6"/>
        <v>15036963</v>
      </c>
      <c r="AG80" s="3">
        <f t="shared" si="4"/>
        <v>0</v>
      </c>
      <c r="AI80" s="3">
        <f t="shared" si="5"/>
        <v>0</v>
      </c>
    </row>
    <row r="81" spans="1:35" s="59" customFormat="1" hidden="1">
      <c r="A81" s="58" t="s">
        <v>309</v>
      </c>
      <c r="C81" s="59" t="s">
        <v>158</v>
      </c>
      <c r="E81" s="59">
        <v>46615</v>
      </c>
      <c r="G81" s="58">
        <v>0</v>
      </c>
      <c r="H81" s="58"/>
      <c r="I81" s="58">
        <v>0</v>
      </c>
      <c r="J81" s="58"/>
      <c r="K81" s="63">
        <f t="shared" si="7"/>
        <v>0</v>
      </c>
      <c r="L81" s="58"/>
      <c r="M81" s="58">
        <v>0</v>
      </c>
      <c r="N81" s="58"/>
      <c r="O81" s="58">
        <v>0</v>
      </c>
      <c r="P81" s="58"/>
      <c r="Q81" s="58">
        <v>0</v>
      </c>
      <c r="R81" s="58"/>
      <c r="S81" s="58">
        <v>0</v>
      </c>
      <c r="T81" s="58"/>
      <c r="U81" s="58">
        <v>0</v>
      </c>
      <c r="V81" s="58"/>
      <c r="W81" s="58">
        <v>0</v>
      </c>
      <c r="X81" s="58"/>
      <c r="Y81" s="58">
        <v>0</v>
      </c>
      <c r="Z81" s="58"/>
      <c r="AA81" s="58">
        <v>0</v>
      </c>
      <c r="AB81" s="58"/>
      <c r="AC81" s="58">
        <v>0</v>
      </c>
      <c r="AD81" s="58"/>
      <c r="AE81" s="66">
        <f t="shared" si="6"/>
        <v>0</v>
      </c>
      <c r="AG81" s="87">
        <f t="shared" si="4"/>
        <v>0</v>
      </c>
      <c r="AI81" s="87">
        <f t="shared" si="5"/>
        <v>0</v>
      </c>
    </row>
    <row r="82" spans="1:35" s="89" customFormat="1" hidden="1">
      <c r="A82" s="88" t="s">
        <v>305</v>
      </c>
      <c r="C82" s="89" t="s">
        <v>159</v>
      </c>
      <c r="E82" s="89">
        <v>46730</v>
      </c>
      <c r="G82" s="88">
        <v>0</v>
      </c>
      <c r="H82" s="88"/>
      <c r="I82" s="88">
        <v>0</v>
      </c>
      <c r="J82" s="88"/>
      <c r="K82" s="95">
        <f t="shared" si="7"/>
        <v>0</v>
      </c>
      <c r="L82" s="88"/>
      <c r="M82" s="88">
        <v>0</v>
      </c>
      <c r="N82" s="88"/>
      <c r="O82" s="88">
        <v>0</v>
      </c>
      <c r="P82" s="88"/>
      <c r="Q82" s="88">
        <v>0</v>
      </c>
      <c r="R82" s="88"/>
      <c r="S82" s="88">
        <v>0</v>
      </c>
      <c r="T82" s="88"/>
      <c r="U82" s="88">
        <v>0</v>
      </c>
      <c r="V82" s="88"/>
      <c r="W82" s="88">
        <v>0</v>
      </c>
      <c r="X82" s="88"/>
      <c r="Y82" s="88">
        <v>0</v>
      </c>
      <c r="Z82" s="88"/>
      <c r="AA82" s="88">
        <v>0</v>
      </c>
      <c r="AB82" s="88"/>
      <c r="AC82" s="88">
        <v>0</v>
      </c>
      <c r="AD82" s="88"/>
      <c r="AE82" s="96">
        <f t="shared" si="6"/>
        <v>0</v>
      </c>
      <c r="AG82" s="87">
        <f t="shared" si="4"/>
        <v>0</v>
      </c>
      <c r="AI82" s="87">
        <f t="shared" si="5"/>
        <v>0</v>
      </c>
    </row>
    <row r="83" spans="1:35" s="103" customFormat="1">
      <c r="A83" s="3" t="s">
        <v>303</v>
      </c>
      <c r="C83" s="103" t="s">
        <v>198</v>
      </c>
      <c r="E83" s="103">
        <v>50260</v>
      </c>
      <c r="G83" s="3">
        <v>1447500</v>
      </c>
      <c r="H83" s="3"/>
      <c r="I83" s="3">
        <v>0</v>
      </c>
      <c r="J83" s="3"/>
      <c r="K83" s="8">
        <f t="shared" si="7"/>
        <v>964381</v>
      </c>
      <c r="L83" s="3"/>
      <c r="M83" s="3">
        <v>2411881</v>
      </c>
      <c r="N83" s="3"/>
      <c r="O83" s="3">
        <v>0</v>
      </c>
      <c r="P83" s="3"/>
      <c r="Q83" s="3">
        <v>1122299</v>
      </c>
      <c r="R83" s="3"/>
      <c r="S83" s="3">
        <v>471894</v>
      </c>
      <c r="T83" s="3"/>
      <c r="U83" s="3">
        <v>0</v>
      </c>
      <c r="V83" s="3"/>
      <c r="W83" s="3">
        <f>4610+72746</f>
        <v>77356</v>
      </c>
      <c r="X83" s="3"/>
      <c r="Y83" s="3">
        <v>0</v>
      </c>
      <c r="Z83" s="3"/>
      <c r="AA83" s="3">
        <v>0</v>
      </c>
      <c r="AB83" s="3"/>
      <c r="AC83" s="3">
        <v>740332</v>
      </c>
      <c r="AD83" s="3"/>
      <c r="AE83" s="22">
        <f t="shared" ref="AE83" si="8">+AA83+Y83+U83+W83+AC83</f>
        <v>817688</v>
      </c>
      <c r="AG83" s="3">
        <f t="shared" si="4"/>
        <v>0</v>
      </c>
      <c r="AI83" s="3">
        <f t="shared" si="5"/>
        <v>0</v>
      </c>
    </row>
    <row r="84" spans="1:35" s="103" customFormat="1">
      <c r="A84" s="3" t="s">
        <v>312</v>
      </c>
      <c r="C84" s="103" t="s">
        <v>162</v>
      </c>
      <c r="E84" s="103">
        <v>46938</v>
      </c>
      <c r="G84" s="3">
        <v>9471420</v>
      </c>
      <c r="H84" s="3"/>
      <c r="I84" s="3">
        <v>0</v>
      </c>
      <c r="J84" s="3"/>
      <c r="K84" s="8">
        <f>+M84-I84-G84</f>
        <v>10151560</v>
      </c>
      <c r="L84" s="3"/>
      <c r="M84" s="3">
        <v>19622980</v>
      </c>
      <c r="N84" s="3"/>
      <c r="O84" s="3">
        <v>0</v>
      </c>
      <c r="P84" s="3"/>
      <c r="Q84" s="3">
        <v>9654543</v>
      </c>
      <c r="R84" s="3"/>
      <c r="S84" s="3">
        <v>3602825</v>
      </c>
      <c r="T84" s="3"/>
      <c r="U84" s="3">
        <v>4889</v>
      </c>
      <c r="V84" s="3"/>
      <c r="W84" s="3">
        <f>205+99960</f>
        <v>100165</v>
      </c>
      <c r="X84" s="3"/>
      <c r="Y84" s="3">
        <v>217819</v>
      </c>
      <c r="Z84" s="3"/>
      <c r="AA84" s="3">
        <f>89733+1485146</f>
        <v>1574879</v>
      </c>
      <c r="AB84" s="3"/>
      <c r="AC84" s="3">
        <v>4467860</v>
      </c>
      <c r="AD84" s="3"/>
      <c r="AE84" s="22">
        <f>+AA84+Y84+U84+W84+AC84</f>
        <v>6365612</v>
      </c>
      <c r="AG84" s="3">
        <f t="shared" si="4"/>
        <v>0</v>
      </c>
      <c r="AI84" s="3">
        <f t="shared" si="5"/>
        <v>0</v>
      </c>
    </row>
    <row r="85" spans="1:35" s="89" customFormat="1" hidden="1">
      <c r="A85" s="89" t="s">
        <v>274</v>
      </c>
      <c r="C85" s="89" t="s">
        <v>160</v>
      </c>
      <c r="E85" s="89">
        <v>125690</v>
      </c>
      <c r="G85" s="88">
        <v>0</v>
      </c>
      <c r="H85" s="88"/>
      <c r="I85" s="88">
        <v>0</v>
      </c>
      <c r="J85" s="88"/>
      <c r="K85" s="95">
        <f t="shared" si="7"/>
        <v>0</v>
      </c>
      <c r="L85" s="88"/>
      <c r="M85" s="88">
        <v>0</v>
      </c>
      <c r="N85" s="88"/>
      <c r="O85" s="88">
        <v>0</v>
      </c>
      <c r="P85" s="88"/>
      <c r="Q85" s="88">
        <v>0</v>
      </c>
      <c r="R85" s="88"/>
      <c r="S85" s="88">
        <v>0</v>
      </c>
      <c r="T85" s="88"/>
      <c r="U85" s="88">
        <v>0</v>
      </c>
      <c r="V85" s="88"/>
      <c r="W85" s="88">
        <v>0</v>
      </c>
      <c r="X85" s="88"/>
      <c r="Y85" s="88">
        <v>0</v>
      </c>
      <c r="Z85" s="88"/>
      <c r="AA85" s="88">
        <v>0</v>
      </c>
      <c r="AB85" s="88"/>
      <c r="AC85" s="88">
        <v>0</v>
      </c>
      <c r="AD85" s="88"/>
      <c r="AE85" s="96">
        <f t="shared" si="6"/>
        <v>0</v>
      </c>
      <c r="AG85" s="87">
        <f t="shared" si="4"/>
        <v>0</v>
      </c>
      <c r="AI85" s="87">
        <f t="shared" si="5"/>
        <v>0</v>
      </c>
    </row>
    <row r="86" spans="1:35" s="103" customFormat="1">
      <c r="A86" s="3" t="s">
        <v>314</v>
      </c>
      <c r="C86" s="103" t="s">
        <v>161</v>
      </c>
      <c r="E86" s="103">
        <v>46839</v>
      </c>
      <c r="G86" s="3">
        <v>1648918</v>
      </c>
      <c r="H86" s="3"/>
      <c r="I86" s="3">
        <v>0</v>
      </c>
      <c r="J86" s="3"/>
      <c r="K86" s="8">
        <f t="shared" si="7"/>
        <v>386043</v>
      </c>
      <c r="L86" s="3"/>
      <c r="M86" s="3">
        <v>2034961</v>
      </c>
      <c r="N86" s="3"/>
      <c r="O86" s="3">
        <v>0</v>
      </c>
      <c r="P86" s="3"/>
      <c r="Q86" s="3">
        <v>965767</v>
      </c>
      <c r="R86" s="3"/>
      <c r="S86" s="3">
        <v>0</v>
      </c>
      <c r="T86" s="3"/>
      <c r="U86" s="3">
        <v>5087</v>
      </c>
      <c r="V86" s="3"/>
      <c r="W86" s="3">
        <v>0</v>
      </c>
      <c r="X86" s="3"/>
      <c r="Y86" s="3">
        <v>0</v>
      </c>
      <c r="Z86" s="3"/>
      <c r="AA86" s="3">
        <v>402877</v>
      </c>
      <c r="AB86" s="3"/>
      <c r="AC86" s="3">
        <v>661230</v>
      </c>
      <c r="AD86" s="3"/>
      <c r="AE86" s="22">
        <f t="shared" si="6"/>
        <v>1069194</v>
      </c>
      <c r="AG86" s="3">
        <f t="shared" si="4"/>
        <v>0</v>
      </c>
      <c r="AI86" s="3">
        <f t="shared" si="5"/>
        <v>0</v>
      </c>
    </row>
    <row r="87" spans="1:35" s="103" customFormat="1">
      <c r="A87" s="3" t="s">
        <v>164</v>
      </c>
      <c r="C87" s="103" t="s">
        <v>165</v>
      </c>
      <c r="E87" s="103">
        <v>125682</v>
      </c>
      <c r="G87" s="3">
        <v>1139013</v>
      </c>
      <c r="H87" s="3"/>
      <c r="I87" s="3">
        <v>0</v>
      </c>
      <c r="J87" s="3"/>
      <c r="K87" s="8">
        <f t="shared" si="7"/>
        <v>62904</v>
      </c>
      <c r="L87" s="3"/>
      <c r="M87" s="3">
        <v>1201917</v>
      </c>
      <c r="N87" s="3"/>
      <c r="O87" s="3">
        <v>0</v>
      </c>
      <c r="P87" s="3"/>
      <c r="Q87" s="3">
        <v>85564</v>
      </c>
      <c r="R87" s="3"/>
      <c r="S87" s="3">
        <v>24428</v>
      </c>
      <c r="T87" s="3"/>
      <c r="U87" s="3">
        <v>0</v>
      </c>
      <c r="V87" s="3"/>
      <c r="W87" s="3">
        <v>333</v>
      </c>
      <c r="X87" s="3"/>
      <c r="Y87" s="3">
        <v>0</v>
      </c>
      <c r="Z87" s="3"/>
      <c r="AA87" s="3">
        <v>0</v>
      </c>
      <c r="AB87" s="3"/>
      <c r="AC87" s="3">
        <v>1091592</v>
      </c>
      <c r="AD87" s="3"/>
      <c r="AE87" s="22">
        <f t="shared" si="6"/>
        <v>1091925</v>
      </c>
      <c r="AG87" s="3">
        <f t="shared" si="4"/>
        <v>0</v>
      </c>
      <c r="AH87" s="102"/>
      <c r="AI87" s="3">
        <f t="shared" si="5"/>
        <v>0</v>
      </c>
    </row>
    <row r="88" spans="1:35" s="103" customFormat="1">
      <c r="A88" s="107" t="s">
        <v>313</v>
      </c>
      <c r="C88" s="103" t="s">
        <v>166</v>
      </c>
      <c r="E88" s="103">
        <v>47159</v>
      </c>
      <c r="G88" s="3">
        <v>1814761</v>
      </c>
      <c r="H88" s="3"/>
      <c r="I88" s="3">
        <v>0</v>
      </c>
      <c r="J88" s="3"/>
      <c r="K88" s="8">
        <f t="shared" si="7"/>
        <v>621865</v>
      </c>
      <c r="L88" s="3"/>
      <c r="M88" s="3">
        <v>2436626</v>
      </c>
      <c r="N88" s="3"/>
      <c r="O88" s="3">
        <v>0</v>
      </c>
      <c r="P88" s="3"/>
      <c r="Q88" s="3">
        <v>1222154</v>
      </c>
      <c r="R88" s="3"/>
      <c r="S88" s="3">
        <v>38222</v>
      </c>
      <c r="T88" s="3"/>
      <c r="U88" s="3">
        <v>0</v>
      </c>
      <c r="V88" s="3"/>
      <c r="W88" s="3">
        <v>27611</v>
      </c>
      <c r="X88" s="3"/>
      <c r="Y88" s="3">
        <v>0</v>
      </c>
      <c r="Z88" s="3"/>
      <c r="AA88" s="3">
        <v>9524</v>
      </c>
      <c r="AB88" s="3"/>
      <c r="AC88" s="3">
        <v>1139115</v>
      </c>
      <c r="AD88" s="3"/>
      <c r="AE88" s="22">
        <f t="shared" si="6"/>
        <v>1176250</v>
      </c>
      <c r="AG88" s="3">
        <f t="shared" si="4"/>
        <v>0</v>
      </c>
      <c r="AI88" s="3">
        <f t="shared" si="5"/>
        <v>0</v>
      </c>
    </row>
    <row r="89" spans="1:35" s="103" customFormat="1">
      <c r="A89" s="103" t="s">
        <v>291</v>
      </c>
      <c r="C89" s="103" t="s">
        <v>167</v>
      </c>
      <c r="E89" s="103">
        <v>47233</v>
      </c>
      <c r="G89" s="3">
        <v>3180489</v>
      </c>
      <c r="H89" s="3"/>
      <c r="I89" s="3">
        <v>0</v>
      </c>
      <c r="J89" s="3"/>
      <c r="K89" s="8">
        <f t="shared" si="7"/>
        <v>236397</v>
      </c>
      <c r="L89" s="3"/>
      <c r="M89" s="3">
        <v>3416886</v>
      </c>
      <c r="N89" s="3"/>
      <c r="O89" s="3">
        <v>0</v>
      </c>
      <c r="P89" s="3"/>
      <c r="Q89" s="3">
        <v>1906637</v>
      </c>
      <c r="R89" s="3"/>
      <c r="S89" s="3">
        <v>52367</v>
      </c>
      <c r="T89" s="3"/>
      <c r="U89" s="3">
        <v>7673</v>
      </c>
      <c r="V89" s="3"/>
      <c r="W89" s="3">
        <v>64853</v>
      </c>
      <c r="X89" s="3"/>
      <c r="Y89" s="3">
        <v>0</v>
      </c>
      <c r="Z89" s="3"/>
      <c r="AA89" s="3">
        <v>26610</v>
      </c>
      <c r="AB89" s="3"/>
      <c r="AC89" s="3">
        <v>1358746</v>
      </c>
      <c r="AD89" s="3"/>
      <c r="AE89" s="22">
        <f t="shared" si="6"/>
        <v>1457882</v>
      </c>
      <c r="AG89" s="3">
        <f t="shared" si="4"/>
        <v>0</v>
      </c>
      <c r="AI89" s="3">
        <f t="shared" si="5"/>
        <v>0</v>
      </c>
    </row>
    <row r="90" spans="1:35" s="103" customFormat="1">
      <c r="A90" s="103" t="s">
        <v>292</v>
      </c>
      <c r="C90" s="103" t="s">
        <v>168</v>
      </c>
      <c r="E90" s="103">
        <v>47324</v>
      </c>
      <c r="G90" s="3">
        <v>12296602</v>
      </c>
      <c r="H90" s="3"/>
      <c r="I90" s="3">
        <v>0</v>
      </c>
      <c r="J90" s="3"/>
      <c r="K90" s="8">
        <f t="shared" si="7"/>
        <v>6116104</v>
      </c>
      <c r="L90" s="3"/>
      <c r="M90" s="3">
        <v>18412706</v>
      </c>
      <c r="N90" s="3"/>
      <c r="O90" s="3">
        <v>0</v>
      </c>
      <c r="P90" s="3"/>
      <c r="Q90" s="3">
        <v>10429944</v>
      </c>
      <c r="R90" s="3"/>
      <c r="S90" s="3">
        <v>0</v>
      </c>
      <c r="T90" s="3"/>
      <c r="U90" s="3">
        <v>8376</v>
      </c>
      <c r="V90" s="3"/>
      <c r="W90" s="3">
        <v>1822382</v>
      </c>
      <c r="X90" s="3"/>
      <c r="Y90" s="3">
        <v>300000</v>
      </c>
      <c r="Z90" s="3"/>
      <c r="AA90" s="3">
        <v>1620556</v>
      </c>
      <c r="AB90" s="3"/>
      <c r="AC90" s="3">
        <v>4231448</v>
      </c>
      <c r="AD90" s="3"/>
      <c r="AE90" s="22">
        <f t="shared" si="6"/>
        <v>7982762</v>
      </c>
      <c r="AG90" s="3">
        <f t="shared" si="4"/>
        <v>0</v>
      </c>
      <c r="AI90" s="3">
        <f t="shared" si="5"/>
        <v>0</v>
      </c>
    </row>
    <row r="91" spans="1:35" s="103" customFormat="1">
      <c r="A91" s="103" t="s">
        <v>293</v>
      </c>
      <c r="C91" s="103" t="s">
        <v>169</v>
      </c>
      <c r="E91" s="103">
        <v>47407</v>
      </c>
      <c r="G91" s="3">
        <v>934919</v>
      </c>
      <c r="H91" s="3"/>
      <c r="I91" s="3">
        <v>1245</v>
      </c>
      <c r="J91" s="3"/>
      <c r="K91" s="8">
        <f t="shared" si="7"/>
        <v>183474</v>
      </c>
      <c r="L91" s="3"/>
      <c r="M91" s="3">
        <v>1119638</v>
      </c>
      <c r="N91" s="3"/>
      <c r="O91" s="3">
        <v>0</v>
      </c>
      <c r="P91" s="3"/>
      <c r="Q91" s="3">
        <v>677710</v>
      </c>
      <c r="R91" s="3"/>
      <c r="S91" s="3">
        <v>688</v>
      </c>
      <c r="T91" s="3"/>
      <c r="U91" s="3">
        <v>6361</v>
      </c>
      <c r="V91" s="3"/>
      <c r="W91" s="3">
        <v>642</v>
      </c>
      <c r="X91" s="3"/>
      <c r="Y91" s="3">
        <v>0</v>
      </c>
      <c r="Z91" s="3"/>
      <c r="AA91" s="3">
        <v>21872</v>
      </c>
      <c r="AB91" s="3"/>
      <c r="AC91" s="3">
        <v>412365</v>
      </c>
      <c r="AD91" s="3"/>
      <c r="AE91" s="22">
        <f t="shared" si="6"/>
        <v>441240</v>
      </c>
      <c r="AG91" s="3">
        <f t="shared" si="4"/>
        <v>0</v>
      </c>
      <c r="AI91" s="3">
        <f t="shared" si="5"/>
        <v>0</v>
      </c>
    </row>
    <row r="92" spans="1:35" s="59" customFormat="1" hidden="1">
      <c r="A92" s="59" t="s">
        <v>349</v>
      </c>
      <c r="C92" s="59" t="s">
        <v>19</v>
      </c>
      <c r="E92" s="59">
        <v>47480</v>
      </c>
      <c r="G92" s="58">
        <v>0</v>
      </c>
      <c r="H92" s="58"/>
      <c r="I92" s="58">
        <v>0</v>
      </c>
      <c r="J92" s="58"/>
      <c r="K92" s="63">
        <f t="shared" si="7"/>
        <v>0</v>
      </c>
      <c r="L92" s="58"/>
      <c r="M92" s="58">
        <v>0</v>
      </c>
      <c r="N92" s="58"/>
      <c r="O92" s="58">
        <v>0</v>
      </c>
      <c r="P92" s="58"/>
      <c r="Q92" s="58">
        <v>0</v>
      </c>
      <c r="R92" s="58"/>
      <c r="S92" s="58">
        <v>0</v>
      </c>
      <c r="T92" s="58"/>
      <c r="U92" s="58">
        <v>0</v>
      </c>
      <c r="V92" s="58"/>
      <c r="W92" s="58">
        <v>0</v>
      </c>
      <c r="X92" s="58"/>
      <c r="Y92" s="58">
        <v>0</v>
      </c>
      <c r="Z92" s="58"/>
      <c r="AA92" s="58">
        <v>0</v>
      </c>
      <c r="AB92" s="58"/>
      <c r="AC92" s="58">
        <v>0</v>
      </c>
      <c r="AD92" s="58"/>
      <c r="AE92" s="66">
        <f t="shared" si="6"/>
        <v>0</v>
      </c>
      <c r="AG92" s="87">
        <f t="shared" si="4"/>
        <v>0</v>
      </c>
      <c r="AI92" s="87">
        <f t="shared" si="5"/>
        <v>0</v>
      </c>
    </row>
    <row r="93" spans="1:35" s="103" customFormat="1">
      <c r="A93" s="103" t="s">
        <v>294</v>
      </c>
      <c r="C93" s="103" t="s">
        <v>170</v>
      </c>
      <c r="E93" s="103">
        <v>47779</v>
      </c>
      <c r="G93" s="3">
        <v>2368072</v>
      </c>
      <c r="H93" s="3"/>
      <c r="I93" s="3">
        <v>0</v>
      </c>
      <c r="J93" s="3"/>
      <c r="K93" s="8">
        <f t="shared" si="7"/>
        <v>79358</v>
      </c>
      <c r="L93" s="3"/>
      <c r="M93" s="3">
        <v>2447430</v>
      </c>
      <c r="N93" s="3"/>
      <c r="O93" s="3">
        <v>0</v>
      </c>
      <c r="P93" s="3"/>
      <c r="Q93" s="3">
        <v>222975</v>
      </c>
      <c r="R93" s="3"/>
      <c r="S93" s="3">
        <v>0</v>
      </c>
      <c r="T93" s="3"/>
      <c r="U93" s="3">
        <f>877+32057</f>
        <v>32934</v>
      </c>
      <c r="V93" s="3"/>
      <c r="W93" s="3">
        <v>0</v>
      </c>
      <c r="X93" s="3"/>
      <c r="Y93" s="3">
        <v>0</v>
      </c>
      <c r="Z93" s="3"/>
      <c r="AA93" s="3">
        <f>197+2718+293</f>
        <v>3208</v>
      </c>
      <c r="AB93" s="3"/>
      <c r="AC93" s="3">
        <v>2188313</v>
      </c>
      <c r="AD93" s="3"/>
      <c r="AE93" s="22">
        <f t="shared" si="6"/>
        <v>2224455</v>
      </c>
      <c r="AG93" s="3">
        <f t="shared" si="4"/>
        <v>0</v>
      </c>
      <c r="AI93" s="3">
        <f t="shared" si="5"/>
        <v>0</v>
      </c>
    </row>
    <row r="94" spans="1:35" s="103" customFormat="1">
      <c r="A94" s="103" t="s">
        <v>295</v>
      </c>
      <c r="C94" s="103" t="s">
        <v>171</v>
      </c>
      <c r="E94" s="103">
        <v>47811</v>
      </c>
      <c r="G94" s="3">
        <v>438242</v>
      </c>
      <c r="H94" s="3"/>
      <c r="I94" s="3">
        <v>0</v>
      </c>
      <c r="J94" s="3"/>
      <c r="K94" s="8">
        <v>226517</v>
      </c>
      <c r="L94" s="3"/>
      <c r="M94" s="3">
        <v>664759</v>
      </c>
      <c r="N94" s="3"/>
      <c r="O94" s="3">
        <v>0</v>
      </c>
      <c r="P94" s="3"/>
      <c r="Q94" s="3">
        <v>361954</v>
      </c>
      <c r="R94" s="3"/>
      <c r="S94" s="3">
        <v>176047</v>
      </c>
      <c r="T94" s="3"/>
      <c r="U94" s="3">
        <v>0</v>
      </c>
      <c r="V94" s="3"/>
      <c r="W94" s="3">
        <v>54488</v>
      </c>
      <c r="X94" s="3"/>
      <c r="Y94" s="3">
        <v>0</v>
      </c>
      <c r="Z94" s="3"/>
      <c r="AA94" s="3">
        <v>22639</v>
      </c>
      <c r="AB94" s="3"/>
      <c r="AC94" s="3">
        <v>49631</v>
      </c>
      <c r="AD94" s="3"/>
      <c r="AE94" s="22">
        <v>126758</v>
      </c>
      <c r="AG94" s="3">
        <v>0</v>
      </c>
      <c r="AI94" s="3">
        <v>0</v>
      </c>
    </row>
    <row r="95" spans="1:35" s="103" customFormat="1">
      <c r="A95" s="103" t="s">
        <v>296</v>
      </c>
      <c r="C95" s="103" t="s">
        <v>146</v>
      </c>
      <c r="E95" s="103">
        <v>47860</v>
      </c>
      <c r="G95" s="3">
        <v>2174900</v>
      </c>
      <c r="H95" s="3"/>
      <c r="I95" s="3">
        <v>3715</v>
      </c>
      <c r="J95" s="3"/>
      <c r="K95" s="8">
        <v>5810380</v>
      </c>
      <c r="L95" s="3"/>
      <c r="M95" s="3">
        <v>7988995</v>
      </c>
      <c r="N95" s="3"/>
      <c r="O95" s="3">
        <v>0</v>
      </c>
      <c r="P95" s="3"/>
      <c r="Q95" s="3">
        <v>6661579</v>
      </c>
      <c r="R95" s="3"/>
      <c r="S95" s="3">
        <v>0</v>
      </c>
      <c r="T95" s="3"/>
      <c r="U95" s="3">
        <v>3715</v>
      </c>
      <c r="V95" s="3"/>
      <c r="W95" s="3">
        <v>377663</v>
      </c>
      <c r="X95" s="3"/>
      <c r="Y95" s="3">
        <v>0</v>
      </c>
      <c r="Z95" s="3"/>
      <c r="AA95" s="3">
        <v>168271</v>
      </c>
      <c r="AB95" s="3"/>
      <c r="AC95" s="3">
        <v>777767</v>
      </c>
      <c r="AD95" s="3"/>
      <c r="AE95" s="22">
        <v>1327416</v>
      </c>
      <c r="AG95" s="3">
        <v>0</v>
      </c>
      <c r="AI95" s="3">
        <v>0</v>
      </c>
    </row>
    <row r="96" spans="1:35" s="103" customFormat="1">
      <c r="A96" s="103" t="s">
        <v>297</v>
      </c>
      <c r="C96" s="103" t="s">
        <v>172</v>
      </c>
      <c r="E96" s="103">
        <v>47910</v>
      </c>
      <c r="G96" s="3">
        <v>1193161</v>
      </c>
      <c r="H96" s="3"/>
      <c r="I96" s="3">
        <v>0</v>
      </c>
      <c r="J96" s="3"/>
      <c r="K96" s="8">
        <f t="shared" si="7"/>
        <v>285190</v>
      </c>
      <c r="L96" s="3"/>
      <c r="M96" s="3">
        <v>1478351</v>
      </c>
      <c r="N96" s="3"/>
      <c r="O96" s="3">
        <v>0</v>
      </c>
      <c r="P96" s="3"/>
      <c r="Q96" s="3">
        <v>215999</v>
      </c>
      <c r="R96" s="3"/>
      <c r="S96" s="3">
        <v>0</v>
      </c>
      <c r="T96" s="3"/>
      <c r="U96" s="3">
        <v>0</v>
      </c>
      <c r="V96" s="3"/>
      <c r="W96" s="3">
        <v>26232</v>
      </c>
      <c r="X96" s="3"/>
      <c r="Y96" s="3">
        <v>0</v>
      </c>
      <c r="Z96" s="3"/>
      <c r="AA96" s="3">
        <v>38400</v>
      </c>
      <c r="AB96" s="3"/>
      <c r="AC96" s="3">
        <v>1197720</v>
      </c>
      <c r="AD96" s="3"/>
      <c r="AE96" s="22">
        <f t="shared" si="6"/>
        <v>1262352</v>
      </c>
      <c r="AG96" s="3">
        <f t="shared" si="4"/>
        <v>0</v>
      </c>
      <c r="AI96" s="3">
        <f t="shared" si="5"/>
        <v>0</v>
      </c>
    </row>
    <row r="97" spans="1:35" s="59" customFormat="1" hidden="1">
      <c r="A97" s="58" t="s">
        <v>386</v>
      </c>
      <c r="B97" s="58"/>
      <c r="C97" s="58" t="s">
        <v>173</v>
      </c>
      <c r="E97" s="59">
        <v>47977</v>
      </c>
      <c r="G97" s="58">
        <v>0</v>
      </c>
      <c r="H97" s="58"/>
      <c r="I97" s="58">
        <v>0</v>
      </c>
      <c r="J97" s="58"/>
      <c r="K97" s="63">
        <f>+M97-I97-G97</f>
        <v>0</v>
      </c>
      <c r="L97" s="58"/>
      <c r="M97" s="58">
        <v>0</v>
      </c>
      <c r="N97" s="58"/>
      <c r="O97" s="58">
        <v>0</v>
      </c>
      <c r="P97" s="58"/>
      <c r="Q97" s="58">
        <v>0</v>
      </c>
      <c r="R97" s="58"/>
      <c r="S97" s="58">
        <v>0</v>
      </c>
      <c r="T97" s="58"/>
      <c r="U97" s="58">
        <v>0</v>
      </c>
      <c r="V97" s="58"/>
      <c r="W97" s="58">
        <v>0</v>
      </c>
      <c r="X97" s="58"/>
      <c r="Y97" s="58">
        <v>0</v>
      </c>
      <c r="Z97" s="58"/>
      <c r="AA97" s="58">
        <v>0</v>
      </c>
      <c r="AB97" s="58"/>
      <c r="AC97" s="58">
        <v>0</v>
      </c>
      <c r="AD97" s="58"/>
      <c r="AE97" s="66">
        <f t="shared" si="6"/>
        <v>0</v>
      </c>
      <c r="AG97" s="58">
        <f t="shared" si="4"/>
        <v>0</v>
      </c>
      <c r="AI97" s="58">
        <f t="shared" si="5"/>
        <v>0</v>
      </c>
    </row>
    <row r="98" spans="1:35" s="103" customFormat="1">
      <c r="A98" s="103" t="s">
        <v>298</v>
      </c>
      <c r="C98" s="103" t="s">
        <v>174</v>
      </c>
      <c r="E98" s="103">
        <v>48058</v>
      </c>
      <c r="G98" s="3">
        <v>1234842</v>
      </c>
      <c r="H98" s="3"/>
      <c r="I98" s="3">
        <v>0</v>
      </c>
      <c r="J98" s="3"/>
      <c r="K98" s="8">
        <f t="shared" si="7"/>
        <v>280471</v>
      </c>
      <c r="L98" s="3"/>
      <c r="M98" s="3">
        <v>1515313</v>
      </c>
      <c r="N98" s="3"/>
      <c r="O98" s="3">
        <v>0</v>
      </c>
      <c r="P98" s="3"/>
      <c r="Q98" s="3">
        <v>425771</v>
      </c>
      <c r="R98" s="3"/>
      <c r="S98" s="3">
        <v>0</v>
      </c>
      <c r="T98" s="3"/>
      <c r="U98" s="3">
        <v>0</v>
      </c>
      <c r="V98" s="3"/>
      <c r="W98" s="3">
        <v>534167</v>
      </c>
      <c r="X98" s="3"/>
      <c r="Y98" s="3">
        <v>0</v>
      </c>
      <c r="Z98" s="3"/>
      <c r="AA98" s="3">
        <v>85237</v>
      </c>
      <c r="AB98" s="3"/>
      <c r="AC98" s="3">
        <v>470138</v>
      </c>
      <c r="AD98" s="3"/>
      <c r="AE98" s="22">
        <f t="shared" si="6"/>
        <v>1089542</v>
      </c>
      <c r="AG98" s="3">
        <f t="shared" si="4"/>
        <v>0</v>
      </c>
      <c r="AI98" s="3">
        <f t="shared" si="5"/>
        <v>0</v>
      </c>
    </row>
    <row r="99" spans="1:35" s="89" customFormat="1" hidden="1">
      <c r="A99" s="89" t="s">
        <v>351</v>
      </c>
      <c r="C99" s="89" t="s">
        <v>142</v>
      </c>
      <c r="E99" s="89">
        <v>48108</v>
      </c>
      <c r="G99" s="88">
        <v>0</v>
      </c>
      <c r="H99" s="88"/>
      <c r="I99" s="88">
        <v>0</v>
      </c>
      <c r="J99" s="88"/>
      <c r="K99" s="95">
        <f t="shared" si="7"/>
        <v>0</v>
      </c>
      <c r="L99" s="88"/>
      <c r="M99" s="88">
        <v>0</v>
      </c>
      <c r="N99" s="88"/>
      <c r="O99" s="88">
        <v>0</v>
      </c>
      <c r="P99" s="88"/>
      <c r="Q99" s="88">
        <v>0</v>
      </c>
      <c r="R99" s="88"/>
      <c r="S99" s="88">
        <v>0</v>
      </c>
      <c r="T99" s="88"/>
      <c r="U99" s="88">
        <v>0</v>
      </c>
      <c r="V99" s="88"/>
      <c r="W99" s="88">
        <v>0</v>
      </c>
      <c r="X99" s="88"/>
      <c r="Y99" s="88">
        <v>0</v>
      </c>
      <c r="Z99" s="88"/>
      <c r="AA99" s="88">
        <v>0</v>
      </c>
      <c r="AB99" s="88"/>
      <c r="AC99" s="88">
        <v>0</v>
      </c>
      <c r="AD99" s="88"/>
      <c r="AE99" s="96">
        <f t="shared" si="6"/>
        <v>0</v>
      </c>
      <c r="AG99" s="88">
        <f t="shared" si="4"/>
        <v>0</v>
      </c>
      <c r="AI99" s="88">
        <f t="shared" si="5"/>
        <v>0</v>
      </c>
    </row>
    <row r="100" spans="1:35" s="103" customFormat="1">
      <c r="A100" s="103" t="s">
        <v>350</v>
      </c>
      <c r="C100" s="103" t="s">
        <v>175</v>
      </c>
      <c r="E100" s="103">
        <v>48199</v>
      </c>
      <c r="G100" s="3">
        <v>4392973</v>
      </c>
      <c r="H100" s="3"/>
      <c r="I100" s="3">
        <v>0</v>
      </c>
      <c r="J100" s="3"/>
      <c r="K100" s="8">
        <f t="shared" si="7"/>
        <v>1102312</v>
      </c>
      <c r="L100" s="3"/>
      <c r="M100" s="3">
        <v>5495285</v>
      </c>
      <c r="N100" s="3"/>
      <c r="O100" s="3">
        <v>0</v>
      </c>
      <c r="P100" s="3"/>
      <c r="Q100" s="3">
        <v>2317359</v>
      </c>
      <c r="R100" s="3"/>
      <c r="S100" s="3">
        <v>299124</v>
      </c>
      <c r="T100" s="3"/>
      <c r="U100" s="3">
        <v>0</v>
      </c>
      <c r="V100" s="3"/>
      <c r="W100" s="3">
        <f>2264+15399+34385+6634+334051</f>
        <v>392733</v>
      </c>
      <c r="X100" s="3"/>
      <c r="Y100" s="3">
        <f>252693+207735+51956+751858+53711</f>
        <v>1317953</v>
      </c>
      <c r="Z100" s="3"/>
      <c r="AA100" s="3">
        <f>10479+172143+35800</f>
        <v>218422</v>
      </c>
      <c r="AB100" s="3"/>
      <c r="AC100" s="3">
        <v>949694</v>
      </c>
      <c r="AD100" s="3"/>
      <c r="AE100" s="22">
        <f t="shared" si="6"/>
        <v>2878802</v>
      </c>
      <c r="AG100" s="3">
        <f t="shared" si="4"/>
        <v>0</v>
      </c>
      <c r="AI100" s="3">
        <f t="shared" si="5"/>
        <v>0</v>
      </c>
    </row>
    <row r="101" spans="1:35" s="59" customFormat="1" hidden="1">
      <c r="A101" s="58" t="s">
        <v>316</v>
      </c>
      <c r="C101" s="59" t="s">
        <v>151</v>
      </c>
      <c r="E101" s="59">
        <v>137364</v>
      </c>
      <c r="G101" s="58">
        <v>0</v>
      </c>
      <c r="H101" s="58"/>
      <c r="I101" s="58">
        <v>0</v>
      </c>
      <c r="J101" s="58"/>
      <c r="K101" s="63">
        <f t="shared" si="7"/>
        <v>0</v>
      </c>
      <c r="L101" s="58"/>
      <c r="M101" s="58">
        <v>0</v>
      </c>
      <c r="N101" s="58"/>
      <c r="O101" s="58">
        <v>0</v>
      </c>
      <c r="P101" s="58"/>
      <c r="Q101" s="58">
        <v>0</v>
      </c>
      <c r="R101" s="58"/>
      <c r="S101" s="58">
        <v>0</v>
      </c>
      <c r="T101" s="58"/>
      <c r="U101" s="58">
        <v>0</v>
      </c>
      <c r="V101" s="58"/>
      <c r="W101" s="58">
        <v>0</v>
      </c>
      <c r="X101" s="58"/>
      <c r="Y101" s="58">
        <v>0</v>
      </c>
      <c r="Z101" s="58"/>
      <c r="AA101" s="58">
        <v>0</v>
      </c>
      <c r="AB101" s="58"/>
      <c r="AC101" s="58">
        <v>0</v>
      </c>
      <c r="AD101" s="58"/>
      <c r="AE101" s="66">
        <f t="shared" si="6"/>
        <v>0</v>
      </c>
      <c r="AG101" s="87">
        <f t="shared" si="4"/>
        <v>0</v>
      </c>
      <c r="AI101" s="87">
        <f t="shared" si="5"/>
        <v>0</v>
      </c>
    </row>
    <row r="102" spans="1:35" s="103" customFormat="1">
      <c r="A102" s="3" t="s">
        <v>317</v>
      </c>
      <c r="C102" s="103" t="s">
        <v>176</v>
      </c>
      <c r="E102" s="103">
        <v>48280</v>
      </c>
      <c r="G102" s="3">
        <v>3474756</v>
      </c>
      <c r="H102" s="3"/>
      <c r="I102" s="3">
        <v>0</v>
      </c>
      <c r="J102" s="3"/>
      <c r="K102" s="8">
        <f t="shared" si="7"/>
        <v>2087786</v>
      </c>
      <c r="L102" s="3"/>
      <c r="M102" s="3">
        <v>5562542</v>
      </c>
      <c r="N102" s="3"/>
      <c r="O102" s="3">
        <v>0</v>
      </c>
      <c r="P102" s="3"/>
      <c r="Q102" s="3">
        <v>3211534</v>
      </c>
      <c r="R102" s="3"/>
      <c r="S102" s="3">
        <v>500510</v>
      </c>
      <c r="T102" s="3"/>
      <c r="U102" s="3">
        <f>30519+2614+3350</f>
        <v>36483</v>
      </c>
      <c r="V102" s="3"/>
      <c r="W102" s="3">
        <f>16899+37321+5512+594145+8701</f>
        <v>662578</v>
      </c>
      <c r="X102" s="3"/>
      <c r="Y102" s="3">
        <v>610000</v>
      </c>
      <c r="Z102" s="3"/>
      <c r="AA102" s="3">
        <f>69634+100816+30183</f>
        <v>200633</v>
      </c>
      <c r="AB102" s="3"/>
      <c r="AC102" s="3">
        <v>340804</v>
      </c>
      <c r="AD102" s="3"/>
      <c r="AE102" s="22">
        <f t="shared" si="6"/>
        <v>1850498</v>
      </c>
      <c r="AG102" s="3">
        <f t="shared" si="4"/>
        <v>0</v>
      </c>
      <c r="AI102" s="3">
        <f t="shared" si="5"/>
        <v>0</v>
      </c>
    </row>
    <row r="103" spans="1:35" s="103" customFormat="1">
      <c r="A103" s="3" t="s">
        <v>177</v>
      </c>
      <c r="C103" s="103" t="s">
        <v>178</v>
      </c>
      <c r="E103" s="103">
        <v>48454</v>
      </c>
      <c r="G103" s="3">
        <v>1082281</v>
      </c>
      <c r="H103" s="3"/>
      <c r="I103" s="3">
        <v>0</v>
      </c>
      <c r="J103" s="3"/>
      <c r="K103" s="8">
        <f t="shared" si="7"/>
        <v>167529</v>
      </c>
      <c r="L103" s="3"/>
      <c r="M103" s="3">
        <v>1249810</v>
      </c>
      <c r="N103" s="3"/>
      <c r="O103" s="3">
        <v>0</v>
      </c>
      <c r="P103" s="3"/>
      <c r="Q103" s="3">
        <v>169982</v>
      </c>
      <c r="R103" s="3"/>
      <c r="S103" s="3">
        <v>0</v>
      </c>
      <c r="T103" s="3"/>
      <c r="U103" s="3">
        <v>0</v>
      </c>
      <c r="V103" s="3"/>
      <c r="W103" s="3">
        <v>454895</v>
      </c>
      <c r="X103" s="3"/>
      <c r="Y103" s="3">
        <v>91709</v>
      </c>
      <c r="Z103" s="3"/>
      <c r="AA103" s="3">
        <v>49392</v>
      </c>
      <c r="AB103" s="3"/>
      <c r="AC103" s="3">
        <v>483832</v>
      </c>
      <c r="AD103" s="3"/>
      <c r="AE103" s="22">
        <f t="shared" si="6"/>
        <v>1079828</v>
      </c>
      <c r="AG103" s="3">
        <f t="shared" si="4"/>
        <v>0</v>
      </c>
      <c r="AI103" s="3">
        <f t="shared" si="5"/>
        <v>0</v>
      </c>
    </row>
    <row r="104" spans="1:35" s="59" customFormat="1" hidden="1">
      <c r="A104" s="58" t="s">
        <v>318</v>
      </c>
      <c r="C104" s="59" t="s">
        <v>179</v>
      </c>
      <c r="E104" s="59">
        <v>48546</v>
      </c>
      <c r="G104" s="58">
        <v>0</v>
      </c>
      <c r="H104" s="58"/>
      <c r="I104" s="58">
        <v>0</v>
      </c>
      <c r="J104" s="58"/>
      <c r="K104" s="63">
        <f t="shared" si="7"/>
        <v>0</v>
      </c>
      <c r="L104" s="58"/>
      <c r="M104" s="58">
        <v>0</v>
      </c>
      <c r="N104" s="58"/>
      <c r="O104" s="58">
        <v>0</v>
      </c>
      <c r="P104" s="58"/>
      <c r="Q104" s="58">
        <v>0</v>
      </c>
      <c r="R104" s="58"/>
      <c r="S104" s="58">
        <v>0</v>
      </c>
      <c r="T104" s="58"/>
      <c r="U104" s="58">
        <v>0</v>
      </c>
      <c r="V104" s="58"/>
      <c r="W104" s="58">
        <v>0</v>
      </c>
      <c r="X104" s="58"/>
      <c r="Y104" s="58">
        <v>0</v>
      </c>
      <c r="Z104" s="58"/>
      <c r="AA104" s="58">
        <v>0</v>
      </c>
      <c r="AB104" s="58"/>
      <c r="AC104" s="58">
        <v>0</v>
      </c>
      <c r="AD104" s="58"/>
      <c r="AE104" s="66">
        <f t="shared" si="6"/>
        <v>0</v>
      </c>
      <c r="AG104" s="87">
        <f t="shared" si="4"/>
        <v>0</v>
      </c>
      <c r="AI104" s="87">
        <f t="shared" si="5"/>
        <v>0</v>
      </c>
    </row>
    <row r="105" spans="1:35" s="103" customFormat="1">
      <c r="A105" s="3" t="s">
        <v>319</v>
      </c>
      <c r="C105" s="103" t="s">
        <v>180</v>
      </c>
      <c r="E105" s="103">
        <v>48603</v>
      </c>
      <c r="G105" s="3">
        <v>4068610</v>
      </c>
      <c r="H105" s="3"/>
      <c r="I105" s="3">
        <v>3454</v>
      </c>
      <c r="J105" s="3"/>
      <c r="K105" s="8">
        <f t="shared" si="7"/>
        <v>414371</v>
      </c>
      <c r="L105" s="3"/>
      <c r="M105" s="3">
        <v>4486435</v>
      </c>
      <c r="N105" s="3"/>
      <c r="O105" s="3">
        <v>0</v>
      </c>
      <c r="P105" s="3"/>
      <c r="Q105" s="3">
        <v>1647926</v>
      </c>
      <c r="R105" s="3"/>
      <c r="S105" s="3">
        <v>946</v>
      </c>
      <c r="T105" s="3"/>
      <c r="U105" s="3">
        <v>21299</v>
      </c>
      <c r="V105" s="3"/>
      <c r="W105" s="3">
        <v>1973</v>
      </c>
      <c r="X105" s="3"/>
      <c r="Y105" s="3">
        <v>250917</v>
      </c>
      <c r="Z105" s="3"/>
      <c r="AA105" s="3">
        <v>24739</v>
      </c>
      <c r="AB105" s="3"/>
      <c r="AC105" s="3">
        <v>2538635</v>
      </c>
      <c r="AD105" s="3"/>
      <c r="AE105" s="22">
        <f t="shared" si="6"/>
        <v>2837563</v>
      </c>
      <c r="AG105" s="3">
        <f t="shared" si="4"/>
        <v>0</v>
      </c>
      <c r="AI105" s="3">
        <f t="shared" si="5"/>
        <v>0</v>
      </c>
    </row>
    <row r="106" spans="1:35" s="59" customFormat="1" hidden="1">
      <c r="A106" s="58" t="s">
        <v>275</v>
      </c>
      <c r="B106" s="58"/>
      <c r="C106" s="58" t="s">
        <v>189</v>
      </c>
      <c r="E106" s="59">
        <v>12351</v>
      </c>
      <c r="G106" s="58">
        <v>0</v>
      </c>
      <c r="H106" s="58"/>
      <c r="I106" s="58">
        <v>0</v>
      </c>
      <c r="J106" s="58"/>
      <c r="K106" s="63">
        <f>+M106-I106-G106</f>
        <v>0</v>
      </c>
      <c r="L106" s="58"/>
      <c r="M106" s="58">
        <v>0</v>
      </c>
      <c r="N106" s="58"/>
      <c r="O106" s="58">
        <v>0</v>
      </c>
      <c r="P106" s="58"/>
      <c r="Q106" s="58">
        <v>0</v>
      </c>
      <c r="R106" s="58"/>
      <c r="S106" s="58">
        <v>0</v>
      </c>
      <c r="T106" s="58"/>
      <c r="U106" s="58">
        <v>0</v>
      </c>
      <c r="V106" s="58"/>
      <c r="W106" s="58">
        <v>0</v>
      </c>
      <c r="X106" s="58"/>
      <c r="Y106" s="58">
        <v>0</v>
      </c>
      <c r="Z106" s="58"/>
      <c r="AA106" s="58">
        <v>0</v>
      </c>
      <c r="AB106" s="58"/>
      <c r="AC106" s="58">
        <v>0</v>
      </c>
      <c r="AD106" s="58"/>
      <c r="AE106" s="66">
        <f t="shared" si="6"/>
        <v>0</v>
      </c>
      <c r="AG106" s="87">
        <f t="shared" si="4"/>
        <v>0</v>
      </c>
      <c r="AI106" s="87">
        <f t="shared" si="5"/>
        <v>0</v>
      </c>
    </row>
    <row r="107" spans="1:35" s="103" customFormat="1">
      <c r="A107" s="3" t="s">
        <v>320</v>
      </c>
      <c r="C107" s="103" t="s">
        <v>181</v>
      </c>
      <c r="E107" s="103">
        <v>48660</v>
      </c>
      <c r="G107" s="3">
        <v>15838407</v>
      </c>
      <c r="H107" s="3"/>
      <c r="I107" s="3">
        <v>0</v>
      </c>
      <c r="J107" s="3"/>
      <c r="K107" s="8">
        <f t="shared" si="7"/>
        <v>3810629</v>
      </c>
      <c r="L107" s="3"/>
      <c r="M107" s="3">
        <v>19649036</v>
      </c>
      <c r="N107" s="3"/>
      <c r="O107" s="3">
        <v>0</v>
      </c>
      <c r="P107" s="3"/>
      <c r="Q107" s="3">
        <v>4402440</v>
      </c>
      <c r="R107" s="3"/>
      <c r="S107" s="3">
        <v>0</v>
      </c>
      <c r="T107" s="3"/>
      <c r="U107" s="3">
        <v>0</v>
      </c>
      <c r="V107" s="3"/>
      <c r="W107" s="3">
        <v>1354688</v>
      </c>
      <c r="X107" s="3"/>
      <c r="Y107" s="3">
        <v>0</v>
      </c>
      <c r="Z107" s="3"/>
      <c r="AA107" s="3">
        <v>835310</v>
      </c>
      <c r="AB107" s="3"/>
      <c r="AC107" s="3">
        <v>13056598</v>
      </c>
      <c r="AD107" s="3"/>
      <c r="AE107" s="22">
        <f t="shared" si="6"/>
        <v>15246596</v>
      </c>
      <c r="AG107" s="3">
        <f t="shared" si="4"/>
        <v>0</v>
      </c>
      <c r="AI107" s="3">
        <f t="shared" si="5"/>
        <v>0</v>
      </c>
    </row>
    <row r="108" spans="1:35" s="103" customFormat="1">
      <c r="A108" s="3" t="s">
        <v>182</v>
      </c>
      <c r="C108" s="103" t="s">
        <v>183</v>
      </c>
      <c r="E108" s="103">
        <v>125252</v>
      </c>
      <c r="G108" s="3">
        <v>3413286</v>
      </c>
      <c r="H108" s="3"/>
      <c r="I108" s="3">
        <v>2249</v>
      </c>
      <c r="J108" s="3"/>
      <c r="K108" s="8">
        <f t="shared" si="7"/>
        <v>2946008</v>
      </c>
      <c r="L108" s="3"/>
      <c r="M108" s="3">
        <v>6361543</v>
      </c>
      <c r="N108" s="3"/>
      <c r="O108" s="3">
        <v>0</v>
      </c>
      <c r="P108" s="3"/>
      <c r="Q108" s="3">
        <v>2620716</v>
      </c>
      <c r="R108" s="3"/>
      <c r="S108" s="3">
        <v>776525</v>
      </c>
      <c r="T108" s="3"/>
      <c r="U108" s="3">
        <f>204166+2249</f>
        <v>206415</v>
      </c>
      <c r="V108" s="3"/>
      <c r="W108" s="3">
        <f>118+619+2556+4478+29440</f>
        <v>37211</v>
      </c>
      <c r="X108" s="3"/>
      <c r="Y108" s="3">
        <v>0</v>
      </c>
      <c r="Z108" s="3"/>
      <c r="AA108" s="3">
        <f>118973+130384</f>
        <v>249357</v>
      </c>
      <c r="AB108" s="3"/>
      <c r="AC108" s="3">
        <v>2471319</v>
      </c>
      <c r="AD108" s="3"/>
      <c r="AE108" s="22">
        <f t="shared" si="6"/>
        <v>2964302</v>
      </c>
      <c r="AG108" s="3">
        <f t="shared" si="4"/>
        <v>0</v>
      </c>
      <c r="AI108" s="3">
        <f t="shared" si="5"/>
        <v>0</v>
      </c>
    </row>
    <row r="109" spans="1:35" s="103" customFormat="1">
      <c r="A109" s="3" t="s">
        <v>265</v>
      </c>
      <c r="C109" s="103" t="s">
        <v>193</v>
      </c>
      <c r="E109" s="103">
        <v>123257</v>
      </c>
      <c r="G109" s="3">
        <v>955990</v>
      </c>
      <c r="H109" s="3"/>
      <c r="I109" s="3">
        <v>0</v>
      </c>
      <c r="J109" s="3"/>
      <c r="K109" s="8">
        <f t="shared" si="7"/>
        <v>475957</v>
      </c>
      <c r="L109" s="3"/>
      <c r="M109" s="3">
        <v>1431947</v>
      </c>
      <c r="N109" s="3"/>
      <c r="O109" s="3">
        <v>0</v>
      </c>
      <c r="P109" s="3"/>
      <c r="Q109" s="3">
        <v>1964679</v>
      </c>
      <c r="R109" s="3"/>
      <c r="S109" s="3">
        <v>130017</v>
      </c>
      <c r="T109" s="3"/>
      <c r="U109" s="3">
        <v>37148</v>
      </c>
      <c r="V109" s="3"/>
      <c r="W109" s="3">
        <f>8142+14009+55708</f>
        <v>77859</v>
      </c>
      <c r="X109" s="3"/>
      <c r="Y109" s="3">
        <v>0</v>
      </c>
      <c r="Z109" s="3"/>
      <c r="AA109" s="3">
        <f>3873+168774+8673</f>
        <v>181320</v>
      </c>
      <c r="AB109" s="3"/>
      <c r="AC109" s="3">
        <v>-959076</v>
      </c>
      <c r="AD109" s="3"/>
      <c r="AE109" s="22">
        <f t="shared" si="6"/>
        <v>-662749</v>
      </c>
      <c r="AG109" s="3">
        <f t="shared" si="4"/>
        <v>0</v>
      </c>
      <c r="AI109" s="3">
        <f t="shared" si="5"/>
        <v>0</v>
      </c>
    </row>
    <row r="110" spans="1:35" s="103" customFormat="1">
      <c r="A110" s="103" t="s">
        <v>299</v>
      </c>
      <c r="C110" s="103" t="s">
        <v>160</v>
      </c>
      <c r="E110" s="116">
        <v>125690</v>
      </c>
      <c r="G110" s="3">
        <v>7541398</v>
      </c>
      <c r="H110" s="3"/>
      <c r="I110" s="3">
        <v>0</v>
      </c>
      <c r="J110" s="3"/>
      <c r="K110" s="8">
        <f t="shared" ref="K110" si="9">+M110-I110-G110</f>
        <v>761351</v>
      </c>
      <c r="L110" s="3"/>
      <c r="M110" s="3">
        <v>8302749</v>
      </c>
      <c r="N110" s="3"/>
      <c r="O110" s="3">
        <v>0</v>
      </c>
      <c r="P110" s="3"/>
      <c r="Q110" s="3">
        <v>2175293</v>
      </c>
      <c r="R110" s="3"/>
      <c r="S110" s="3">
        <v>106365</v>
      </c>
      <c r="T110" s="3"/>
      <c r="U110" s="3">
        <f>49717+2645</f>
        <v>52362</v>
      </c>
      <c r="V110" s="3"/>
      <c r="W110" s="3">
        <v>55875</v>
      </c>
      <c r="X110" s="3"/>
      <c r="Y110" s="3">
        <v>0</v>
      </c>
      <c r="Z110" s="3"/>
      <c r="AA110" s="3">
        <f>43013+136357+66189</f>
        <v>245559</v>
      </c>
      <c r="AB110" s="3"/>
      <c r="AC110" s="3">
        <v>5667295</v>
      </c>
      <c r="AD110" s="3"/>
      <c r="AE110" s="22">
        <f t="shared" si="6"/>
        <v>6021091</v>
      </c>
      <c r="AG110" s="3">
        <f t="shared" si="4"/>
        <v>0</v>
      </c>
      <c r="AI110" s="3">
        <f t="shared" si="5"/>
        <v>0</v>
      </c>
    </row>
    <row r="111" spans="1:35" s="103" customFormat="1">
      <c r="A111" s="3" t="s">
        <v>163</v>
      </c>
      <c r="C111" s="3" t="s">
        <v>321</v>
      </c>
      <c r="E111" s="103">
        <v>124297</v>
      </c>
      <c r="G111" s="3">
        <v>3917004</v>
      </c>
      <c r="H111" s="3"/>
      <c r="I111" s="3">
        <v>0</v>
      </c>
      <c r="J111" s="3"/>
      <c r="K111" s="8">
        <f t="shared" si="7"/>
        <v>285898</v>
      </c>
      <c r="L111" s="3"/>
      <c r="M111" s="3">
        <v>4202902</v>
      </c>
      <c r="N111" s="3"/>
      <c r="O111" s="3">
        <v>0</v>
      </c>
      <c r="P111" s="3"/>
      <c r="Q111" s="3">
        <v>2390362</v>
      </c>
      <c r="R111" s="3"/>
      <c r="S111" s="3">
        <v>99899</v>
      </c>
      <c r="T111" s="3"/>
      <c r="U111" s="3">
        <v>13042</v>
      </c>
      <c r="V111" s="3"/>
      <c r="W111" s="3">
        <v>288330</v>
      </c>
      <c r="X111" s="3"/>
      <c r="Y111" s="3">
        <v>0</v>
      </c>
      <c r="Z111" s="3"/>
      <c r="AA111" s="3">
        <v>115820</v>
      </c>
      <c r="AB111" s="3"/>
      <c r="AC111" s="3">
        <v>1295449</v>
      </c>
      <c r="AD111" s="3"/>
      <c r="AE111" s="22">
        <f t="shared" si="6"/>
        <v>1712641</v>
      </c>
      <c r="AG111" s="3">
        <f t="shared" si="4"/>
        <v>0</v>
      </c>
      <c r="AI111" s="3">
        <f t="shared" si="5"/>
        <v>0</v>
      </c>
    </row>
    <row r="112" spans="1:35" s="103" customFormat="1">
      <c r="A112" s="3" t="s">
        <v>308</v>
      </c>
      <c r="C112" s="3" t="s">
        <v>259</v>
      </c>
      <c r="E112" s="103">
        <v>123281</v>
      </c>
      <c r="G112" s="3">
        <v>2322346</v>
      </c>
      <c r="H112" s="3"/>
      <c r="I112" s="3">
        <v>29298</v>
      </c>
      <c r="J112" s="3"/>
      <c r="K112" s="8">
        <f t="shared" si="7"/>
        <v>506496</v>
      </c>
      <c r="L112" s="3"/>
      <c r="M112" s="3">
        <v>2858140</v>
      </c>
      <c r="N112" s="3"/>
      <c r="O112" s="3">
        <v>0</v>
      </c>
      <c r="P112" s="3"/>
      <c r="Q112" s="3">
        <v>1228869</v>
      </c>
      <c r="R112" s="3"/>
      <c r="S112" s="3">
        <v>0</v>
      </c>
      <c r="T112" s="3"/>
      <c r="U112" s="3">
        <v>40843</v>
      </c>
      <c r="V112" s="3"/>
      <c r="W112" s="3">
        <v>3980</v>
      </c>
      <c r="X112" s="3"/>
      <c r="Y112" s="3">
        <v>0</v>
      </c>
      <c r="Z112" s="3"/>
      <c r="AA112" s="3">
        <v>84645</v>
      </c>
      <c r="AB112" s="3"/>
      <c r="AC112" s="3">
        <v>1499803</v>
      </c>
      <c r="AD112" s="3"/>
      <c r="AE112" s="22">
        <f t="shared" si="6"/>
        <v>1629271</v>
      </c>
      <c r="AG112" s="3">
        <f t="shared" si="4"/>
        <v>0</v>
      </c>
      <c r="AI112" s="3">
        <f t="shared" si="5"/>
        <v>0</v>
      </c>
    </row>
    <row r="113" spans="1:35" s="89" customFormat="1" hidden="1">
      <c r="A113" s="88" t="s">
        <v>355</v>
      </c>
      <c r="C113" s="89" t="s">
        <v>184</v>
      </c>
      <c r="E113" s="89">
        <v>125674</v>
      </c>
      <c r="G113" s="88">
        <v>0</v>
      </c>
      <c r="H113" s="88"/>
      <c r="I113" s="88">
        <v>0</v>
      </c>
      <c r="J113" s="88"/>
      <c r="K113" s="95">
        <f t="shared" si="7"/>
        <v>0</v>
      </c>
      <c r="L113" s="88"/>
      <c r="M113" s="88">
        <v>0</v>
      </c>
      <c r="N113" s="88"/>
      <c r="O113" s="88">
        <v>0</v>
      </c>
      <c r="P113" s="88"/>
      <c r="Q113" s="88">
        <v>0</v>
      </c>
      <c r="R113" s="88"/>
      <c r="S113" s="88">
        <v>0</v>
      </c>
      <c r="T113" s="88"/>
      <c r="U113" s="88">
        <v>0</v>
      </c>
      <c r="V113" s="88"/>
      <c r="W113" s="88">
        <v>0</v>
      </c>
      <c r="X113" s="88"/>
      <c r="Y113" s="88">
        <v>0</v>
      </c>
      <c r="Z113" s="88"/>
      <c r="AA113" s="88">
        <v>0</v>
      </c>
      <c r="AB113" s="88"/>
      <c r="AC113" s="88">
        <v>0</v>
      </c>
      <c r="AD113" s="88"/>
      <c r="AE113" s="96">
        <f t="shared" si="6"/>
        <v>0</v>
      </c>
      <c r="AG113" s="87">
        <f t="shared" si="4"/>
        <v>0</v>
      </c>
      <c r="AI113" s="87">
        <f t="shared" si="5"/>
        <v>0</v>
      </c>
    </row>
    <row r="114" spans="1:35" s="103" customFormat="1">
      <c r="A114" s="3" t="s">
        <v>332</v>
      </c>
      <c r="C114" s="103" t="s">
        <v>185</v>
      </c>
      <c r="E114" s="103">
        <v>49072</v>
      </c>
      <c r="G114" s="3">
        <v>837171</v>
      </c>
      <c r="H114" s="3"/>
      <c r="I114" s="3">
        <v>0</v>
      </c>
      <c r="J114" s="3"/>
      <c r="K114" s="8">
        <f t="shared" si="7"/>
        <v>107417</v>
      </c>
      <c r="L114" s="3"/>
      <c r="M114" s="3">
        <v>944588</v>
      </c>
      <c r="N114" s="3"/>
      <c r="O114" s="3">
        <v>0</v>
      </c>
      <c r="P114" s="3"/>
      <c r="Q114" s="3">
        <v>430644</v>
      </c>
      <c r="R114" s="3"/>
      <c r="S114" s="3">
        <v>0</v>
      </c>
      <c r="T114" s="3"/>
      <c r="U114" s="3">
        <v>0</v>
      </c>
      <c r="V114" s="3"/>
      <c r="W114" s="3">
        <v>77141</v>
      </c>
      <c r="X114" s="3"/>
      <c r="Y114" s="3">
        <v>49416</v>
      </c>
      <c r="Z114" s="3"/>
      <c r="AA114" s="3">
        <v>286</v>
      </c>
      <c r="AB114" s="3"/>
      <c r="AC114" s="3">
        <v>387101</v>
      </c>
      <c r="AD114" s="3"/>
      <c r="AE114" s="22">
        <f t="shared" si="6"/>
        <v>513944</v>
      </c>
      <c r="AG114" s="3">
        <f t="shared" si="4"/>
        <v>0</v>
      </c>
      <c r="AI114" s="3">
        <f t="shared" si="5"/>
        <v>0</v>
      </c>
    </row>
    <row r="115" spans="1:35" s="103" customFormat="1">
      <c r="A115" s="3" t="s">
        <v>323</v>
      </c>
      <c r="C115" s="103" t="s">
        <v>186</v>
      </c>
      <c r="E115" s="103">
        <v>49163</v>
      </c>
      <c r="G115" s="3">
        <v>986245</v>
      </c>
      <c r="H115" s="3"/>
      <c r="I115" s="3">
        <v>0</v>
      </c>
      <c r="J115" s="3"/>
      <c r="K115" s="8">
        <f t="shared" si="7"/>
        <v>174024</v>
      </c>
      <c r="L115" s="3"/>
      <c r="M115" s="3">
        <v>1160269</v>
      </c>
      <c r="N115" s="3"/>
      <c r="O115" s="3">
        <v>0</v>
      </c>
      <c r="P115" s="3"/>
      <c r="Q115" s="3">
        <v>1125074</v>
      </c>
      <c r="R115" s="3"/>
      <c r="S115" s="3">
        <v>0</v>
      </c>
      <c r="T115" s="3"/>
      <c r="U115" s="3">
        <v>0</v>
      </c>
      <c r="V115" s="3"/>
      <c r="W115" s="3">
        <v>53485</v>
      </c>
      <c r="X115" s="3"/>
      <c r="Y115" s="3">
        <v>0</v>
      </c>
      <c r="Z115" s="3"/>
      <c r="AA115" s="3">
        <v>6396</v>
      </c>
      <c r="AB115" s="3"/>
      <c r="AC115" s="3">
        <v>-24686</v>
      </c>
      <c r="AD115" s="3"/>
      <c r="AE115" s="22">
        <f t="shared" si="6"/>
        <v>35195</v>
      </c>
      <c r="AG115" s="3">
        <f t="shared" si="4"/>
        <v>0</v>
      </c>
      <c r="AI115" s="3">
        <f t="shared" si="5"/>
        <v>0</v>
      </c>
    </row>
    <row r="116" spans="1:35" s="59" customFormat="1" hidden="1">
      <c r="A116" s="59" t="s">
        <v>324</v>
      </c>
      <c r="C116" s="59" t="s">
        <v>187</v>
      </c>
      <c r="E116" s="59">
        <v>49254</v>
      </c>
      <c r="G116" s="58">
        <v>0</v>
      </c>
      <c r="H116" s="58"/>
      <c r="I116" s="58">
        <v>0</v>
      </c>
      <c r="J116" s="58"/>
      <c r="K116" s="63">
        <f t="shared" si="7"/>
        <v>0</v>
      </c>
      <c r="L116" s="58"/>
      <c r="M116" s="58">
        <v>0</v>
      </c>
      <c r="N116" s="58"/>
      <c r="O116" s="58">
        <v>0</v>
      </c>
      <c r="P116" s="58"/>
      <c r="Q116" s="58">
        <v>0</v>
      </c>
      <c r="R116" s="58"/>
      <c r="S116" s="58">
        <v>0</v>
      </c>
      <c r="T116" s="58"/>
      <c r="U116" s="58">
        <v>0</v>
      </c>
      <c r="V116" s="58"/>
      <c r="W116" s="58">
        <v>0</v>
      </c>
      <c r="X116" s="58"/>
      <c r="Y116" s="58">
        <v>0</v>
      </c>
      <c r="Z116" s="58"/>
      <c r="AA116" s="58">
        <v>0</v>
      </c>
      <c r="AB116" s="58"/>
      <c r="AC116" s="58">
        <v>0</v>
      </c>
      <c r="AD116" s="58"/>
      <c r="AE116" s="66">
        <f t="shared" si="6"/>
        <v>0</v>
      </c>
      <c r="AG116" s="87">
        <f t="shared" si="4"/>
        <v>0</v>
      </c>
      <c r="AI116" s="87">
        <f t="shared" si="5"/>
        <v>0</v>
      </c>
    </row>
    <row r="117" spans="1:35" s="103" customFormat="1">
      <c r="A117" s="3" t="s">
        <v>325</v>
      </c>
      <c r="C117" s="103" t="s">
        <v>188</v>
      </c>
      <c r="E117" s="103">
        <v>49304</v>
      </c>
      <c r="G117" s="3">
        <v>1156692</v>
      </c>
      <c r="H117" s="3"/>
      <c r="I117" s="3">
        <v>0</v>
      </c>
      <c r="J117" s="3"/>
      <c r="K117" s="8">
        <f t="shared" si="7"/>
        <v>1152446</v>
      </c>
      <c r="L117" s="3"/>
      <c r="M117" s="3">
        <v>2309138</v>
      </c>
      <c r="N117" s="3"/>
      <c r="O117" s="3">
        <v>0</v>
      </c>
      <c r="P117" s="3"/>
      <c r="Q117" s="3">
        <v>940383</v>
      </c>
      <c r="R117" s="3"/>
      <c r="S117" s="3">
        <v>411891</v>
      </c>
      <c r="T117" s="3"/>
      <c r="U117" s="3">
        <v>0</v>
      </c>
      <c r="V117" s="3"/>
      <c r="W117" s="3">
        <f>3933+75251+1479+1035+49579</f>
        <v>131277</v>
      </c>
      <c r="X117" s="3"/>
      <c r="Y117" s="3">
        <v>0</v>
      </c>
      <c r="Z117" s="3"/>
      <c r="AA117" s="3">
        <f>2781+20411</f>
        <v>23192</v>
      </c>
      <c r="AB117" s="3"/>
      <c r="AC117" s="3">
        <v>802395</v>
      </c>
      <c r="AD117" s="3"/>
      <c r="AE117" s="22">
        <f t="shared" si="6"/>
        <v>956864</v>
      </c>
      <c r="AG117" s="3">
        <f t="shared" si="4"/>
        <v>0</v>
      </c>
      <c r="AI117" s="3">
        <f t="shared" si="5"/>
        <v>0</v>
      </c>
    </row>
    <row r="118" spans="1:35" s="103" customFormat="1">
      <c r="A118" s="3" t="s">
        <v>326</v>
      </c>
      <c r="C118" s="103" t="s">
        <v>190</v>
      </c>
      <c r="E118" s="103">
        <v>138222</v>
      </c>
      <c r="G118" s="3">
        <v>3968211</v>
      </c>
      <c r="H118" s="3"/>
      <c r="I118" s="3">
        <v>0</v>
      </c>
      <c r="J118" s="3"/>
      <c r="K118" s="8">
        <f t="shared" si="7"/>
        <v>514734</v>
      </c>
      <c r="L118" s="3"/>
      <c r="M118" s="3">
        <v>4482945</v>
      </c>
      <c r="N118" s="3"/>
      <c r="O118" s="3">
        <v>0</v>
      </c>
      <c r="P118" s="3"/>
      <c r="Q118" s="3">
        <v>1131195</v>
      </c>
      <c r="R118" s="3"/>
      <c r="S118" s="3">
        <v>339868</v>
      </c>
      <c r="T118" s="3"/>
      <c r="U118" s="3">
        <v>0</v>
      </c>
      <c r="V118" s="3"/>
      <c r="W118" s="3">
        <f>104927+103344</f>
        <v>208271</v>
      </c>
      <c r="X118" s="3"/>
      <c r="Y118" s="3">
        <v>29297</v>
      </c>
      <c r="Z118" s="3"/>
      <c r="AA118" s="3">
        <f>1397164+12409+1705</f>
        <v>1411278</v>
      </c>
      <c r="AB118" s="3"/>
      <c r="AC118" s="3">
        <v>1363036</v>
      </c>
      <c r="AD118" s="3"/>
      <c r="AE118" s="22">
        <f t="shared" si="6"/>
        <v>3011882</v>
      </c>
      <c r="AG118" s="3">
        <f t="shared" si="4"/>
        <v>0</v>
      </c>
      <c r="AI118" s="3">
        <f t="shared" si="5"/>
        <v>0</v>
      </c>
    </row>
    <row r="119" spans="1:35" s="89" customFormat="1" hidden="1">
      <c r="A119" s="88" t="s">
        <v>300</v>
      </c>
      <c r="C119" s="89" t="s">
        <v>191</v>
      </c>
      <c r="E119" s="89">
        <v>49551</v>
      </c>
      <c r="G119" s="88">
        <v>0</v>
      </c>
      <c r="H119" s="88"/>
      <c r="I119" s="88">
        <v>0</v>
      </c>
      <c r="J119" s="88"/>
      <c r="K119" s="95">
        <f t="shared" si="7"/>
        <v>0</v>
      </c>
      <c r="L119" s="88"/>
      <c r="M119" s="88">
        <v>0</v>
      </c>
      <c r="N119" s="88"/>
      <c r="O119" s="88">
        <v>0</v>
      </c>
      <c r="P119" s="88"/>
      <c r="Q119" s="88">
        <v>0</v>
      </c>
      <c r="R119" s="88"/>
      <c r="S119" s="88">
        <v>0</v>
      </c>
      <c r="T119" s="88"/>
      <c r="U119" s="88">
        <v>0</v>
      </c>
      <c r="V119" s="88"/>
      <c r="W119" s="88">
        <v>0</v>
      </c>
      <c r="X119" s="88"/>
      <c r="Y119" s="88">
        <v>0</v>
      </c>
      <c r="Z119" s="88"/>
      <c r="AA119" s="88">
        <v>0</v>
      </c>
      <c r="AB119" s="88"/>
      <c r="AC119" s="88">
        <v>0</v>
      </c>
      <c r="AD119" s="88"/>
      <c r="AE119" s="96">
        <f t="shared" si="6"/>
        <v>0</v>
      </c>
      <c r="AG119" s="87">
        <f t="shared" si="4"/>
        <v>0</v>
      </c>
      <c r="AI119" s="87">
        <f t="shared" si="5"/>
        <v>0</v>
      </c>
    </row>
    <row r="120" spans="1:35" s="59" customFormat="1" hidden="1">
      <c r="A120" s="58" t="s">
        <v>384</v>
      </c>
      <c r="C120" s="59" t="s">
        <v>194</v>
      </c>
      <c r="E120" s="59">
        <v>49742</v>
      </c>
      <c r="G120" s="58">
        <v>0</v>
      </c>
      <c r="H120" s="58"/>
      <c r="I120" s="58">
        <v>0</v>
      </c>
      <c r="J120" s="58"/>
      <c r="K120" s="63">
        <f t="shared" si="7"/>
        <v>0</v>
      </c>
      <c r="L120" s="58"/>
      <c r="M120" s="58">
        <v>0</v>
      </c>
      <c r="N120" s="58"/>
      <c r="O120" s="58">
        <v>0</v>
      </c>
      <c r="P120" s="58"/>
      <c r="Q120" s="58">
        <v>0</v>
      </c>
      <c r="R120" s="58"/>
      <c r="S120" s="58">
        <v>0</v>
      </c>
      <c r="T120" s="58"/>
      <c r="U120" s="58">
        <v>0</v>
      </c>
      <c r="V120" s="58"/>
      <c r="W120" s="58">
        <v>0</v>
      </c>
      <c r="X120" s="58"/>
      <c r="Y120" s="58">
        <v>0</v>
      </c>
      <c r="Z120" s="58"/>
      <c r="AA120" s="58">
        <v>0</v>
      </c>
      <c r="AB120" s="58"/>
      <c r="AC120" s="58">
        <v>0</v>
      </c>
      <c r="AD120" s="58"/>
      <c r="AE120" s="66">
        <f t="shared" si="6"/>
        <v>0</v>
      </c>
      <c r="AG120" s="58">
        <f t="shared" si="4"/>
        <v>0</v>
      </c>
      <c r="AI120" s="58">
        <f t="shared" si="5"/>
        <v>0</v>
      </c>
    </row>
    <row r="121" spans="1:35" s="103" customFormat="1">
      <c r="A121" s="3" t="s">
        <v>263</v>
      </c>
      <c r="C121" s="103" t="s">
        <v>192</v>
      </c>
      <c r="E121" s="103">
        <v>125658</v>
      </c>
      <c r="G121" s="3">
        <v>2012394</v>
      </c>
      <c r="H121" s="3"/>
      <c r="I121" s="3">
        <v>0</v>
      </c>
      <c r="J121" s="3"/>
      <c r="K121" s="8">
        <f t="shared" si="7"/>
        <v>592235</v>
      </c>
      <c r="L121" s="3"/>
      <c r="M121" s="3">
        <v>2604629</v>
      </c>
      <c r="N121" s="3"/>
      <c r="O121" s="3">
        <v>0</v>
      </c>
      <c r="P121" s="3"/>
      <c r="Q121" s="3">
        <v>964406</v>
      </c>
      <c r="R121" s="3"/>
      <c r="S121" s="3">
        <v>297067</v>
      </c>
      <c r="T121" s="3"/>
      <c r="U121" s="3">
        <v>0</v>
      </c>
      <c r="V121" s="3"/>
      <c r="W121" s="3">
        <v>179628</v>
      </c>
      <c r="X121" s="3"/>
      <c r="Y121" s="3">
        <v>0</v>
      </c>
      <c r="Z121" s="3"/>
      <c r="AA121" s="3">
        <v>159411</v>
      </c>
      <c r="AB121" s="3"/>
      <c r="AC121" s="3">
        <v>1004117</v>
      </c>
      <c r="AD121" s="3"/>
      <c r="AE121" s="22">
        <f t="shared" si="6"/>
        <v>1343156</v>
      </c>
      <c r="AG121" s="3">
        <f t="shared" si="4"/>
        <v>0</v>
      </c>
      <c r="AI121" s="3">
        <f t="shared" si="5"/>
        <v>0</v>
      </c>
    </row>
    <row r="122" spans="1:35" s="103" customFormat="1">
      <c r="A122" s="3" t="s">
        <v>262</v>
      </c>
      <c r="B122" s="3"/>
      <c r="C122" s="3" t="s">
        <v>155</v>
      </c>
      <c r="E122" s="103">
        <v>46375</v>
      </c>
      <c r="G122" s="3">
        <v>2366951</v>
      </c>
      <c r="H122" s="3"/>
      <c r="I122" s="3">
        <v>0</v>
      </c>
      <c r="J122" s="3"/>
      <c r="K122" s="8">
        <f>+M122-I122-G122</f>
        <v>121096</v>
      </c>
      <c r="L122" s="3"/>
      <c r="M122" s="3">
        <v>2488047</v>
      </c>
      <c r="N122" s="3"/>
      <c r="O122" s="3">
        <v>0</v>
      </c>
      <c r="P122" s="3"/>
      <c r="Q122" s="3">
        <v>262758</v>
      </c>
      <c r="R122" s="3"/>
      <c r="S122" s="3">
        <v>0</v>
      </c>
      <c r="T122" s="3"/>
      <c r="U122" s="3">
        <v>0</v>
      </c>
      <c r="V122" s="3"/>
      <c r="W122" s="3">
        <v>1129</v>
      </c>
      <c r="X122" s="3"/>
      <c r="Y122" s="3">
        <v>0</v>
      </c>
      <c r="Z122" s="3"/>
      <c r="AA122" s="3">
        <v>150213</v>
      </c>
      <c r="AB122" s="3"/>
      <c r="AC122" s="3">
        <v>2073947</v>
      </c>
      <c r="AD122" s="3"/>
      <c r="AE122" s="22">
        <f t="shared" si="6"/>
        <v>2225289</v>
      </c>
      <c r="AG122" s="3">
        <f t="shared" si="4"/>
        <v>0</v>
      </c>
      <c r="AI122" s="3">
        <f t="shared" si="5"/>
        <v>0</v>
      </c>
    </row>
    <row r="123" spans="1:35" s="103" customFormat="1">
      <c r="A123" s="103" t="s">
        <v>330</v>
      </c>
      <c r="C123" s="103" t="s">
        <v>195</v>
      </c>
      <c r="E123" s="103">
        <v>49825</v>
      </c>
      <c r="G123" s="3">
        <v>2618712</v>
      </c>
      <c r="H123" s="3"/>
      <c r="I123" s="3">
        <v>0</v>
      </c>
      <c r="J123" s="3"/>
      <c r="K123" s="8">
        <f t="shared" si="7"/>
        <v>2270832</v>
      </c>
      <c r="L123" s="3"/>
      <c r="M123" s="3">
        <v>4889544</v>
      </c>
      <c r="N123" s="3"/>
      <c r="O123" s="3">
        <v>0</v>
      </c>
      <c r="P123" s="3"/>
      <c r="Q123" s="3">
        <v>2947040</v>
      </c>
      <c r="R123" s="3"/>
      <c r="S123" s="3">
        <v>1020810</v>
      </c>
      <c r="T123" s="3"/>
      <c r="U123" s="3">
        <v>5588</v>
      </c>
      <c r="V123" s="3"/>
      <c r="W123" s="3">
        <f>29785+159551</f>
        <v>189336</v>
      </c>
      <c r="X123" s="3"/>
      <c r="Y123" s="3">
        <v>0</v>
      </c>
      <c r="Z123" s="3"/>
      <c r="AA123" s="3">
        <f>37706+87806+1764</f>
        <v>127276</v>
      </c>
      <c r="AB123" s="3"/>
      <c r="AC123" s="3">
        <v>599494</v>
      </c>
      <c r="AD123" s="3"/>
      <c r="AE123" s="22">
        <f t="shared" si="6"/>
        <v>921694</v>
      </c>
      <c r="AG123" s="3">
        <f t="shared" si="4"/>
        <v>0</v>
      </c>
      <c r="AI123" s="3">
        <f t="shared" si="5"/>
        <v>0</v>
      </c>
    </row>
    <row r="124" spans="1:35" s="103" customFormat="1">
      <c r="A124" s="3" t="s">
        <v>331</v>
      </c>
      <c r="C124" s="103" t="s">
        <v>196</v>
      </c>
      <c r="E124" s="103">
        <v>49965</v>
      </c>
      <c r="G124" s="3">
        <v>5017977</v>
      </c>
      <c r="H124" s="3"/>
      <c r="I124" s="3">
        <v>0</v>
      </c>
      <c r="J124" s="3"/>
      <c r="K124" s="8">
        <f t="shared" si="7"/>
        <v>2340719</v>
      </c>
      <c r="L124" s="3"/>
      <c r="M124" s="3">
        <v>7358696</v>
      </c>
      <c r="N124" s="3"/>
      <c r="O124" s="3">
        <v>0</v>
      </c>
      <c r="P124" s="3"/>
      <c r="Q124" s="3">
        <f>3628487-1781286</f>
        <v>1847201</v>
      </c>
      <c r="R124" s="3"/>
      <c r="S124" s="3">
        <v>1781286</v>
      </c>
      <c r="T124" s="3"/>
      <c r="U124" s="3">
        <v>0</v>
      </c>
      <c r="V124" s="3"/>
      <c r="W124" s="3">
        <v>99168</v>
      </c>
      <c r="X124" s="3"/>
      <c r="Y124" s="3">
        <v>0</v>
      </c>
      <c r="Z124" s="3"/>
      <c r="AA124" s="3">
        <v>53871</v>
      </c>
      <c r="AB124" s="3"/>
      <c r="AC124" s="3">
        <v>3577170</v>
      </c>
      <c r="AD124" s="3"/>
      <c r="AE124" s="22">
        <f t="shared" si="6"/>
        <v>3730209</v>
      </c>
      <c r="AG124" s="3">
        <f t="shared" si="4"/>
        <v>0</v>
      </c>
      <c r="AI124" s="3">
        <f t="shared" si="5"/>
        <v>0</v>
      </c>
    </row>
    <row r="125" spans="1:35" s="59" customFormat="1" hidden="1">
      <c r="A125" s="58" t="s">
        <v>353</v>
      </c>
      <c r="C125" s="59" t="s">
        <v>203</v>
      </c>
      <c r="E125" s="59">
        <v>50526</v>
      </c>
      <c r="G125" s="58">
        <v>0</v>
      </c>
      <c r="H125" s="58"/>
      <c r="I125" s="58">
        <v>0</v>
      </c>
      <c r="J125" s="58"/>
      <c r="K125" s="63">
        <f t="shared" si="7"/>
        <v>0</v>
      </c>
      <c r="L125" s="58"/>
      <c r="M125" s="58">
        <v>0</v>
      </c>
      <c r="N125" s="58"/>
      <c r="O125" s="58">
        <v>0</v>
      </c>
      <c r="P125" s="58"/>
      <c r="Q125" s="58">
        <v>0</v>
      </c>
      <c r="R125" s="58"/>
      <c r="S125" s="58">
        <v>0</v>
      </c>
      <c r="T125" s="58"/>
      <c r="U125" s="58">
        <v>0</v>
      </c>
      <c r="V125" s="58"/>
      <c r="W125" s="58">
        <v>0</v>
      </c>
      <c r="X125" s="58"/>
      <c r="Y125" s="58">
        <v>0</v>
      </c>
      <c r="Z125" s="58"/>
      <c r="AA125" s="58">
        <v>0</v>
      </c>
      <c r="AB125" s="58"/>
      <c r="AC125" s="58">
        <v>0</v>
      </c>
      <c r="AD125" s="58"/>
      <c r="AE125" s="66">
        <f t="shared" si="6"/>
        <v>0</v>
      </c>
      <c r="AG125" s="87">
        <f t="shared" si="4"/>
        <v>0</v>
      </c>
      <c r="AI125" s="87">
        <f t="shared" si="5"/>
        <v>0</v>
      </c>
    </row>
    <row r="126" spans="1:35" s="103" customFormat="1">
      <c r="A126" s="3" t="s">
        <v>333</v>
      </c>
      <c r="C126" s="103" t="s">
        <v>197</v>
      </c>
      <c r="E126" s="103">
        <v>50088</v>
      </c>
      <c r="G126" s="3">
        <v>6233696</v>
      </c>
      <c r="H126" s="3"/>
      <c r="I126" s="3">
        <v>0</v>
      </c>
      <c r="J126" s="3"/>
      <c r="K126" s="8">
        <f t="shared" si="7"/>
        <v>1209476</v>
      </c>
      <c r="L126" s="3"/>
      <c r="M126" s="3">
        <v>7443172</v>
      </c>
      <c r="N126" s="3"/>
      <c r="O126" s="3">
        <v>0</v>
      </c>
      <c r="P126" s="3"/>
      <c r="Q126" s="3">
        <v>2377517</v>
      </c>
      <c r="R126" s="3"/>
      <c r="S126" s="3">
        <v>931979</v>
      </c>
      <c r="T126" s="3"/>
      <c r="U126" s="3">
        <v>11862</v>
      </c>
      <c r="V126" s="3"/>
      <c r="W126" s="3">
        <v>1076</v>
      </c>
      <c r="X126" s="3"/>
      <c r="Y126" s="3">
        <v>14236</v>
      </c>
      <c r="Z126" s="3"/>
      <c r="AA126" s="3">
        <f>1260+2659</f>
        <v>3919</v>
      </c>
      <c r="AB126" s="3"/>
      <c r="AC126" s="3">
        <v>4102583</v>
      </c>
      <c r="AD126" s="3"/>
      <c r="AE126" s="22">
        <f t="shared" si="6"/>
        <v>4133676</v>
      </c>
      <c r="AG126" s="3">
        <f t="shared" si="4"/>
        <v>0</v>
      </c>
      <c r="AI126" s="3">
        <f t="shared" si="5"/>
        <v>0</v>
      </c>
    </row>
    <row r="127" spans="1:35" s="89" customFormat="1" hidden="1">
      <c r="A127" s="88" t="s">
        <v>301</v>
      </c>
      <c r="C127" s="89" t="s">
        <v>198</v>
      </c>
      <c r="E127" s="89">
        <v>50260</v>
      </c>
      <c r="G127" s="88">
        <v>0</v>
      </c>
      <c r="H127" s="88"/>
      <c r="I127" s="88">
        <v>0</v>
      </c>
      <c r="J127" s="88"/>
      <c r="K127" s="95">
        <f t="shared" si="7"/>
        <v>0</v>
      </c>
      <c r="L127" s="88"/>
      <c r="M127" s="88">
        <v>0</v>
      </c>
      <c r="N127" s="88"/>
      <c r="O127" s="88">
        <v>0</v>
      </c>
      <c r="P127" s="88"/>
      <c r="Q127" s="88">
        <v>0</v>
      </c>
      <c r="R127" s="88"/>
      <c r="S127" s="88">
        <v>0</v>
      </c>
      <c r="T127" s="88"/>
      <c r="U127" s="88">
        <v>0</v>
      </c>
      <c r="V127" s="88"/>
      <c r="W127" s="88">
        <v>0</v>
      </c>
      <c r="X127" s="88"/>
      <c r="Y127" s="88">
        <v>0</v>
      </c>
      <c r="Z127" s="88"/>
      <c r="AA127" s="88">
        <v>0</v>
      </c>
      <c r="AB127" s="88"/>
      <c r="AC127" s="88">
        <v>0</v>
      </c>
      <c r="AD127" s="88"/>
      <c r="AE127" s="96">
        <f t="shared" si="6"/>
        <v>0</v>
      </c>
      <c r="AG127" s="87">
        <f t="shared" si="4"/>
        <v>0</v>
      </c>
      <c r="AI127" s="87">
        <f t="shared" si="5"/>
        <v>0</v>
      </c>
    </row>
    <row r="128" spans="1:35" s="59" customFormat="1" hidden="1">
      <c r="A128" s="58" t="s">
        <v>335</v>
      </c>
      <c r="C128" s="59" t="s">
        <v>201</v>
      </c>
      <c r="E128" s="59">
        <v>50401</v>
      </c>
      <c r="G128" s="58">
        <v>0</v>
      </c>
      <c r="H128" s="58"/>
      <c r="I128" s="58">
        <v>0</v>
      </c>
      <c r="J128" s="58"/>
      <c r="K128" s="63">
        <f t="shared" si="7"/>
        <v>0</v>
      </c>
      <c r="L128" s="58"/>
      <c r="M128" s="58">
        <v>0</v>
      </c>
      <c r="N128" s="58"/>
      <c r="O128" s="58">
        <v>0</v>
      </c>
      <c r="P128" s="58"/>
      <c r="Q128" s="58">
        <v>0</v>
      </c>
      <c r="R128" s="58"/>
      <c r="S128" s="58">
        <v>0</v>
      </c>
      <c r="T128" s="58"/>
      <c r="U128" s="58">
        <v>0</v>
      </c>
      <c r="V128" s="58"/>
      <c r="W128" s="58">
        <v>0</v>
      </c>
      <c r="X128" s="58"/>
      <c r="Y128" s="58">
        <v>0</v>
      </c>
      <c r="Z128" s="58"/>
      <c r="AA128" s="58">
        <v>0</v>
      </c>
      <c r="AB128" s="58"/>
      <c r="AC128" s="58">
        <v>0</v>
      </c>
      <c r="AD128" s="58"/>
      <c r="AE128" s="66">
        <f t="shared" si="6"/>
        <v>0</v>
      </c>
      <c r="AG128" s="87">
        <f t="shared" si="4"/>
        <v>0</v>
      </c>
      <c r="AI128" s="87">
        <f t="shared" si="5"/>
        <v>0</v>
      </c>
    </row>
    <row r="129" spans="1:35" s="89" customFormat="1" hidden="1">
      <c r="A129" s="88" t="s">
        <v>302</v>
      </c>
      <c r="C129" s="89" t="s">
        <v>202</v>
      </c>
      <c r="E129" s="89">
        <v>50476</v>
      </c>
      <c r="G129" s="88">
        <v>0</v>
      </c>
      <c r="H129" s="88"/>
      <c r="I129" s="88">
        <v>0</v>
      </c>
      <c r="J129" s="88"/>
      <c r="K129" s="95">
        <f t="shared" ref="K129" si="10">+M129-I129-G129</f>
        <v>0</v>
      </c>
      <c r="L129" s="88"/>
      <c r="M129" s="88">
        <v>0</v>
      </c>
      <c r="N129" s="88"/>
      <c r="O129" s="88">
        <v>0</v>
      </c>
      <c r="P129" s="88"/>
      <c r="Q129" s="88">
        <v>0</v>
      </c>
      <c r="R129" s="88"/>
      <c r="S129" s="88">
        <v>0</v>
      </c>
      <c r="T129" s="88"/>
      <c r="U129" s="88">
        <v>0</v>
      </c>
      <c r="V129" s="88"/>
      <c r="W129" s="88">
        <v>0</v>
      </c>
      <c r="X129" s="88"/>
      <c r="Y129" s="88">
        <v>0</v>
      </c>
      <c r="Z129" s="88"/>
      <c r="AA129" s="88">
        <v>0</v>
      </c>
      <c r="AB129" s="88"/>
      <c r="AC129" s="88">
        <v>0</v>
      </c>
      <c r="AD129" s="88"/>
      <c r="AE129" s="96">
        <f t="shared" si="6"/>
        <v>0</v>
      </c>
      <c r="AG129" s="87">
        <f t="shared" si="4"/>
        <v>0</v>
      </c>
      <c r="AI129" s="87">
        <f t="shared" si="5"/>
        <v>0</v>
      </c>
    </row>
    <row r="130" spans="1:35" s="103" customFormat="1">
      <c r="A130" s="3" t="s">
        <v>199</v>
      </c>
      <c r="C130" s="103" t="s">
        <v>258</v>
      </c>
      <c r="E130" s="103">
        <v>134999</v>
      </c>
      <c r="G130" s="3">
        <v>483290</v>
      </c>
      <c r="H130" s="3"/>
      <c r="I130" s="3">
        <v>0</v>
      </c>
      <c r="J130" s="3"/>
      <c r="K130" s="8">
        <f>+M130-I130-G130</f>
        <v>191986</v>
      </c>
      <c r="L130" s="3"/>
      <c r="M130" s="3">
        <v>675276</v>
      </c>
      <c r="N130" s="3"/>
      <c r="O130" s="3">
        <v>0</v>
      </c>
      <c r="P130" s="3"/>
      <c r="Q130" s="3">
        <v>476284</v>
      </c>
      <c r="R130" s="3"/>
      <c r="S130" s="3">
        <v>3082</v>
      </c>
      <c r="T130" s="3"/>
      <c r="U130" s="3">
        <v>0</v>
      </c>
      <c r="V130" s="3"/>
      <c r="W130" s="3">
        <v>1441</v>
      </c>
      <c r="X130" s="3"/>
      <c r="Y130" s="3">
        <v>0</v>
      </c>
      <c r="Z130" s="3"/>
      <c r="AA130" s="3">
        <v>169345</v>
      </c>
      <c r="AB130" s="3"/>
      <c r="AC130" s="3">
        <v>25124</v>
      </c>
      <c r="AD130" s="3"/>
      <c r="AE130" s="22">
        <f t="shared" si="6"/>
        <v>195910</v>
      </c>
      <c r="AG130" s="3">
        <f t="shared" si="4"/>
        <v>0</v>
      </c>
      <c r="AI130" s="3">
        <f t="shared" si="5"/>
        <v>0</v>
      </c>
    </row>
    <row r="131" spans="1:35" s="103" customFormat="1">
      <c r="A131" s="3" t="s">
        <v>334</v>
      </c>
      <c r="C131" s="103" t="s">
        <v>204</v>
      </c>
      <c r="E131" s="103">
        <v>50666</v>
      </c>
      <c r="G131" s="3">
        <v>5654022</v>
      </c>
      <c r="H131" s="3"/>
      <c r="I131" s="3">
        <v>0</v>
      </c>
      <c r="J131" s="3"/>
      <c r="K131" s="8">
        <f t="shared" si="7"/>
        <v>653101</v>
      </c>
      <c r="L131" s="3"/>
      <c r="M131" s="3">
        <v>6307123</v>
      </c>
      <c r="N131" s="3"/>
      <c r="O131" s="3">
        <v>0</v>
      </c>
      <c r="P131" s="3"/>
      <c r="Q131" s="3">
        <v>1631660</v>
      </c>
      <c r="R131" s="3"/>
      <c r="S131" s="3">
        <v>282670</v>
      </c>
      <c r="T131" s="3"/>
      <c r="U131" s="3">
        <v>1552</v>
      </c>
      <c r="V131" s="3"/>
      <c r="W131" s="3">
        <v>2317318</v>
      </c>
      <c r="X131" s="3"/>
      <c r="Y131" s="3">
        <v>0</v>
      </c>
      <c r="Z131" s="3"/>
      <c r="AA131" s="3">
        <v>41323</v>
      </c>
      <c r="AB131" s="3"/>
      <c r="AC131" s="3">
        <v>2032600</v>
      </c>
      <c r="AD131" s="3"/>
      <c r="AE131" s="22">
        <f t="shared" si="6"/>
        <v>4392793</v>
      </c>
      <c r="AG131" s="3">
        <f t="shared" si="4"/>
        <v>0</v>
      </c>
      <c r="AI131" s="3">
        <f t="shared" si="5"/>
        <v>0</v>
      </c>
    </row>
    <row r="132" spans="1:35" s="15" customFormat="1">
      <c r="A132" s="3"/>
    </row>
    <row r="133" spans="1:35" s="15" customFormat="1"/>
    <row r="134" spans="1:35" s="15" customFormat="1"/>
    <row r="138" spans="1:35">
      <c r="G138" s="3"/>
      <c r="H138" s="3"/>
      <c r="I138" s="3"/>
      <c r="J138" s="3"/>
      <c r="K138" s="8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22"/>
    </row>
  </sheetData>
  <mergeCells count="2">
    <mergeCell ref="G8:K8"/>
    <mergeCell ref="U8:AC8"/>
  </mergeCells>
  <phoneticPr fontId="3" type="noConversion"/>
  <pageMargins left="0.75" right="0.5" top="0.5" bottom="0.5" header="0.25" footer="0.25"/>
  <pageSetup scale="76" firstPageNumber="46" pageOrder="overThenDown" orientation="portrait" useFirstPageNumber="1" r:id="rId1"/>
  <headerFooter scaleWithDoc="0" alignWithMargins="0"/>
  <rowBreaks count="1" manualBreakCount="1">
    <brk id="6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4"/>
  <sheetViews>
    <sheetView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G12" sqref="G12"/>
    </sheetView>
  </sheetViews>
  <sheetFormatPr defaultRowHeight="12"/>
  <cols>
    <col min="1" max="1" width="45.7109375" style="27" customWidth="1"/>
    <col min="2" max="2" width="1.7109375" style="27" customWidth="1"/>
    <col min="3" max="3" width="11.7109375" style="27" customWidth="1"/>
    <col min="4" max="4" width="1.7109375" style="27" hidden="1" customWidth="1"/>
    <col min="5" max="5" width="6.7109375" style="27" hidden="1" customWidth="1"/>
    <col min="6" max="6" width="1.7109375" style="27" customWidth="1"/>
    <col min="7" max="7" width="10.7109375" style="27" customWidth="1"/>
    <col min="8" max="8" width="1.28515625" style="27" customWidth="1"/>
    <col min="9" max="9" width="10.7109375" style="27" customWidth="1"/>
    <col min="10" max="10" width="1.7109375" style="27" customWidth="1"/>
    <col min="11" max="11" width="10.7109375" style="27" customWidth="1"/>
    <col min="12" max="12" width="1.7109375" style="27" customWidth="1"/>
    <col min="13" max="13" width="10.7109375" style="27" customWidth="1"/>
    <col min="14" max="14" width="1.7109375" style="27" customWidth="1"/>
    <col min="15" max="15" width="11.7109375" style="27" customWidth="1"/>
    <col min="16" max="16" width="1.7109375" style="27" customWidth="1"/>
    <col min="17" max="17" width="11.7109375" style="27" customWidth="1"/>
    <col min="18" max="18" width="1.7109375" style="27" customWidth="1"/>
    <col min="19" max="19" width="11.7109375" style="27" customWidth="1"/>
    <col min="20" max="20" width="1.7109375" style="27" customWidth="1"/>
    <col min="21" max="21" width="11.7109375" style="27" customWidth="1"/>
    <col min="22" max="22" width="1.7109375" style="27" customWidth="1"/>
    <col min="23" max="23" width="11.7109375" style="27" customWidth="1"/>
    <col min="24" max="24" width="1.7109375" style="27" customWidth="1"/>
    <col min="25" max="25" width="11.7109375" style="27" customWidth="1"/>
    <col min="26" max="26" width="1.28515625" style="27" customWidth="1"/>
    <col min="27" max="27" width="11.7109375" style="27" customWidth="1"/>
    <col min="28" max="28" width="1.7109375" style="102" customWidth="1"/>
    <col min="29" max="29" width="11.7109375" style="102" customWidth="1"/>
    <col min="30" max="30" width="1.28515625" style="27" customWidth="1"/>
    <col min="31" max="31" width="11.7109375" style="27" customWidth="1"/>
    <col min="32" max="32" width="1.7109375" style="27" hidden="1" customWidth="1"/>
    <col min="33" max="33" width="11.7109375" style="27" hidden="1" customWidth="1"/>
    <col min="34" max="34" width="45.7109375" style="27" customWidth="1"/>
    <col min="35" max="35" width="1.7109375" style="27" customWidth="1"/>
    <col min="36" max="36" width="10.140625" style="27" bestFit="1" customWidth="1"/>
    <col min="37" max="37" width="1.7109375" style="27" customWidth="1"/>
    <col min="38" max="38" width="12.7109375" style="27" customWidth="1"/>
    <col min="39" max="39" width="1.7109375" style="27" hidden="1" customWidth="1"/>
    <col min="40" max="40" width="11.7109375" style="27" hidden="1" customWidth="1"/>
    <col min="41" max="41" width="1.85546875" style="27" customWidth="1"/>
    <col min="42" max="42" width="12.28515625" style="27" customWidth="1"/>
    <col min="43" max="43" width="1.7109375" style="27" hidden="1" customWidth="1"/>
    <col min="44" max="44" width="11.140625" style="27" hidden="1" customWidth="1"/>
    <col min="45" max="45" width="2.140625" style="27" customWidth="1"/>
    <col min="46" max="46" width="11.7109375" style="27" customWidth="1"/>
    <col min="47" max="47" width="2.140625" style="27" customWidth="1"/>
    <col min="48" max="48" width="14.42578125" style="27" customWidth="1"/>
    <col min="49" max="16384" width="9.140625" style="27"/>
  </cols>
  <sheetData>
    <row r="1" spans="1:48" s="7" customFormat="1">
      <c r="A1" s="4" t="s">
        <v>125</v>
      </c>
      <c r="B1" s="4"/>
      <c r="C1" s="4"/>
      <c r="D1" s="4"/>
      <c r="E1" s="4"/>
      <c r="F1" s="36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1"/>
      <c r="AG1" s="41"/>
      <c r="AH1" s="4" t="s">
        <v>125</v>
      </c>
      <c r="AI1" s="4"/>
      <c r="AJ1" s="4"/>
      <c r="AK1" s="41"/>
      <c r="AL1" s="41"/>
      <c r="AM1" s="41"/>
      <c r="AN1" s="41"/>
      <c r="AO1" s="41"/>
      <c r="AP1" s="41"/>
    </row>
    <row r="2" spans="1:48" s="7" customFormat="1">
      <c r="A2" s="4" t="s">
        <v>380</v>
      </c>
      <c r="B2" s="4"/>
      <c r="C2" s="4"/>
      <c r="D2" s="4"/>
      <c r="E2" s="4"/>
      <c r="F2" s="36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1"/>
      <c r="AG2" s="41"/>
      <c r="AH2" s="4" t="s">
        <v>380</v>
      </c>
      <c r="AI2" s="4"/>
      <c r="AJ2" s="4"/>
      <c r="AK2" s="41"/>
      <c r="AL2" s="41"/>
      <c r="AM2" s="41"/>
      <c r="AN2" s="41"/>
      <c r="AO2" s="41"/>
      <c r="AP2" s="41"/>
    </row>
    <row r="3" spans="1:48" s="3" customFormat="1">
      <c r="A3" s="31"/>
      <c r="B3" s="5"/>
      <c r="C3" s="5"/>
      <c r="D3" s="5"/>
      <c r="E3" s="5"/>
      <c r="F3" s="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6"/>
      <c r="AG3" s="16"/>
      <c r="AH3" s="31" t="s">
        <v>254</v>
      </c>
      <c r="AI3" s="5"/>
      <c r="AJ3" s="5"/>
      <c r="AK3" s="16"/>
      <c r="AL3" s="16"/>
      <c r="AM3" s="16"/>
      <c r="AN3" s="16"/>
      <c r="AO3" s="16"/>
      <c r="AP3" s="16"/>
    </row>
    <row r="4" spans="1:48" s="3" customFormat="1">
      <c r="A4" s="7" t="s">
        <v>257</v>
      </c>
      <c r="B4" s="4"/>
      <c r="C4" s="4"/>
      <c r="D4" s="4"/>
      <c r="E4" s="4"/>
      <c r="F4" s="1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6"/>
      <c r="AG4" s="16"/>
      <c r="AH4" s="7" t="s">
        <v>257</v>
      </c>
      <c r="AI4" s="4"/>
      <c r="AJ4" s="4"/>
      <c r="AK4" s="16"/>
      <c r="AL4" s="16"/>
      <c r="AM4" s="16"/>
      <c r="AN4" s="16"/>
      <c r="AO4" s="16"/>
      <c r="AP4" s="11"/>
    </row>
    <row r="5" spans="1:48" s="3" customFormat="1">
      <c r="A5" s="7"/>
      <c r="B5" s="4"/>
      <c r="C5" s="4"/>
      <c r="D5" s="4"/>
      <c r="E5" s="4"/>
      <c r="F5" s="1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16"/>
      <c r="AG5" s="16"/>
      <c r="AH5" s="7"/>
      <c r="AI5" s="4"/>
      <c r="AJ5" s="4"/>
      <c r="AK5" s="16"/>
      <c r="AL5" s="16"/>
      <c r="AM5" s="16"/>
      <c r="AN5" s="16"/>
      <c r="AO5" s="16"/>
      <c r="AP5" s="11"/>
    </row>
    <row r="6" spans="1:48" s="3" customFormat="1">
      <c r="A6" s="18"/>
      <c r="B6" s="4"/>
      <c r="C6" s="4"/>
      <c r="D6" s="4"/>
      <c r="E6" s="4"/>
      <c r="F6" s="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6"/>
      <c r="AG6" s="16"/>
      <c r="AH6" s="18"/>
      <c r="AI6" s="4"/>
      <c r="AJ6" s="4"/>
      <c r="AK6" s="16"/>
      <c r="AL6" s="16"/>
      <c r="AM6" s="16"/>
      <c r="AN6" s="16"/>
      <c r="AO6" s="16"/>
      <c r="AP6" s="11"/>
    </row>
    <row r="7" spans="1:48" s="7" customFormat="1">
      <c r="A7" s="29" t="s">
        <v>311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AH7" s="29" t="s">
        <v>311</v>
      </c>
      <c r="AI7" s="5"/>
      <c r="AJ7" s="5"/>
      <c r="AP7" s="2"/>
      <c r="AV7" s="11" t="s">
        <v>6</v>
      </c>
    </row>
    <row r="8" spans="1:48" s="11" customForma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7" t="s">
        <v>96</v>
      </c>
      <c r="Z8" s="37"/>
      <c r="AA8" s="37"/>
      <c r="AB8" s="37"/>
      <c r="AC8" s="37"/>
      <c r="AD8" s="37"/>
      <c r="AE8" s="37"/>
      <c r="AF8" s="37"/>
      <c r="AG8" s="37"/>
      <c r="AI8" s="2"/>
      <c r="AJ8" s="2"/>
      <c r="AK8" s="5"/>
      <c r="AL8" s="119" t="s">
        <v>340</v>
      </c>
      <c r="AM8" s="119"/>
      <c r="AN8" s="119"/>
      <c r="AO8" s="119"/>
      <c r="AP8" s="119"/>
      <c r="AT8" s="11" t="s">
        <v>6</v>
      </c>
      <c r="AV8" s="11" t="s">
        <v>269</v>
      </c>
    </row>
    <row r="9" spans="1:48" s="11" customForma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 t="s">
        <v>26</v>
      </c>
      <c r="P9" s="2"/>
      <c r="Q9" s="2" t="s">
        <v>97</v>
      </c>
      <c r="R9" s="2"/>
      <c r="S9" s="2" t="s">
        <v>28</v>
      </c>
      <c r="T9" s="2"/>
      <c r="U9" s="2"/>
      <c r="V9" s="2"/>
      <c r="W9" s="2"/>
      <c r="X9" s="2"/>
      <c r="AB9" s="105"/>
      <c r="AC9" s="105"/>
      <c r="AE9" s="105" t="s">
        <v>230</v>
      </c>
      <c r="AI9" s="2"/>
      <c r="AJ9" s="2"/>
      <c r="AL9" s="11" t="s">
        <v>221</v>
      </c>
      <c r="AN9" s="11" t="s">
        <v>226</v>
      </c>
      <c r="AP9" s="11" t="s">
        <v>67</v>
      </c>
      <c r="AT9" s="11" t="s">
        <v>82</v>
      </c>
      <c r="AV9" s="11" t="s">
        <v>270</v>
      </c>
    </row>
    <row r="10" spans="1:48" s="11" customFormat="1">
      <c r="A10" s="2"/>
      <c r="B10" s="2"/>
      <c r="C10" s="2"/>
      <c r="D10" s="2"/>
      <c r="E10" s="2"/>
      <c r="F10" s="2"/>
      <c r="G10" s="2" t="s">
        <v>32</v>
      </c>
      <c r="H10" s="2"/>
      <c r="I10" s="2" t="s">
        <v>98</v>
      </c>
      <c r="J10" s="2"/>
      <c r="K10" s="2"/>
      <c r="L10" s="2"/>
      <c r="M10" s="2" t="s">
        <v>35</v>
      </c>
      <c r="N10" s="2"/>
      <c r="O10" s="2" t="s">
        <v>36</v>
      </c>
      <c r="P10" s="2"/>
      <c r="Q10" s="2" t="s">
        <v>99</v>
      </c>
      <c r="R10" s="2"/>
      <c r="S10" s="2" t="s">
        <v>38</v>
      </c>
      <c r="T10" s="2"/>
      <c r="U10" s="2" t="s">
        <v>67</v>
      </c>
      <c r="V10" s="2"/>
      <c r="W10" s="2" t="s">
        <v>6</v>
      </c>
      <c r="X10" s="2"/>
      <c r="Y10" s="2"/>
      <c r="Z10" s="2"/>
      <c r="AA10" s="11" t="s">
        <v>100</v>
      </c>
      <c r="AB10" s="105"/>
      <c r="AC10" s="105" t="s">
        <v>101</v>
      </c>
      <c r="AE10" s="105" t="s">
        <v>231</v>
      </c>
      <c r="AH10" s="2"/>
      <c r="AI10" s="2"/>
      <c r="AJ10" s="2"/>
      <c r="AL10" s="11" t="s">
        <v>223</v>
      </c>
      <c r="AN10" s="11" t="s">
        <v>227</v>
      </c>
      <c r="AP10" s="11" t="s">
        <v>102</v>
      </c>
      <c r="AR10" s="11" t="s">
        <v>344</v>
      </c>
      <c r="AT10" s="11" t="s">
        <v>102</v>
      </c>
      <c r="AV10" s="11" t="s">
        <v>347</v>
      </c>
    </row>
    <row r="11" spans="1:48" s="11" customFormat="1">
      <c r="A11" s="25" t="s">
        <v>277</v>
      </c>
      <c r="C11" s="25" t="s">
        <v>10</v>
      </c>
      <c r="E11" s="25" t="s">
        <v>11</v>
      </c>
      <c r="F11" s="2"/>
      <c r="G11" s="85" t="s">
        <v>44</v>
      </c>
      <c r="H11" s="2"/>
      <c r="I11" s="25" t="s">
        <v>103</v>
      </c>
      <c r="J11" s="2"/>
      <c r="K11" s="25" t="s">
        <v>83</v>
      </c>
      <c r="L11" s="2"/>
      <c r="M11" s="25" t="s">
        <v>47</v>
      </c>
      <c r="N11" s="2"/>
      <c r="O11" s="25" t="s">
        <v>48</v>
      </c>
      <c r="P11" s="2"/>
      <c r="Q11" s="25" t="s">
        <v>104</v>
      </c>
      <c r="R11" s="2"/>
      <c r="S11" s="25" t="s">
        <v>49</v>
      </c>
      <c r="T11" s="2"/>
      <c r="U11" s="25" t="s">
        <v>93</v>
      </c>
      <c r="V11" s="2"/>
      <c r="W11" s="25" t="s">
        <v>29</v>
      </c>
      <c r="X11" s="2"/>
      <c r="Y11" s="25" t="s">
        <v>105</v>
      </c>
      <c r="Z11" s="2"/>
      <c r="AA11" s="25" t="s">
        <v>107</v>
      </c>
      <c r="AB11" s="2"/>
      <c r="AC11" s="106" t="s">
        <v>107</v>
      </c>
      <c r="AE11" s="106" t="s">
        <v>222</v>
      </c>
      <c r="AG11" s="25" t="s">
        <v>106</v>
      </c>
      <c r="AH11" s="25" t="s">
        <v>277</v>
      </c>
      <c r="AJ11" s="25" t="s">
        <v>10</v>
      </c>
      <c r="AL11" s="25" t="s">
        <v>15</v>
      </c>
      <c r="AN11" s="11" t="s">
        <v>114</v>
      </c>
      <c r="AP11" s="25" t="s">
        <v>108</v>
      </c>
      <c r="AR11" s="25" t="s">
        <v>237</v>
      </c>
      <c r="AT11" s="25" t="s">
        <v>108</v>
      </c>
      <c r="AV11" s="25" t="s">
        <v>237</v>
      </c>
    </row>
    <row r="12" spans="1:48" s="11" customFormat="1">
      <c r="A12" s="2"/>
      <c r="C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E12" s="2"/>
      <c r="AG12" s="2"/>
      <c r="AH12" s="2"/>
      <c r="AJ12" s="2"/>
      <c r="AL12" s="2"/>
      <c r="AP12" s="2"/>
      <c r="AR12" s="2"/>
      <c r="AT12" s="2"/>
      <c r="AV12" s="2"/>
    </row>
    <row r="13" spans="1:48">
      <c r="A13" s="32" t="s">
        <v>252</v>
      </c>
      <c r="AE13" s="102"/>
      <c r="AH13" s="32" t="s">
        <v>252</v>
      </c>
    </row>
    <row r="14" spans="1:48">
      <c r="A14" s="32"/>
      <c r="AE14" s="102"/>
      <c r="AH14" s="32"/>
    </row>
    <row r="15" spans="1:48" s="102" customFormat="1">
      <c r="A15" s="3" t="s">
        <v>283</v>
      </c>
      <c r="B15" s="3"/>
      <c r="C15" s="3" t="s">
        <v>260</v>
      </c>
      <c r="E15" s="103">
        <v>50773</v>
      </c>
      <c r="G15" s="115">
        <v>3737196</v>
      </c>
      <c r="H15" s="115"/>
      <c r="I15" s="115">
        <v>6847210</v>
      </c>
      <c r="J15" s="115"/>
      <c r="K15" s="115">
        <v>59126</v>
      </c>
      <c r="L15" s="115"/>
      <c r="M15" s="115">
        <f>698348+556347</f>
        <v>1254695</v>
      </c>
      <c r="N15" s="115"/>
      <c r="O15" s="115">
        <v>0</v>
      </c>
      <c r="P15" s="115"/>
      <c r="Q15" s="115">
        <v>0</v>
      </c>
      <c r="R15" s="115"/>
      <c r="S15" s="115">
        <v>0</v>
      </c>
      <c r="T15" s="115"/>
      <c r="U15" s="115">
        <v>104848</v>
      </c>
      <c r="V15" s="115"/>
      <c r="W15" s="117">
        <f t="shared" ref="W15:W46" si="0">SUM(G15:V15)</f>
        <v>12003075</v>
      </c>
      <c r="X15" s="115"/>
      <c r="Y15" s="115">
        <v>0</v>
      </c>
      <c r="Z15" s="115"/>
      <c r="AA15" s="115">
        <v>0</v>
      </c>
      <c r="AB15" s="115"/>
      <c r="AC15" s="115">
        <v>0</v>
      </c>
      <c r="AD15" s="115"/>
      <c r="AE15" s="115">
        <v>0</v>
      </c>
      <c r="AF15" s="115"/>
      <c r="AG15" s="115">
        <v>0</v>
      </c>
      <c r="AH15" s="3" t="s">
        <v>283</v>
      </c>
      <c r="AI15" s="3"/>
      <c r="AJ15" s="3" t="s">
        <v>260</v>
      </c>
      <c r="AK15" s="115"/>
      <c r="AL15" s="115">
        <v>0</v>
      </c>
      <c r="AM15" s="115"/>
      <c r="AN15" s="115">
        <v>0</v>
      </c>
      <c r="AO15" s="115"/>
      <c r="AP15" s="115">
        <v>0</v>
      </c>
      <c r="AQ15" s="115"/>
      <c r="AR15" s="115">
        <v>0</v>
      </c>
      <c r="AS15" s="115"/>
      <c r="AT15" s="117">
        <f t="shared" ref="AT15:AT34" si="1">SUM(Y15:AR15)</f>
        <v>0</v>
      </c>
      <c r="AU15" s="115"/>
      <c r="AV15" s="117">
        <f t="shared" ref="AV15:AV34" si="2">+AT15+W15</f>
        <v>12003075</v>
      </c>
    </row>
    <row r="16" spans="1:48" s="19" customFormat="1">
      <c r="A16" s="3" t="s">
        <v>239</v>
      </c>
      <c r="C16" s="19" t="s">
        <v>143</v>
      </c>
      <c r="E16" s="114">
        <v>62042</v>
      </c>
      <c r="G16" s="16">
        <v>2894679</v>
      </c>
      <c r="H16" s="16"/>
      <c r="I16" s="16">
        <f>3504313+407138</f>
        <v>3911451</v>
      </c>
      <c r="J16" s="16"/>
      <c r="K16" s="16">
        <v>14692</v>
      </c>
      <c r="L16" s="16"/>
      <c r="M16" s="16">
        <f>618276+45525+192971+3025</f>
        <v>859797</v>
      </c>
      <c r="N16" s="16"/>
      <c r="O16" s="16">
        <v>0</v>
      </c>
      <c r="P16" s="16"/>
      <c r="Q16" s="16">
        <v>0</v>
      </c>
      <c r="R16" s="16"/>
      <c r="S16" s="16">
        <v>6578</v>
      </c>
      <c r="T16" s="16"/>
      <c r="U16" s="16">
        <f>121212+37514</f>
        <v>158726</v>
      </c>
      <c r="V16" s="16"/>
      <c r="W16" s="23">
        <f t="shared" si="0"/>
        <v>7845923</v>
      </c>
      <c r="X16" s="16"/>
      <c r="Y16" s="16">
        <v>28220</v>
      </c>
      <c r="Z16" s="16"/>
      <c r="AA16" s="16">
        <v>0</v>
      </c>
      <c r="AB16" s="16"/>
      <c r="AC16" s="16">
        <v>0</v>
      </c>
      <c r="AD16" s="16"/>
      <c r="AE16" s="16">
        <v>0</v>
      </c>
      <c r="AF16" s="16"/>
      <c r="AG16" s="16">
        <v>0</v>
      </c>
      <c r="AH16" s="3" t="s">
        <v>239</v>
      </c>
      <c r="AJ16" s="19" t="s">
        <v>143</v>
      </c>
      <c r="AK16" s="16"/>
      <c r="AL16" s="16">
        <v>0</v>
      </c>
      <c r="AM16" s="16"/>
      <c r="AN16" s="16">
        <v>0</v>
      </c>
      <c r="AO16" s="16"/>
      <c r="AP16" s="16">
        <v>0</v>
      </c>
      <c r="AQ16" s="16"/>
      <c r="AR16" s="16">
        <v>0</v>
      </c>
      <c r="AS16" s="16"/>
      <c r="AT16" s="23">
        <f t="shared" si="1"/>
        <v>28220</v>
      </c>
      <c r="AU16" s="16"/>
      <c r="AV16" s="23">
        <f t="shared" si="2"/>
        <v>7874143</v>
      </c>
    </row>
    <row r="17" spans="1:48" s="103" customFormat="1">
      <c r="A17" s="3" t="s">
        <v>348</v>
      </c>
      <c r="C17" s="103" t="s">
        <v>144</v>
      </c>
      <c r="E17" s="103">
        <v>50815</v>
      </c>
      <c r="G17" s="16">
        <v>4167077</v>
      </c>
      <c r="H17" s="16"/>
      <c r="I17" s="16">
        <v>8997303</v>
      </c>
      <c r="J17" s="16"/>
      <c r="K17" s="16">
        <v>35</v>
      </c>
      <c r="L17" s="16"/>
      <c r="M17" s="16">
        <f>442452+678126+6402</f>
        <v>1126980</v>
      </c>
      <c r="N17" s="16"/>
      <c r="O17" s="16">
        <v>16489</v>
      </c>
      <c r="P17" s="16"/>
      <c r="Q17" s="16">
        <v>0</v>
      </c>
      <c r="R17" s="16"/>
      <c r="S17" s="16">
        <v>7232</v>
      </c>
      <c r="T17" s="16"/>
      <c r="U17" s="16">
        <v>56443</v>
      </c>
      <c r="V17" s="16"/>
      <c r="W17" s="23">
        <f t="shared" si="0"/>
        <v>14371559</v>
      </c>
      <c r="X17" s="16"/>
      <c r="Y17" s="16">
        <v>320000</v>
      </c>
      <c r="Z17" s="16"/>
      <c r="AA17" s="16">
        <v>0</v>
      </c>
      <c r="AB17" s="16"/>
      <c r="AC17" s="16">
        <v>0</v>
      </c>
      <c r="AD17" s="16"/>
      <c r="AE17" s="16">
        <v>0</v>
      </c>
      <c r="AF17" s="16"/>
      <c r="AG17" s="16">
        <v>0</v>
      </c>
      <c r="AH17" s="3" t="s">
        <v>348</v>
      </c>
      <c r="AJ17" s="103" t="s">
        <v>144</v>
      </c>
      <c r="AK17" s="16"/>
      <c r="AL17" s="16">
        <v>0</v>
      </c>
      <c r="AM17" s="16"/>
      <c r="AN17" s="16">
        <v>0</v>
      </c>
      <c r="AO17" s="16"/>
      <c r="AP17" s="16">
        <v>0</v>
      </c>
      <c r="AQ17" s="16"/>
      <c r="AR17" s="16">
        <v>0</v>
      </c>
      <c r="AS17" s="16"/>
      <c r="AT17" s="23">
        <f t="shared" si="1"/>
        <v>320000</v>
      </c>
      <c r="AU17" s="16"/>
      <c r="AV17" s="23">
        <f t="shared" si="2"/>
        <v>14691559</v>
      </c>
    </row>
    <row r="18" spans="1:48" s="103" customFormat="1">
      <c r="A18" s="3" t="s">
        <v>289</v>
      </c>
      <c r="C18" s="103" t="s">
        <v>146</v>
      </c>
      <c r="E18" s="103">
        <v>51169</v>
      </c>
      <c r="G18" s="3">
        <v>5668849</v>
      </c>
      <c r="H18" s="3"/>
      <c r="I18" s="3">
        <v>3498027</v>
      </c>
      <c r="J18" s="3"/>
      <c r="K18" s="3">
        <v>11915</v>
      </c>
      <c r="L18" s="3"/>
      <c r="M18" s="3">
        <f>1287805+51617+73590</f>
        <v>1413012</v>
      </c>
      <c r="N18" s="3"/>
      <c r="O18" s="3">
        <v>500</v>
      </c>
      <c r="P18" s="3"/>
      <c r="Q18" s="3">
        <v>0</v>
      </c>
      <c r="R18" s="3"/>
      <c r="S18" s="3">
        <v>3200</v>
      </c>
      <c r="T18" s="3"/>
      <c r="U18" s="3">
        <v>159843</v>
      </c>
      <c r="V18" s="3"/>
      <c r="W18" s="23">
        <f t="shared" si="0"/>
        <v>10755346</v>
      </c>
      <c r="X18" s="3"/>
      <c r="Y18" s="3">
        <v>80000</v>
      </c>
      <c r="Z18" s="3"/>
      <c r="AA18" s="3">
        <v>0</v>
      </c>
      <c r="AB18" s="3"/>
      <c r="AC18" s="3">
        <v>2900000</v>
      </c>
      <c r="AD18" s="3"/>
      <c r="AE18" s="3">
        <v>0</v>
      </c>
      <c r="AF18" s="3"/>
      <c r="AG18" s="3">
        <v>0</v>
      </c>
      <c r="AH18" s="3" t="s">
        <v>289</v>
      </c>
      <c r="AJ18" s="103" t="s">
        <v>146</v>
      </c>
      <c r="AK18" s="3"/>
      <c r="AL18" s="3">
        <v>0</v>
      </c>
      <c r="AM18" s="3"/>
      <c r="AN18" s="3">
        <v>0</v>
      </c>
      <c r="AO18" s="3"/>
      <c r="AP18" s="3">
        <v>0</v>
      </c>
      <c r="AQ18" s="3"/>
      <c r="AR18" s="3">
        <v>0</v>
      </c>
      <c r="AS18" s="3"/>
      <c r="AT18" s="23">
        <f t="shared" si="1"/>
        <v>2980000</v>
      </c>
      <c r="AU18" s="30"/>
      <c r="AV18" s="23">
        <f t="shared" si="2"/>
        <v>13735346</v>
      </c>
    </row>
    <row r="19" spans="1:48" s="103" customFormat="1">
      <c r="A19" s="3" t="s">
        <v>290</v>
      </c>
      <c r="C19" s="103" t="s">
        <v>149</v>
      </c>
      <c r="E19" s="103">
        <v>50856</v>
      </c>
      <c r="G19" s="16">
        <v>1675428</v>
      </c>
      <c r="H19" s="16"/>
      <c r="I19" s="16">
        <v>4909973</v>
      </c>
      <c r="J19" s="16"/>
      <c r="K19" s="16">
        <v>7146</v>
      </c>
      <c r="L19" s="16"/>
      <c r="M19" s="16">
        <f>105877+12000+100009</f>
        <v>217886</v>
      </c>
      <c r="N19" s="16"/>
      <c r="O19" s="16">
        <v>5334</v>
      </c>
      <c r="P19" s="16"/>
      <c r="Q19" s="16">
        <v>16375</v>
      </c>
      <c r="R19" s="16"/>
      <c r="S19" s="16">
        <v>0</v>
      </c>
      <c r="T19" s="16"/>
      <c r="U19" s="16">
        <v>22204</v>
      </c>
      <c r="V19" s="16"/>
      <c r="W19" s="23">
        <f t="shared" si="0"/>
        <v>6854346</v>
      </c>
      <c r="X19" s="16"/>
      <c r="Y19" s="16">
        <v>15929</v>
      </c>
      <c r="Z19" s="16"/>
      <c r="AA19" s="16">
        <v>0</v>
      </c>
      <c r="AB19" s="16"/>
      <c r="AC19" s="16">
        <f>682575+31726</f>
        <v>714301</v>
      </c>
      <c r="AD19" s="16"/>
      <c r="AE19" s="16">
        <v>0</v>
      </c>
      <c r="AF19" s="16"/>
      <c r="AG19" s="16">
        <v>0</v>
      </c>
      <c r="AH19" s="3" t="s">
        <v>290</v>
      </c>
      <c r="AJ19" s="103" t="s">
        <v>149</v>
      </c>
      <c r="AK19" s="16"/>
      <c r="AL19" s="16">
        <v>6755</v>
      </c>
      <c r="AM19" s="16"/>
      <c r="AN19" s="16">
        <v>0</v>
      </c>
      <c r="AO19" s="16"/>
      <c r="AP19" s="16">
        <v>0</v>
      </c>
      <c r="AQ19" s="16"/>
      <c r="AR19" s="16">
        <v>0</v>
      </c>
      <c r="AS19" s="16"/>
      <c r="AT19" s="23">
        <f t="shared" si="1"/>
        <v>736985</v>
      </c>
      <c r="AU19" s="16"/>
      <c r="AV19" s="23">
        <f t="shared" si="2"/>
        <v>7591331</v>
      </c>
    </row>
    <row r="20" spans="1:48" s="103" customFormat="1">
      <c r="A20" s="3" t="s">
        <v>220</v>
      </c>
      <c r="C20" s="103" t="s">
        <v>198</v>
      </c>
      <c r="E20" s="103">
        <v>51656</v>
      </c>
      <c r="G20" s="16">
        <v>4755850</v>
      </c>
      <c r="H20" s="16"/>
      <c r="I20" s="16">
        <f>7508069+871120</f>
        <v>8379189</v>
      </c>
      <c r="J20" s="16"/>
      <c r="K20" s="16">
        <v>30754</v>
      </c>
      <c r="L20" s="16"/>
      <c r="M20" s="16">
        <f>1073267+220375+72555</f>
        <v>1366197</v>
      </c>
      <c r="N20" s="16"/>
      <c r="O20" s="16">
        <v>0</v>
      </c>
      <c r="P20" s="16"/>
      <c r="Q20" s="16">
        <v>0</v>
      </c>
      <c r="R20" s="16"/>
      <c r="S20" s="16">
        <v>1000</v>
      </c>
      <c r="T20" s="16"/>
      <c r="U20" s="16">
        <f>396748+121912</f>
        <v>518660</v>
      </c>
      <c r="V20" s="16"/>
      <c r="W20" s="23">
        <f t="shared" si="0"/>
        <v>15051650</v>
      </c>
      <c r="X20" s="16"/>
      <c r="Y20" s="16">
        <v>45000</v>
      </c>
      <c r="Z20" s="16"/>
      <c r="AA20" s="16">
        <v>0</v>
      </c>
      <c r="AB20" s="16"/>
      <c r="AC20" s="16">
        <v>0</v>
      </c>
      <c r="AD20" s="16"/>
      <c r="AE20" s="16">
        <v>0</v>
      </c>
      <c r="AF20" s="16"/>
      <c r="AG20" s="16">
        <v>0</v>
      </c>
      <c r="AH20" s="3" t="s">
        <v>220</v>
      </c>
      <c r="AJ20" s="103" t="s">
        <v>198</v>
      </c>
      <c r="AK20" s="16"/>
      <c r="AL20" s="16">
        <v>0</v>
      </c>
      <c r="AM20" s="16"/>
      <c r="AN20" s="16">
        <v>0</v>
      </c>
      <c r="AO20" s="16"/>
      <c r="AP20" s="16">
        <v>0</v>
      </c>
      <c r="AQ20" s="16"/>
      <c r="AR20" s="16">
        <v>0</v>
      </c>
      <c r="AS20" s="16"/>
      <c r="AT20" s="23">
        <f t="shared" si="1"/>
        <v>45000</v>
      </c>
      <c r="AU20" s="16"/>
      <c r="AV20" s="23">
        <f t="shared" si="2"/>
        <v>15096650</v>
      </c>
    </row>
    <row r="21" spans="1:48" s="103" customFormat="1">
      <c r="A21" s="3" t="s">
        <v>357</v>
      </c>
      <c r="C21" s="103" t="s">
        <v>147</v>
      </c>
      <c r="E21" s="103">
        <v>50880</v>
      </c>
      <c r="G21" s="16">
        <v>14022133</v>
      </c>
      <c r="H21" s="16"/>
      <c r="I21" s="16">
        <v>26201759</v>
      </c>
      <c r="J21" s="16"/>
      <c r="K21" s="16">
        <v>0</v>
      </c>
      <c r="L21" s="16"/>
      <c r="M21" s="16">
        <v>633780</v>
      </c>
      <c r="N21" s="16"/>
      <c r="O21" s="16">
        <v>0</v>
      </c>
      <c r="P21" s="16"/>
      <c r="Q21" s="16">
        <v>0</v>
      </c>
      <c r="R21" s="16"/>
      <c r="S21" s="16">
        <v>0</v>
      </c>
      <c r="T21" s="16"/>
      <c r="U21" s="16">
        <f>326637-48275</f>
        <v>278362</v>
      </c>
      <c r="V21" s="16"/>
      <c r="W21" s="23">
        <f t="shared" si="0"/>
        <v>41136034</v>
      </c>
      <c r="X21" s="16"/>
      <c r="Y21" s="16">
        <v>2496843</v>
      </c>
      <c r="Z21" s="16"/>
      <c r="AA21" s="16">
        <v>0</v>
      </c>
      <c r="AB21" s="16"/>
      <c r="AC21" s="16">
        <v>0</v>
      </c>
      <c r="AD21" s="16"/>
      <c r="AE21" s="16">
        <v>0</v>
      </c>
      <c r="AF21" s="16"/>
      <c r="AG21" s="16">
        <v>0</v>
      </c>
      <c r="AH21" s="3" t="s">
        <v>357</v>
      </c>
      <c r="AJ21" s="103" t="s">
        <v>147</v>
      </c>
      <c r="AK21" s="16"/>
      <c r="AL21" s="16">
        <v>0</v>
      </c>
      <c r="AM21" s="16"/>
      <c r="AN21" s="16">
        <v>0</v>
      </c>
      <c r="AO21" s="16"/>
      <c r="AP21" s="16">
        <v>0</v>
      </c>
      <c r="AQ21" s="16"/>
      <c r="AR21" s="16">
        <v>0</v>
      </c>
      <c r="AS21" s="16"/>
      <c r="AT21" s="23">
        <f t="shared" si="1"/>
        <v>2496843</v>
      </c>
      <c r="AU21" s="16"/>
      <c r="AV21" s="23">
        <f t="shared" si="2"/>
        <v>43632877</v>
      </c>
    </row>
    <row r="22" spans="1:48" s="103" customFormat="1">
      <c r="A22" s="3" t="s">
        <v>273</v>
      </c>
      <c r="C22" s="103" t="s">
        <v>173</v>
      </c>
      <c r="E22" s="103">
        <v>51201</v>
      </c>
      <c r="G22" s="16">
        <v>8338043</v>
      </c>
      <c r="H22" s="16"/>
      <c r="I22" s="16">
        <v>6815291</v>
      </c>
      <c r="J22" s="16"/>
      <c r="K22" s="16">
        <v>14384</v>
      </c>
      <c r="L22" s="16"/>
      <c r="M22" s="16">
        <f>1809117+10310+242201</f>
        <v>2061628</v>
      </c>
      <c r="N22" s="16"/>
      <c r="O22" s="16">
        <v>48560</v>
      </c>
      <c r="P22" s="16"/>
      <c r="Q22" s="16">
        <v>0</v>
      </c>
      <c r="R22" s="16"/>
      <c r="S22" s="16">
        <v>41090</v>
      </c>
      <c r="T22" s="16"/>
      <c r="U22" s="16">
        <v>94623</v>
      </c>
      <c r="V22" s="16"/>
      <c r="W22" s="23">
        <f t="shared" si="0"/>
        <v>17413619</v>
      </c>
      <c r="X22" s="16"/>
      <c r="Y22" s="16">
        <v>209220</v>
      </c>
      <c r="Z22" s="16"/>
      <c r="AA22" s="16">
        <v>0</v>
      </c>
      <c r="AB22" s="16"/>
      <c r="AC22" s="16">
        <v>0</v>
      </c>
      <c r="AD22" s="16"/>
      <c r="AE22" s="16">
        <v>0</v>
      </c>
      <c r="AF22" s="16"/>
      <c r="AG22" s="16">
        <v>0</v>
      </c>
      <c r="AH22" s="3" t="s">
        <v>273</v>
      </c>
      <c r="AJ22" s="103" t="s">
        <v>173</v>
      </c>
      <c r="AK22" s="16"/>
      <c r="AL22" s="16">
        <v>0</v>
      </c>
      <c r="AM22" s="16"/>
      <c r="AN22" s="16">
        <v>0</v>
      </c>
      <c r="AO22" s="16"/>
      <c r="AP22" s="16">
        <v>0</v>
      </c>
      <c r="AQ22" s="16"/>
      <c r="AR22" s="16">
        <v>0</v>
      </c>
      <c r="AS22" s="16"/>
      <c r="AT22" s="23">
        <f t="shared" si="1"/>
        <v>209220</v>
      </c>
      <c r="AU22" s="16"/>
      <c r="AV22" s="23">
        <f t="shared" si="2"/>
        <v>17622839</v>
      </c>
    </row>
    <row r="23" spans="1:48" s="89" customFormat="1" hidden="1">
      <c r="A23" s="88" t="s">
        <v>271</v>
      </c>
      <c r="C23" s="89" t="s">
        <v>214</v>
      </c>
      <c r="E23" s="89">
        <v>63511</v>
      </c>
      <c r="G23" s="90">
        <v>0</v>
      </c>
      <c r="H23" s="90"/>
      <c r="I23" s="90">
        <v>0</v>
      </c>
      <c r="J23" s="90"/>
      <c r="K23" s="90">
        <v>0</v>
      </c>
      <c r="L23" s="90"/>
      <c r="M23" s="90">
        <v>0</v>
      </c>
      <c r="N23" s="90"/>
      <c r="O23" s="90">
        <v>0</v>
      </c>
      <c r="P23" s="90"/>
      <c r="Q23" s="90">
        <v>0</v>
      </c>
      <c r="R23" s="90"/>
      <c r="S23" s="90">
        <v>0</v>
      </c>
      <c r="T23" s="90"/>
      <c r="U23" s="90">
        <v>0</v>
      </c>
      <c r="V23" s="90"/>
      <c r="W23" s="97">
        <f t="shared" si="0"/>
        <v>0</v>
      </c>
      <c r="X23" s="90"/>
      <c r="Y23" s="90">
        <v>0</v>
      </c>
      <c r="Z23" s="90"/>
      <c r="AA23" s="90">
        <v>0</v>
      </c>
      <c r="AB23" s="90"/>
      <c r="AC23" s="90">
        <v>0</v>
      </c>
      <c r="AD23" s="90"/>
      <c r="AE23" s="90">
        <v>0</v>
      </c>
      <c r="AF23" s="90"/>
      <c r="AG23" s="90"/>
      <c r="AH23" s="88" t="s">
        <v>271</v>
      </c>
      <c r="AJ23" s="89" t="s">
        <v>214</v>
      </c>
      <c r="AK23" s="90"/>
      <c r="AL23" s="90">
        <v>0</v>
      </c>
      <c r="AM23" s="90"/>
      <c r="AN23" s="90"/>
      <c r="AO23" s="90"/>
      <c r="AP23" s="90">
        <v>0</v>
      </c>
      <c r="AQ23" s="90"/>
      <c r="AR23" s="90">
        <v>0</v>
      </c>
      <c r="AS23" s="90"/>
      <c r="AT23" s="97">
        <f t="shared" si="1"/>
        <v>0</v>
      </c>
      <c r="AU23" s="90"/>
      <c r="AV23" s="97">
        <f t="shared" si="2"/>
        <v>0</v>
      </c>
    </row>
    <row r="24" spans="1:48" s="103" customFormat="1">
      <c r="A24" s="3" t="s">
        <v>356</v>
      </c>
      <c r="C24" s="103" t="s">
        <v>156</v>
      </c>
      <c r="E24" s="103">
        <v>50906</v>
      </c>
      <c r="G24" s="16">
        <v>1929039</v>
      </c>
      <c r="H24" s="16"/>
      <c r="I24" s="16">
        <f>97626+4011236+626877</f>
        <v>4735739</v>
      </c>
      <c r="J24" s="16"/>
      <c r="K24" s="16">
        <v>24400</v>
      </c>
      <c r="L24" s="16"/>
      <c r="M24" s="16">
        <f>1215818+66723+189565+3256</f>
        <v>1475362</v>
      </c>
      <c r="N24" s="16"/>
      <c r="O24" s="16">
        <v>924</v>
      </c>
      <c r="P24" s="16"/>
      <c r="Q24" s="16">
        <v>0</v>
      </c>
      <c r="R24" s="16"/>
      <c r="S24" s="16">
        <v>0</v>
      </c>
      <c r="T24" s="16"/>
      <c r="U24" s="16">
        <v>44879</v>
      </c>
      <c r="V24" s="16"/>
      <c r="W24" s="23">
        <f t="shared" si="0"/>
        <v>8210343</v>
      </c>
      <c r="X24" s="16"/>
      <c r="Y24" s="16">
        <v>1004363</v>
      </c>
      <c r="Z24" s="16"/>
      <c r="AA24" s="16">
        <v>0</v>
      </c>
      <c r="AB24" s="16"/>
      <c r="AC24" s="16">
        <v>0</v>
      </c>
      <c r="AD24" s="16"/>
      <c r="AE24" s="16">
        <v>0</v>
      </c>
      <c r="AF24" s="16"/>
      <c r="AG24" s="16">
        <v>0</v>
      </c>
      <c r="AH24" s="3" t="s">
        <v>356</v>
      </c>
      <c r="AJ24" s="103" t="s">
        <v>156</v>
      </c>
      <c r="AK24" s="16"/>
      <c r="AL24" s="16">
        <v>432</v>
      </c>
      <c r="AM24" s="16"/>
      <c r="AN24" s="16">
        <v>0</v>
      </c>
      <c r="AO24" s="16"/>
      <c r="AP24" s="16">
        <v>0</v>
      </c>
      <c r="AQ24" s="16"/>
      <c r="AR24" s="16">
        <v>0</v>
      </c>
      <c r="AS24" s="16"/>
      <c r="AT24" s="23">
        <f t="shared" si="1"/>
        <v>1004795</v>
      </c>
      <c r="AU24" s="16"/>
      <c r="AV24" s="23">
        <f t="shared" si="2"/>
        <v>9215138</v>
      </c>
    </row>
    <row r="25" spans="1:48" s="103" customFormat="1">
      <c r="A25" s="3" t="s">
        <v>243</v>
      </c>
      <c r="C25" s="103" t="s">
        <v>207</v>
      </c>
      <c r="E25" s="103">
        <v>65227</v>
      </c>
      <c r="G25" s="16">
        <v>1322487</v>
      </c>
      <c r="H25" s="16"/>
      <c r="I25" s="16">
        <v>2337157</v>
      </c>
      <c r="J25" s="16"/>
      <c r="K25" s="16">
        <v>1683</v>
      </c>
      <c r="L25" s="16"/>
      <c r="M25" s="16">
        <f>10876+19871+65332</f>
        <v>96079</v>
      </c>
      <c r="N25" s="16"/>
      <c r="O25" s="16">
        <v>0</v>
      </c>
      <c r="P25" s="16"/>
      <c r="Q25" s="16">
        <v>0</v>
      </c>
      <c r="R25" s="16"/>
      <c r="S25" s="16">
        <v>1500</v>
      </c>
      <c r="T25" s="16"/>
      <c r="U25" s="16">
        <v>38905</v>
      </c>
      <c r="V25" s="16"/>
      <c r="W25" s="23">
        <f t="shared" si="0"/>
        <v>3797811</v>
      </c>
      <c r="X25" s="16"/>
      <c r="Y25" s="16">
        <v>0</v>
      </c>
      <c r="Z25" s="16"/>
      <c r="AA25" s="16">
        <v>0</v>
      </c>
      <c r="AB25" s="16"/>
      <c r="AC25" s="16">
        <v>0</v>
      </c>
      <c r="AD25" s="16"/>
      <c r="AE25" s="16">
        <v>0</v>
      </c>
      <c r="AF25" s="16"/>
      <c r="AG25" s="16">
        <v>0</v>
      </c>
      <c r="AH25" s="3" t="s">
        <v>243</v>
      </c>
      <c r="AJ25" s="103" t="s">
        <v>207</v>
      </c>
      <c r="AK25" s="16"/>
      <c r="AL25" s="16">
        <v>0</v>
      </c>
      <c r="AM25" s="16"/>
      <c r="AN25" s="16">
        <v>0</v>
      </c>
      <c r="AO25" s="16"/>
      <c r="AP25" s="16">
        <v>0</v>
      </c>
      <c r="AQ25" s="16"/>
      <c r="AR25" s="16">
        <v>0</v>
      </c>
      <c r="AS25" s="16"/>
      <c r="AT25" s="23">
        <f t="shared" si="1"/>
        <v>0</v>
      </c>
      <c r="AU25" s="16"/>
      <c r="AV25" s="23">
        <f t="shared" si="2"/>
        <v>3797811</v>
      </c>
    </row>
    <row r="26" spans="1:48" s="103" customFormat="1">
      <c r="A26" s="3" t="s">
        <v>241</v>
      </c>
      <c r="C26" s="103" t="s">
        <v>157</v>
      </c>
      <c r="E26" s="103">
        <v>50922</v>
      </c>
      <c r="G26" s="16">
        <v>9906677</v>
      </c>
      <c r="H26" s="16"/>
      <c r="I26" s="16">
        <f>3661478+364835</f>
        <v>4026313</v>
      </c>
      <c r="J26" s="16"/>
      <c r="K26" s="16">
        <f>37991-36172</f>
        <v>1819</v>
      </c>
      <c r="L26" s="16"/>
      <c r="M26" s="16">
        <f>1205449+97500+217899+52322</f>
        <v>1573170</v>
      </c>
      <c r="N26" s="16"/>
      <c r="O26" s="16">
        <v>0</v>
      </c>
      <c r="P26" s="16"/>
      <c r="Q26" s="16">
        <v>13</v>
      </c>
      <c r="R26" s="16"/>
      <c r="S26" s="16">
        <v>9502</v>
      </c>
      <c r="T26" s="16"/>
      <c r="U26" s="16">
        <f>23874+123505</f>
        <v>147379</v>
      </c>
      <c r="V26" s="16"/>
      <c r="W26" s="23">
        <f t="shared" si="0"/>
        <v>15664873</v>
      </c>
      <c r="X26" s="16"/>
      <c r="Y26" s="16">
        <v>225000</v>
      </c>
      <c r="Z26" s="16"/>
      <c r="AA26" s="16">
        <v>0</v>
      </c>
      <c r="AB26" s="16"/>
      <c r="AC26" s="16">
        <v>0</v>
      </c>
      <c r="AD26" s="16"/>
      <c r="AE26" s="16">
        <v>0</v>
      </c>
      <c r="AF26" s="16"/>
      <c r="AG26" s="16">
        <v>0</v>
      </c>
      <c r="AH26" s="3" t="s">
        <v>241</v>
      </c>
      <c r="AJ26" s="103" t="s">
        <v>157</v>
      </c>
      <c r="AK26" s="16"/>
      <c r="AL26" s="16">
        <v>0</v>
      </c>
      <c r="AM26" s="16"/>
      <c r="AN26" s="16">
        <v>0</v>
      </c>
      <c r="AO26" s="16"/>
      <c r="AP26" s="16">
        <v>0</v>
      </c>
      <c r="AQ26" s="16"/>
      <c r="AR26" s="16">
        <v>0</v>
      </c>
      <c r="AS26" s="16"/>
      <c r="AT26" s="23">
        <f t="shared" si="1"/>
        <v>225000</v>
      </c>
      <c r="AU26" s="16"/>
      <c r="AV26" s="23">
        <f t="shared" si="2"/>
        <v>15889873</v>
      </c>
    </row>
    <row r="27" spans="1:48" s="103" customFormat="1">
      <c r="A27" s="3" t="s">
        <v>240</v>
      </c>
      <c r="C27" s="103" t="s">
        <v>159</v>
      </c>
      <c r="E27" s="103">
        <v>50989</v>
      </c>
      <c r="G27" s="16">
        <v>11319189</v>
      </c>
      <c r="H27" s="16"/>
      <c r="I27" s="16">
        <f>4006965+623833</f>
        <v>4630798</v>
      </c>
      <c r="J27" s="16"/>
      <c r="K27" s="16">
        <v>0</v>
      </c>
      <c r="L27" s="16"/>
      <c r="M27" s="16">
        <f>1676643+70571+115221+12716</f>
        <v>1875151</v>
      </c>
      <c r="N27" s="16"/>
      <c r="O27" s="16">
        <v>1657</v>
      </c>
      <c r="P27" s="16"/>
      <c r="Q27" s="16">
        <v>9029</v>
      </c>
      <c r="R27" s="16"/>
      <c r="S27" s="16">
        <v>30208</v>
      </c>
      <c r="T27" s="16"/>
      <c r="U27" s="16">
        <f>305756+98797</f>
        <v>404553</v>
      </c>
      <c r="V27" s="16"/>
      <c r="W27" s="23">
        <f t="shared" si="0"/>
        <v>18270585</v>
      </c>
      <c r="X27" s="16"/>
      <c r="Y27" s="16">
        <v>736697</v>
      </c>
      <c r="Z27" s="16"/>
      <c r="AA27" s="16">
        <v>0</v>
      </c>
      <c r="AB27" s="16"/>
      <c r="AC27" s="16">
        <v>0</v>
      </c>
      <c r="AD27" s="16"/>
      <c r="AE27" s="16">
        <v>0</v>
      </c>
      <c r="AF27" s="16"/>
      <c r="AG27" s="16">
        <v>0</v>
      </c>
      <c r="AH27" s="3" t="s">
        <v>240</v>
      </c>
      <c r="AJ27" s="103" t="s">
        <v>159</v>
      </c>
      <c r="AK27" s="16"/>
      <c r="AL27" s="16">
        <v>0</v>
      </c>
      <c r="AM27" s="16"/>
      <c r="AN27" s="16">
        <v>0</v>
      </c>
      <c r="AO27" s="16"/>
      <c r="AP27" s="16">
        <v>0</v>
      </c>
      <c r="AQ27" s="16"/>
      <c r="AR27" s="16">
        <v>0</v>
      </c>
      <c r="AS27" s="16"/>
      <c r="AT27" s="23">
        <f t="shared" si="1"/>
        <v>736697</v>
      </c>
      <c r="AU27" s="16"/>
      <c r="AV27" s="23">
        <f t="shared" si="2"/>
        <v>19007282</v>
      </c>
    </row>
    <row r="28" spans="1:48" s="103" customFormat="1">
      <c r="A28" s="3" t="s">
        <v>358</v>
      </c>
      <c r="C28" s="103" t="s">
        <v>162</v>
      </c>
      <c r="E28" s="103">
        <v>51003</v>
      </c>
      <c r="G28" s="16">
        <v>12380112</v>
      </c>
      <c r="H28" s="16"/>
      <c r="I28" s="16">
        <v>7572152</v>
      </c>
      <c r="J28" s="16"/>
      <c r="K28" s="16">
        <v>63348</v>
      </c>
      <c r="L28" s="16"/>
      <c r="M28" s="16">
        <f>352274+453672+11393</f>
        <v>817339</v>
      </c>
      <c r="N28" s="16"/>
      <c r="O28" s="16">
        <v>0</v>
      </c>
      <c r="P28" s="16"/>
      <c r="Q28" s="16">
        <v>0</v>
      </c>
      <c r="R28" s="16"/>
      <c r="S28" s="16">
        <v>19162</v>
      </c>
      <c r="T28" s="16"/>
      <c r="U28" s="16">
        <v>104341</v>
      </c>
      <c r="V28" s="16"/>
      <c r="W28" s="23">
        <f t="shared" si="0"/>
        <v>20956454</v>
      </c>
      <c r="X28" s="16"/>
      <c r="Y28" s="16">
        <v>750960</v>
      </c>
      <c r="Z28" s="16"/>
      <c r="AA28" s="16">
        <v>0</v>
      </c>
      <c r="AB28" s="16"/>
      <c r="AC28" s="16">
        <v>0</v>
      </c>
      <c r="AD28" s="16"/>
      <c r="AE28" s="16">
        <v>0</v>
      </c>
      <c r="AF28" s="16"/>
      <c r="AG28" s="16">
        <v>0</v>
      </c>
      <c r="AH28" s="3" t="s">
        <v>358</v>
      </c>
      <c r="AJ28" s="103" t="s">
        <v>162</v>
      </c>
      <c r="AK28" s="16"/>
      <c r="AL28" s="16">
        <v>0</v>
      </c>
      <c r="AM28" s="16"/>
      <c r="AN28" s="16">
        <v>0</v>
      </c>
      <c r="AO28" s="16"/>
      <c r="AP28" s="16">
        <v>0</v>
      </c>
      <c r="AQ28" s="16"/>
      <c r="AR28" s="16">
        <v>0</v>
      </c>
      <c r="AS28" s="16"/>
      <c r="AT28" s="23">
        <f t="shared" si="1"/>
        <v>750960</v>
      </c>
      <c r="AU28" s="16"/>
      <c r="AV28" s="23">
        <f t="shared" si="2"/>
        <v>21707414</v>
      </c>
    </row>
    <row r="29" spans="1:48" s="103" customFormat="1">
      <c r="A29" s="3" t="s">
        <v>242</v>
      </c>
      <c r="C29" s="103" t="s">
        <v>160</v>
      </c>
      <c r="E29" s="103">
        <v>51029</v>
      </c>
      <c r="G29" s="16">
        <v>7391615</v>
      </c>
      <c r="H29" s="16"/>
      <c r="I29" s="16">
        <f>38676+7069450+1363160</f>
        <v>8471286</v>
      </c>
      <c r="J29" s="16"/>
      <c r="K29" s="16">
        <v>25833</v>
      </c>
      <c r="L29" s="16"/>
      <c r="M29" s="16">
        <f>2072146+218407+85091+5297</f>
        <v>2380941</v>
      </c>
      <c r="N29" s="16"/>
      <c r="O29" s="16">
        <v>14497</v>
      </c>
      <c r="P29" s="16"/>
      <c r="Q29" s="16">
        <v>0</v>
      </c>
      <c r="R29" s="16"/>
      <c r="S29" s="16">
        <v>11923</v>
      </c>
      <c r="T29" s="16"/>
      <c r="U29" s="16">
        <f>199162+129018</f>
        <v>328180</v>
      </c>
      <c r="V29" s="16"/>
      <c r="W29" s="23">
        <f t="shared" si="0"/>
        <v>18624275</v>
      </c>
      <c r="X29" s="16"/>
      <c r="Y29" s="16">
        <v>856400</v>
      </c>
      <c r="Z29" s="16"/>
      <c r="AA29" s="16">
        <f>7500000+41128</f>
        <v>7541128</v>
      </c>
      <c r="AB29" s="16"/>
      <c r="AC29" s="16">
        <v>0</v>
      </c>
      <c r="AD29" s="16"/>
      <c r="AE29" s="16">
        <v>0</v>
      </c>
      <c r="AF29" s="16"/>
      <c r="AG29" s="16">
        <v>0</v>
      </c>
      <c r="AH29" s="3" t="s">
        <v>242</v>
      </c>
      <c r="AJ29" s="103" t="s">
        <v>160</v>
      </c>
      <c r="AK29" s="16"/>
      <c r="AL29" s="16">
        <v>0</v>
      </c>
      <c r="AM29" s="16"/>
      <c r="AN29" s="16">
        <v>0</v>
      </c>
      <c r="AO29" s="16"/>
      <c r="AP29" s="16">
        <v>0</v>
      </c>
      <c r="AQ29" s="16"/>
      <c r="AR29" s="16">
        <v>0</v>
      </c>
      <c r="AS29" s="16"/>
      <c r="AT29" s="23">
        <f t="shared" si="1"/>
        <v>8397528</v>
      </c>
      <c r="AU29" s="16"/>
      <c r="AV29" s="23">
        <f t="shared" si="2"/>
        <v>27021803</v>
      </c>
    </row>
    <row r="30" spans="1:48" s="103" customFormat="1">
      <c r="A30" s="3" t="s">
        <v>244</v>
      </c>
      <c r="C30" s="103" t="s">
        <v>209</v>
      </c>
      <c r="E30" s="103">
        <v>50963</v>
      </c>
      <c r="G30" s="16">
        <v>5760061</v>
      </c>
      <c r="H30" s="16"/>
      <c r="I30" s="16">
        <v>9508407</v>
      </c>
      <c r="J30" s="16"/>
      <c r="K30" s="16">
        <f>34107-117</f>
        <v>33990</v>
      </c>
      <c r="L30" s="16"/>
      <c r="M30" s="16">
        <f>1280710+9216</f>
        <v>1289926</v>
      </c>
      <c r="N30" s="16"/>
      <c r="O30" s="16">
        <v>0</v>
      </c>
      <c r="P30" s="16"/>
      <c r="Q30" s="16">
        <v>0</v>
      </c>
      <c r="R30" s="16"/>
      <c r="S30" s="16">
        <v>23229</v>
      </c>
      <c r="T30" s="16"/>
      <c r="U30" s="16">
        <f>340461+42834</f>
        <v>383295</v>
      </c>
      <c r="V30" s="16"/>
      <c r="W30" s="23">
        <f t="shared" si="0"/>
        <v>16998908</v>
      </c>
      <c r="X30" s="16"/>
      <c r="Y30" s="16">
        <v>100000</v>
      </c>
      <c r="Z30" s="16"/>
      <c r="AA30" s="16">
        <v>1880</v>
      </c>
      <c r="AB30" s="16"/>
      <c r="AC30" s="16">
        <f>2835000+90456</f>
        <v>2925456</v>
      </c>
      <c r="AD30" s="16"/>
      <c r="AE30" s="16">
        <v>0</v>
      </c>
      <c r="AF30" s="16"/>
      <c r="AG30" s="16">
        <v>0</v>
      </c>
      <c r="AH30" s="3" t="s">
        <v>244</v>
      </c>
      <c r="AJ30" s="103" t="s">
        <v>209</v>
      </c>
      <c r="AK30" s="16"/>
      <c r="AL30" s="16">
        <v>0</v>
      </c>
      <c r="AM30" s="16"/>
      <c r="AN30" s="16">
        <v>0</v>
      </c>
      <c r="AO30" s="16"/>
      <c r="AP30" s="16">
        <v>0</v>
      </c>
      <c r="AQ30" s="16"/>
      <c r="AR30" s="16">
        <v>0</v>
      </c>
      <c r="AS30" s="16"/>
      <c r="AT30" s="23">
        <f t="shared" si="1"/>
        <v>3027336</v>
      </c>
      <c r="AU30" s="16"/>
      <c r="AV30" s="23">
        <f t="shared" si="2"/>
        <v>20026244</v>
      </c>
    </row>
    <row r="31" spans="1:48" s="103" customFormat="1">
      <c r="A31" s="3" t="s">
        <v>208</v>
      </c>
      <c r="C31" s="103" t="s">
        <v>165</v>
      </c>
      <c r="E31" s="103">
        <v>62067</v>
      </c>
      <c r="G31" s="16">
        <v>2531399</v>
      </c>
      <c r="H31" s="16"/>
      <c r="I31" s="16">
        <v>7068853</v>
      </c>
      <c r="J31" s="16"/>
      <c r="K31" s="16">
        <v>177637</v>
      </c>
      <c r="L31" s="16"/>
      <c r="M31" s="16">
        <v>228162</v>
      </c>
      <c r="N31" s="16"/>
      <c r="O31" s="16">
        <v>743</v>
      </c>
      <c r="P31" s="16"/>
      <c r="Q31" s="16">
        <v>0</v>
      </c>
      <c r="R31" s="16"/>
      <c r="S31" s="16">
        <v>58000</v>
      </c>
      <c r="T31" s="16"/>
      <c r="U31" s="16">
        <v>40720</v>
      </c>
      <c r="V31" s="16"/>
      <c r="W31" s="23">
        <f t="shared" si="0"/>
        <v>10105514</v>
      </c>
      <c r="X31" s="16"/>
      <c r="Y31" s="16">
        <v>183691</v>
      </c>
      <c r="Z31" s="16"/>
      <c r="AA31" s="16">
        <v>0</v>
      </c>
      <c r="AB31" s="16"/>
      <c r="AC31" s="16">
        <v>0</v>
      </c>
      <c r="AD31" s="16"/>
      <c r="AE31" s="16">
        <v>0</v>
      </c>
      <c r="AF31" s="16"/>
      <c r="AG31" s="16">
        <v>0</v>
      </c>
      <c r="AH31" s="3" t="s">
        <v>208</v>
      </c>
      <c r="AJ31" s="103" t="s">
        <v>165</v>
      </c>
      <c r="AK31" s="16"/>
      <c r="AL31" s="16">
        <v>6225</v>
      </c>
      <c r="AM31" s="16"/>
      <c r="AN31" s="16">
        <v>0</v>
      </c>
      <c r="AO31" s="16"/>
      <c r="AP31" s="16">
        <v>39167</v>
      </c>
      <c r="AQ31" s="16"/>
      <c r="AR31" s="16">
        <v>0</v>
      </c>
      <c r="AS31" s="16"/>
      <c r="AT31" s="23">
        <f t="shared" si="1"/>
        <v>229083</v>
      </c>
      <c r="AU31" s="16"/>
      <c r="AV31" s="23">
        <f t="shared" si="2"/>
        <v>10334597</v>
      </c>
    </row>
    <row r="32" spans="1:48" s="103" customFormat="1">
      <c r="A32" s="3" t="s">
        <v>359</v>
      </c>
      <c r="C32" s="103" t="s">
        <v>168</v>
      </c>
      <c r="E32" s="103">
        <v>51060</v>
      </c>
      <c r="G32" s="16">
        <v>35577852</v>
      </c>
      <c r="H32" s="16"/>
      <c r="I32" s="16">
        <v>25159421</v>
      </c>
      <c r="J32" s="16"/>
      <c r="K32" s="16">
        <v>0</v>
      </c>
      <c r="L32" s="16"/>
      <c r="M32" s="16">
        <f>3645249+1007943</f>
        <v>4653192</v>
      </c>
      <c r="N32" s="16"/>
      <c r="O32" s="16">
        <v>70689</v>
      </c>
      <c r="P32" s="16"/>
      <c r="Q32" s="16">
        <v>950775</v>
      </c>
      <c r="R32" s="16"/>
      <c r="S32" s="16">
        <v>0</v>
      </c>
      <c r="T32" s="16"/>
      <c r="U32" s="16">
        <v>780467</v>
      </c>
      <c r="V32" s="16"/>
      <c r="W32" s="23">
        <f t="shared" si="0"/>
        <v>67192396</v>
      </c>
      <c r="X32" s="16"/>
      <c r="Y32" s="16">
        <v>7204764</v>
      </c>
      <c r="Z32" s="16"/>
      <c r="AA32" s="16">
        <v>0</v>
      </c>
      <c r="AB32" s="16"/>
      <c r="AC32" s="16">
        <v>0</v>
      </c>
      <c r="AD32" s="16"/>
      <c r="AE32" s="16">
        <v>0</v>
      </c>
      <c r="AF32" s="16"/>
      <c r="AG32" s="16">
        <v>0</v>
      </c>
      <c r="AH32" s="3" t="s">
        <v>359</v>
      </c>
      <c r="AJ32" s="103" t="s">
        <v>168</v>
      </c>
      <c r="AK32" s="16"/>
      <c r="AL32" s="16">
        <v>14416</v>
      </c>
      <c r="AM32" s="16"/>
      <c r="AN32" s="16">
        <v>0</v>
      </c>
      <c r="AO32" s="16"/>
      <c r="AP32" s="16">
        <v>0</v>
      </c>
      <c r="AQ32" s="16"/>
      <c r="AR32" s="16">
        <v>0</v>
      </c>
      <c r="AS32" s="16"/>
      <c r="AT32" s="23">
        <f t="shared" si="1"/>
        <v>7219180</v>
      </c>
      <c r="AU32" s="16"/>
      <c r="AV32" s="23">
        <f t="shared" si="2"/>
        <v>74411576</v>
      </c>
    </row>
    <row r="33" spans="1:48" s="103" customFormat="1">
      <c r="A33" s="3" t="s">
        <v>315</v>
      </c>
      <c r="C33" s="103" t="s">
        <v>167</v>
      </c>
      <c r="E33" s="103">
        <v>51045</v>
      </c>
      <c r="G33" s="16">
        <v>9171245</v>
      </c>
      <c r="H33" s="16"/>
      <c r="I33" s="16">
        <v>6266196</v>
      </c>
      <c r="J33" s="16"/>
      <c r="K33" s="16">
        <v>11344</v>
      </c>
      <c r="L33" s="16"/>
      <c r="M33" s="16">
        <f>852119+148620</f>
        <v>1000739</v>
      </c>
      <c r="N33" s="16"/>
      <c r="O33" s="16">
        <v>33470</v>
      </c>
      <c r="P33" s="16"/>
      <c r="Q33" s="16">
        <v>0</v>
      </c>
      <c r="R33" s="16"/>
      <c r="S33" s="16">
        <v>0</v>
      </c>
      <c r="T33" s="16"/>
      <c r="U33" s="16">
        <v>257081</v>
      </c>
      <c r="V33" s="16"/>
      <c r="W33" s="23">
        <f t="shared" si="0"/>
        <v>16740075</v>
      </c>
      <c r="X33" s="16"/>
      <c r="Y33" s="16">
        <v>255506</v>
      </c>
      <c r="Z33" s="16"/>
      <c r="AA33" s="16">
        <v>0</v>
      </c>
      <c r="AB33" s="16"/>
      <c r="AC33" s="16">
        <v>0</v>
      </c>
      <c r="AD33" s="16"/>
      <c r="AE33" s="16">
        <v>0</v>
      </c>
      <c r="AF33" s="16"/>
      <c r="AG33" s="16">
        <v>0</v>
      </c>
      <c r="AH33" s="3" t="s">
        <v>315</v>
      </c>
      <c r="AJ33" s="103" t="s">
        <v>167</v>
      </c>
      <c r="AK33" s="16"/>
      <c r="AL33" s="16">
        <v>0</v>
      </c>
      <c r="AM33" s="16"/>
      <c r="AN33" s="16">
        <v>0</v>
      </c>
      <c r="AO33" s="16"/>
      <c r="AP33" s="16">
        <v>0</v>
      </c>
      <c r="AQ33" s="16"/>
      <c r="AR33" s="16">
        <v>0</v>
      </c>
      <c r="AS33" s="16"/>
      <c r="AT33" s="23">
        <f t="shared" si="1"/>
        <v>255506</v>
      </c>
      <c r="AU33" s="16"/>
      <c r="AV33" s="23">
        <f t="shared" si="2"/>
        <v>16995581</v>
      </c>
    </row>
    <row r="34" spans="1:48" s="103" customFormat="1">
      <c r="A34" s="3" t="s">
        <v>210</v>
      </c>
      <c r="C34" s="103" t="s">
        <v>170</v>
      </c>
      <c r="E34" s="103">
        <v>51128</v>
      </c>
      <c r="G34" s="16">
        <v>1644418</v>
      </c>
      <c r="H34" s="16"/>
      <c r="I34" s="16">
        <v>3094501</v>
      </c>
      <c r="J34" s="16"/>
      <c r="K34" s="16">
        <v>21</v>
      </c>
      <c r="L34" s="16"/>
      <c r="M34" s="16">
        <f>158989+82966</f>
        <v>241955</v>
      </c>
      <c r="N34" s="16"/>
      <c r="O34" s="16">
        <v>14673</v>
      </c>
      <c r="P34" s="16"/>
      <c r="Q34" s="16">
        <v>0</v>
      </c>
      <c r="R34" s="16"/>
      <c r="S34" s="16">
        <v>3550</v>
      </c>
      <c r="T34" s="16"/>
      <c r="U34" s="16">
        <v>7654</v>
      </c>
      <c r="V34" s="16"/>
      <c r="W34" s="23">
        <f t="shared" si="0"/>
        <v>5006772</v>
      </c>
      <c r="X34" s="16"/>
      <c r="Y34" s="16">
        <v>87957</v>
      </c>
      <c r="Z34" s="16"/>
      <c r="AA34" s="16">
        <v>0</v>
      </c>
      <c r="AB34" s="16"/>
      <c r="AC34" s="16">
        <v>0</v>
      </c>
      <c r="AD34" s="16"/>
      <c r="AE34" s="16">
        <v>0</v>
      </c>
      <c r="AF34" s="16"/>
      <c r="AG34" s="16">
        <v>0</v>
      </c>
      <c r="AH34" s="3" t="s">
        <v>210</v>
      </c>
      <c r="AJ34" s="103" t="s">
        <v>170</v>
      </c>
      <c r="AK34" s="16"/>
      <c r="AL34" s="16">
        <v>0</v>
      </c>
      <c r="AM34" s="16"/>
      <c r="AN34" s="16">
        <v>0</v>
      </c>
      <c r="AO34" s="16"/>
      <c r="AP34" s="16">
        <v>0</v>
      </c>
      <c r="AQ34" s="16"/>
      <c r="AR34" s="16">
        <v>0</v>
      </c>
      <c r="AS34" s="16"/>
      <c r="AT34" s="23">
        <f t="shared" si="1"/>
        <v>87957</v>
      </c>
      <c r="AU34" s="16"/>
      <c r="AV34" s="23">
        <f t="shared" si="2"/>
        <v>5094729</v>
      </c>
    </row>
    <row r="35" spans="1:48" s="103" customFormat="1">
      <c r="A35" s="3" t="s">
        <v>245</v>
      </c>
      <c r="C35" s="103" t="s">
        <v>171</v>
      </c>
      <c r="E35" s="103">
        <v>51144</v>
      </c>
      <c r="G35" s="16">
        <v>3308113</v>
      </c>
      <c r="H35" s="16"/>
      <c r="I35" s="16">
        <v>6450879</v>
      </c>
      <c r="J35" s="16"/>
      <c r="K35" s="16">
        <v>21396</v>
      </c>
      <c r="L35" s="16"/>
      <c r="M35" s="16">
        <v>1993458</v>
      </c>
      <c r="N35" s="16"/>
      <c r="O35" s="16">
        <v>0</v>
      </c>
      <c r="P35" s="16"/>
      <c r="Q35" s="16">
        <v>54907</v>
      </c>
      <c r="R35" s="16"/>
      <c r="S35" s="16">
        <v>21383</v>
      </c>
      <c r="T35" s="16"/>
      <c r="U35" s="16">
        <v>33932</v>
      </c>
      <c r="V35" s="16"/>
      <c r="W35" s="23">
        <v>11884068</v>
      </c>
      <c r="X35" s="16"/>
      <c r="Y35" s="16">
        <v>0</v>
      </c>
      <c r="Z35" s="16"/>
      <c r="AA35" s="16">
        <v>0</v>
      </c>
      <c r="AB35" s="16"/>
      <c r="AC35" s="16">
        <v>0</v>
      </c>
      <c r="AD35" s="16"/>
      <c r="AE35" s="16">
        <v>0</v>
      </c>
      <c r="AF35" s="16"/>
      <c r="AG35" s="16">
        <v>0</v>
      </c>
      <c r="AH35" s="3" t="s">
        <v>245</v>
      </c>
      <c r="AJ35" s="103" t="s">
        <v>171</v>
      </c>
      <c r="AK35" s="16"/>
      <c r="AL35" s="16">
        <v>0</v>
      </c>
      <c r="AM35" s="16"/>
      <c r="AN35" s="16">
        <v>0</v>
      </c>
      <c r="AO35" s="16"/>
      <c r="AP35" s="16">
        <v>0</v>
      </c>
      <c r="AQ35" s="16"/>
      <c r="AR35" s="16">
        <v>0</v>
      </c>
      <c r="AS35" s="16"/>
      <c r="AT35" s="23">
        <v>0</v>
      </c>
      <c r="AU35" s="16"/>
      <c r="AV35" s="23">
        <v>11884068</v>
      </c>
    </row>
    <row r="36" spans="1:48" s="103" customFormat="1">
      <c r="A36" s="3" t="s">
        <v>211</v>
      </c>
      <c r="C36" s="103" t="s">
        <v>172</v>
      </c>
      <c r="E36" s="103">
        <v>51185</v>
      </c>
      <c r="G36" s="16">
        <v>1903347</v>
      </c>
      <c r="H36" s="16"/>
      <c r="I36" s="16">
        <v>22901287</v>
      </c>
      <c r="J36" s="16"/>
      <c r="K36" s="16">
        <v>31620</v>
      </c>
      <c r="L36" s="16"/>
      <c r="M36" s="16">
        <f>2071556+285679</f>
        <v>2357235</v>
      </c>
      <c r="N36" s="16"/>
      <c r="O36" s="16">
        <v>0</v>
      </c>
      <c r="P36" s="16"/>
      <c r="Q36" s="16">
        <v>0</v>
      </c>
      <c r="R36" s="16"/>
      <c r="S36" s="16">
        <v>0</v>
      </c>
      <c r="T36" s="16"/>
      <c r="U36" s="16">
        <v>267652</v>
      </c>
      <c r="V36" s="16"/>
      <c r="W36" s="23">
        <f t="shared" si="0"/>
        <v>27461141</v>
      </c>
      <c r="X36" s="16"/>
      <c r="Y36" s="16">
        <v>1375612</v>
      </c>
      <c r="Z36" s="16"/>
      <c r="AA36" s="16">
        <v>0</v>
      </c>
      <c r="AB36" s="16"/>
      <c r="AC36" s="16">
        <v>0</v>
      </c>
      <c r="AD36" s="16"/>
      <c r="AE36" s="16">
        <v>0</v>
      </c>
      <c r="AF36" s="16"/>
      <c r="AG36" s="16">
        <v>0</v>
      </c>
      <c r="AH36" s="3" t="s">
        <v>211</v>
      </c>
      <c r="AJ36" s="103" t="s">
        <v>172</v>
      </c>
      <c r="AK36" s="16"/>
      <c r="AL36" s="16">
        <v>0</v>
      </c>
      <c r="AM36" s="16"/>
      <c r="AN36" s="16">
        <v>0</v>
      </c>
      <c r="AO36" s="16"/>
      <c r="AP36" s="16">
        <v>0</v>
      </c>
      <c r="AQ36" s="16"/>
      <c r="AR36" s="16">
        <v>0</v>
      </c>
      <c r="AS36" s="16"/>
      <c r="AT36" s="23">
        <f t="shared" ref="AT36:AT65" si="3">SUM(Y36:AR36)</f>
        <v>1375612</v>
      </c>
      <c r="AU36" s="16"/>
      <c r="AV36" s="23">
        <f t="shared" ref="AV36:AV65" si="4">+AT36+W36</f>
        <v>28836753</v>
      </c>
    </row>
    <row r="37" spans="1:48" s="89" customFormat="1" hidden="1">
      <c r="A37" s="88" t="s">
        <v>284</v>
      </c>
      <c r="C37" s="89" t="s">
        <v>173</v>
      </c>
      <c r="E37" s="89">
        <v>47977</v>
      </c>
      <c r="G37" s="90">
        <v>0</v>
      </c>
      <c r="H37" s="90"/>
      <c r="I37" s="90">
        <v>0</v>
      </c>
      <c r="J37" s="90"/>
      <c r="K37" s="90">
        <v>0</v>
      </c>
      <c r="L37" s="90"/>
      <c r="M37" s="90">
        <v>0</v>
      </c>
      <c r="N37" s="90"/>
      <c r="O37" s="90">
        <v>0</v>
      </c>
      <c r="P37" s="90"/>
      <c r="Q37" s="90">
        <v>0</v>
      </c>
      <c r="R37" s="90"/>
      <c r="S37" s="90">
        <v>0</v>
      </c>
      <c r="T37" s="90"/>
      <c r="U37" s="90">
        <v>0</v>
      </c>
      <c r="V37" s="90"/>
      <c r="W37" s="97">
        <f t="shared" si="0"/>
        <v>0</v>
      </c>
      <c r="X37" s="90"/>
      <c r="Y37" s="90">
        <v>0</v>
      </c>
      <c r="Z37" s="90"/>
      <c r="AA37" s="90">
        <v>0</v>
      </c>
      <c r="AB37" s="90"/>
      <c r="AC37" s="90">
        <v>0</v>
      </c>
      <c r="AD37" s="90"/>
      <c r="AE37" s="90">
        <v>0</v>
      </c>
      <c r="AF37" s="90"/>
      <c r="AG37" s="90"/>
      <c r="AH37" s="88" t="s">
        <v>284</v>
      </c>
      <c r="AJ37" s="89" t="s">
        <v>173</v>
      </c>
      <c r="AK37" s="90"/>
      <c r="AL37" s="90">
        <v>0</v>
      </c>
      <c r="AM37" s="90"/>
      <c r="AN37" s="90">
        <v>0</v>
      </c>
      <c r="AO37" s="90"/>
      <c r="AP37" s="90">
        <v>0</v>
      </c>
      <c r="AQ37" s="90"/>
      <c r="AR37" s="90">
        <v>0</v>
      </c>
      <c r="AS37" s="90"/>
      <c r="AT37" s="97">
        <f t="shared" si="3"/>
        <v>0</v>
      </c>
      <c r="AU37" s="90"/>
      <c r="AV37" s="97">
        <f t="shared" si="4"/>
        <v>0</v>
      </c>
    </row>
    <row r="38" spans="1:48" s="103" customFormat="1">
      <c r="A38" s="3" t="s">
        <v>213</v>
      </c>
      <c r="C38" s="103" t="s">
        <v>142</v>
      </c>
      <c r="E38" s="103">
        <v>51227</v>
      </c>
      <c r="G38" s="16">
        <v>10641824</v>
      </c>
      <c r="H38" s="16"/>
      <c r="I38" s="16">
        <v>10877498</v>
      </c>
      <c r="J38" s="16"/>
      <c r="K38" s="16">
        <v>35832</v>
      </c>
      <c r="L38" s="16"/>
      <c r="M38" s="16">
        <f>1415691+56053</f>
        <v>1471744</v>
      </c>
      <c r="N38" s="16"/>
      <c r="O38" s="16">
        <v>0</v>
      </c>
      <c r="P38" s="16"/>
      <c r="Q38" s="16">
        <v>0</v>
      </c>
      <c r="R38" s="16"/>
      <c r="S38" s="16">
        <v>0</v>
      </c>
      <c r="T38" s="16"/>
      <c r="U38" s="16">
        <v>622792</v>
      </c>
      <c r="V38" s="16"/>
      <c r="W38" s="23">
        <f t="shared" si="0"/>
        <v>23649690</v>
      </c>
      <c r="X38" s="16"/>
      <c r="Y38" s="16">
        <v>531480</v>
      </c>
      <c r="Z38" s="16"/>
      <c r="AA38" s="16">
        <v>3737105</v>
      </c>
      <c r="AB38" s="16"/>
      <c r="AC38" s="16">
        <v>0</v>
      </c>
      <c r="AD38" s="16"/>
      <c r="AE38" s="16">
        <v>0</v>
      </c>
      <c r="AF38" s="16"/>
      <c r="AG38" s="16">
        <v>0</v>
      </c>
      <c r="AH38" s="3" t="s">
        <v>213</v>
      </c>
      <c r="AJ38" s="103" t="s">
        <v>142</v>
      </c>
      <c r="AK38" s="16"/>
      <c r="AL38" s="16">
        <v>0</v>
      </c>
      <c r="AM38" s="16"/>
      <c r="AN38" s="16"/>
      <c r="AO38" s="16"/>
      <c r="AP38" s="16">
        <v>0</v>
      </c>
      <c r="AQ38" s="16"/>
      <c r="AR38" s="16">
        <v>0</v>
      </c>
      <c r="AS38" s="16"/>
      <c r="AT38" s="23">
        <f t="shared" si="3"/>
        <v>4268585</v>
      </c>
      <c r="AU38" s="16"/>
      <c r="AV38" s="23">
        <f t="shared" si="4"/>
        <v>27918275</v>
      </c>
    </row>
    <row r="39" spans="1:48" s="103" customFormat="1">
      <c r="A39" s="3" t="s">
        <v>360</v>
      </c>
      <c r="C39" s="103" t="s">
        <v>176</v>
      </c>
      <c r="E39" s="103">
        <v>51243</v>
      </c>
      <c r="G39" s="16">
        <v>6213255</v>
      </c>
      <c r="H39" s="16"/>
      <c r="I39" s="16">
        <v>4930836</v>
      </c>
      <c r="J39" s="16"/>
      <c r="K39" s="16">
        <v>0</v>
      </c>
      <c r="L39" s="16"/>
      <c r="M39" s="16">
        <f>1428047+202355+43497</f>
        <v>1673899</v>
      </c>
      <c r="N39" s="16"/>
      <c r="O39" s="16">
        <v>0</v>
      </c>
      <c r="P39" s="16"/>
      <c r="Q39" s="16">
        <v>0</v>
      </c>
      <c r="R39" s="16"/>
      <c r="S39" s="16">
        <v>4455</v>
      </c>
      <c r="T39" s="16"/>
      <c r="U39" s="16">
        <v>190687</v>
      </c>
      <c r="V39" s="16"/>
      <c r="W39" s="23">
        <f t="shared" si="0"/>
        <v>13013132</v>
      </c>
      <c r="X39" s="16"/>
      <c r="Y39" s="16">
        <v>69541</v>
      </c>
      <c r="Z39" s="16"/>
      <c r="AA39" s="16">
        <v>0</v>
      </c>
      <c r="AB39" s="16"/>
      <c r="AC39" s="16">
        <v>0</v>
      </c>
      <c r="AD39" s="16"/>
      <c r="AE39" s="16">
        <v>0</v>
      </c>
      <c r="AF39" s="16"/>
      <c r="AG39" s="16">
        <v>0</v>
      </c>
      <c r="AH39" s="3" t="s">
        <v>360</v>
      </c>
      <c r="AJ39" s="103" t="s">
        <v>176</v>
      </c>
      <c r="AK39" s="16"/>
      <c r="AL39" s="16">
        <v>0</v>
      </c>
      <c r="AM39" s="16"/>
      <c r="AN39" s="16"/>
      <c r="AO39" s="16"/>
      <c r="AP39" s="16">
        <v>0</v>
      </c>
      <c r="AQ39" s="16"/>
      <c r="AR39" s="16">
        <v>0</v>
      </c>
      <c r="AS39" s="16"/>
      <c r="AT39" s="23">
        <f t="shared" si="3"/>
        <v>69541</v>
      </c>
      <c r="AU39" s="16"/>
      <c r="AV39" s="23">
        <f t="shared" si="4"/>
        <v>13082673</v>
      </c>
    </row>
    <row r="40" spans="1:48" s="103" customFormat="1">
      <c r="A40" s="3" t="s">
        <v>246</v>
      </c>
      <c r="C40" s="103" t="s">
        <v>186</v>
      </c>
      <c r="E40" s="103">
        <v>51391</v>
      </c>
      <c r="G40" s="16">
        <v>6294007</v>
      </c>
      <c r="H40" s="16"/>
      <c r="I40" s="16">
        <v>6133803</v>
      </c>
      <c r="J40" s="16"/>
      <c r="K40" s="16">
        <v>29521</v>
      </c>
      <c r="L40" s="16"/>
      <c r="M40" s="16">
        <f>418536+14565+236651</f>
        <v>669752</v>
      </c>
      <c r="N40" s="16"/>
      <c r="O40" s="16">
        <v>0</v>
      </c>
      <c r="P40" s="16"/>
      <c r="Q40" s="16">
        <v>0</v>
      </c>
      <c r="R40" s="16"/>
      <c r="S40" s="16">
        <v>867</v>
      </c>
      <c r="T40" s="16"/>
      <c r="U40" s="16">
        <v>46396</v>
      </c>
      <c r="V40" s="16"/>
      <c r="W40" s="23">
        <f t="shared" si="0"/>
        <v>13174346</v>
      </c>
      <c r="X40" s="16"/>
      <c r="Y40" s="16">
        <v>0</v>
      </c>
      <c r="Z40" s="16"/>
      <c r="AA40" s="16">
        <v>0</v>
      </c>
      <c r="AB40" s="16"/>
      <c r="AC40" s="16">
        <v>0</v>
      </c>
      <c r="AD40" s="16"/>
      <c r="AE40" s="16">
        <v>0</v>
      </c>
      <c r="AF40" s="16"/>
      <c r="AG40" s="16">
        <v>0</v>
      </c>
      <c r="AH40" s="3" t="s">
        <v>246</v>
      </c>
      <c r="AJ40" s="103" t="s">
        <v>186</v>
      </c>
      <c r="AK40" s="16"/>
      <c r="AL40" s="16">
        <v>0</v>
      </c>
      <c r="AM40" s="16"/>
      <c r="AN40" s="16"/>
      <c r="AO40" s="16"/>
      <c r="AP40" s="16">
        <v>0</v>
      </c>
      <c r="AQ40" s="16"/>
      <c r="AR40" s="16">
        <v>0</v>
      </c>
      <c r="AS40" s="16"/>
      <c r="AT40" s="23">
        <f t="shared" si="3"/>
        <v>0</v>
      </c>
      <c r="AU40" s="16"/>
      <c r="AV40" s="23">
        <f t="shared" si="4"/>
        <v>13174346</v>
      </c>
    </row>
    <row r="41" spans="1:48" s="103" customFormat="1">
      <c r="A41" s="3" t="s">
        <v>217</v>
      </c>
      <c r="C41" s="103" t="s">
        <v>178</v>
      </c>
      <c r="E41" s="103">
        <v>62109</v>
      </c>
      <c r="G41" s="16">
        <v>7711760</v>
      </c>
      <c r="H41" s="16"/>
      <c r="I41" s="16">
        <v>8527234</v>
      </c>
      <c r="J41" s="16"/>
      <c r="K41" s="16">
        <v>9128</v>
      </c>
      <c r="L41" s="16"/>
      <c r="M41" s="16">
        <f>24222+2920+702</f>
        <v>27844</v>
      </c>
      <c r="N41" s="16"/>
      <c r="O41" s="16">
        <v>0</v>
      </c>
      <c r="P41" s="16"/>
      <c r="Q41" s="16">
        <v>16208</v>
      </c>
      <c r="R41" s="16"/>
      <c r="S41" s="16">
        <v>20308</v>
      </c>
      <c r="T41" s="16"/>
      <c r="U41" s="16">
        <v>94532</v>
      </c>
      <c r="V41" s="16"/>
      <c r="W41" s="23">
        <f t="shared" si="0"/>
        <v>16407014</v>
      </c>
      <c r="X41" s="16"/>
      <c r="Y41" s="16">
        <v>0</v>
      </c>
      <c r="Z41" s="16"/>
      <c r="AA41" s="16">
        <v>0</v>
      </c>
      <c r="AB41" s="16"/>
      <c r="AC41" s="16">
        <v>0</v>
      </c>
      <c r="AD41" s="16"/>
      <c r="AE41" s="16">
        <v>0</v>
      </c>
      <c r="AF41" s="16"/>
      <c r="AG41" s="16">
        <v>0</v>
      </c>
      <c r="AH41" s="3" t="s">
        <v>217</v>
      </c>
      <c r="AJ41" s="103" t="s">
        <v>178</v>
      </c>
      <c r="AK41" s="16"/>
      <c r="AL41" s="16">
        <v>12800</v>
      </c>
      <c r="AM41" s="16"/>
      <c r="AN41" s="16"/>
      <c r="AO41" s="16"/>
      <c r="AP41" s="16">
        <v>0</v>
      </c>
      <c r="AQ41" s="16"/>
      <c r="AR41" s="16">
        <v>0</v>
      </c>
      <c r="AS41" s="16"/>
      <c r="AT41" s="23">
        <f t="shared" si="3"/>
        <v>12800</v>
      </c>
      <c r="AU41" s="16"/>
      <c r="AV41" s="23">
        <f t="shared" si="4"/>
        <v>16419814</v>
      </c>
    </row>
    <row r="42" spans="1:48" s="103" customFormat="1">
      <c r="A42" s="3" t="s">
        <v>361</v>
      </c>
      <c r="C42" s="103" t="s">
        <v>181</v>
      </c>
      <c r="E42" s="103">
        <v>51284</v>
      </c>
      <c r="G42" s="16">
        <v>13802234</v>
      </c>
      <c r="H42" s="16"/>
      <c r="I42" s="16">
        <v>17626028</v>
      </c>
      <c r="J42" s="16"/>
      <c r="K42" s="16">
        <v>0</v>
      </c>
      <c r="L42" s="16"/>
      <c r="M42" s="16">
        <f>3547928+141379</f>
        <v>3689307</v>
      </c>
      <c r="N42" s="16"/>
      <c r="O42" s="16">
        <v>7788</v>
      </c>
      <c r="P42" s="16"/>
      <c r="Q42" s="16">
        <v>0</v>
      </c>
      <c r="R42" s="16"/>
      <c r="S42" s="16">
        <v>0</v>
      </c>
      <c r="T42" s="16"/>
      <c r="U42" s="16">
        <v>320466</v>
      </c>
      <c r="V42" s="16"/>
      <c r="W42" s="23">
        <f t="shared" si="0"/>
        <v>35445823</v>
      </c>
      <c r="X42" s="16"/>
      <c r="Y42" s="16">
        <v>1345445</v>
      </c>
      <c r="Z42" s="16"/>
      <c r="AA42" s="16">
        <v>0</v>
      </c>
      <c r="AB42" s="16"/>
      <c r="AC42" s="16">
        <v>0</v>
      </c>
      <c r="AD42" s="16"/>
      <c r="AE42" s="16">
        <v>0</v>
      </c>
      <c r="AF42" s="16"/>
      <c r="AG42" s="16">
        <v>0</v>
      </c>
      <c r="AH42" s="3" t="s">
        <v>361</v>
      </c>
      <c r="AJ42" s="103" t="s">
        <v>181</v>
      </c>
      <c r="AK42" s="16"/>
      <c r="AL42" s="16">
        <v>0</v>
      </c>
      <c r="AM42" s="16"/>
      <c r="AN42" s="16"/>
      <c r="AO42" s="16"/>
      <c r="AP42" s="16">
        <v>0</v>
      </c>
      <c r="AQ42" s="16"/>
      <c r="AR42" s="16">
        <v>0</v>
      </c>
      <c r="AS42" s="16"/>
      <c r="AT42" s="23">
        <f t="shared" si="3"/>
        <v>1345445</v>
      </c>
      <c r="AU42" s="16"/>
      <c r="AV42" s="23">
        <f t="shared" si="4"/>
        <v>36791268</v>
      </c>
    </row>
    <row r="43" spans="1:48" s="103" customFormat="1">
      <c r="A43" s="3" t="s">
        <v>362</v>
      </c>
      <c r="C43" s="103" t="s">
        <v>183</v>
      </c>
      <c r="E43" s="103">
        <v>51300</v>
      </c>
      <c r="G43" s="16">
        <v>11875230</v>
      </c>
      <c r="H43" s="16"/>
      <c r="I43" s="16">
        <v>25100804</v>
      </c>
      <c r="J43" s="16"/>
      <c r="K43" s="16">
        <v>37714</v>
      </c>
      <c r="L43" s="16"/>
      <c r="M43" s="16">
        <f>2093637+260+342989</f>
        <v>2436886</v>
      </c>
      <c r="N43" s="16"/>
      <c r="O43" s="16">
        <v>0</v>
      </c>
      <c r="P43" s="16"/>
      <c r="Q43" s="16">
        <v>41128</v>
      </c>
      <c r="R43" s="16"/>
      <c r="S43" s="16">
        <v>150</v>
      </c>
      <c r="T43" s="16"/>
      <c r="U43" s="16">
        <v>94877</v>
      </c>
      <c r="V43" s="16"/>
      <c r="W43" s="23">
        <f t="shared" si="0"/>
        <v>39586789</v>
      </c>
      <c r="X43" s="16"/>
      <c r="Y43" s="16">
        <v>2149297</v>
      </c>
      <c r="Z43" s="16"/>
      <c r="AA43" s="16">
        <v>0</v>
      </c>
      <c r="AB43" s="16"/>
      <c r="AC43" s="16">
        <v>0</v>
      </c>
      <c r="AD43" s="16"/>
      <c r="AE43" s="16">
        <v>13143</v>
      </c>
      <c r="AF43" s="16"/>
      <c r="AG43" s="16">
        <v>0</v>
      </c>
      <c r="AH43" s="3" t="s">
        <v>362</v>
      </c>
      <c r="AJ43" s="103" t="s">
        <v>183</v>
      </c>
      <c r="AK43" s="16"/>
      <c r="AL43" s="16">
        <v>43</v>
      </c>
      <c r="AM43" s="16"/>
      <c r="AN43" s="16"/>
      <c r="AO43" s="16"/>
      <c r="AP43" s="16">
        <v>0</v>
      </c>
      <c r="AQ43" s="16"/>
      <c r="AR43" s="16">
        <v>0</v>
      </c>
      <c r="AS43" s="16"/>
      <c r="AT43" s="23">
        <f t="shared" si="3"/>
        <v>2162483</v>
      </c>
      <c r="AU43" s="16"/>
      <c r="AV43" s="23">
        <f t="shared" si="4"/>
        <v>41749272</v>
      </c>
    </row>
    <row r="44" spans="1:48" s="103" customFormat="1">
      <c r="A44" s="3" t="s">
        <v>212</v>
      </c>
      <c r="C44" s="103" t="s">
        <v>174</v>
      </c>
      <c r="E44" s="103">
        <v>51334</v>
      </c>
      <c r="G44" s="16">
        <v>5460516</v>
      </c>
      <c r="H44" s="16"/>
      <c r="I44" s="16">
        <v>7266447</v>
      </c>
      <c r="J44" s="16"/>
      <c r="K44" s="16">
        <v>12386</v>
      </c>
      <c r="L44" s="16"/>
      <c r="M44" s="16">
        <f>1067287+97324</f>
        <v>1164611</v>
      </c>
      <c r="N44" s="16"/>
      <c r="O44" s="16">
        <v>0</v>
      </c>
      <c r="P44" s="16"/>
      <c r="Q44" s="16">
        <v>0</v>
      </c>
      <c r="R44" s="16"/>
      <c r="S44" s="16">
        <v>0</v>
      </c>
      <c r="T44" s="16"/>
      <c r="U44" s="16">
        <v>161625</v>
      </c>
      <c r="V44" s="16"/>
      <c r="W44" s="23">
        <f t="shared" si="0"/>
        <v>14065585</v>
      </c>
      <c r="X44" s="16"/>
      <c r="Y44" s="16">
        <v>200000</v>
      </c>
      <c r="Z44" s="16"/>
      <c r="AA44" s="16">
        <v>0</v>
      </c>
      <c r="AB44" s="16"/>
      <c r="AC44" s="16">
        <v>0</v>
      </c>
      <c r="AD44" s="16"/>
      <c r="AE44" s="16">
        <v>0</v>
      </c>
      <c r="AF44" s="16"/>
      <c r="AG44" s="16">
        <v>0</v>
      </c>
      <c r="AH44" s="3" t="s">
        <v>212</v>
      </c>
      <c r="AJ44" s="103" t="s">
        <v>174</v>
      </c>
      <c r="AK44" s="16"/>
      <c r="AL44" s="16">
        <v>0</v>
      </c>
      <c r="AM44" s="16"/>
      <c r="AN44" s="16"/>
      <c r="AO44" s="16"/>
      <c r="AP44" s="16">
        <v>0</v>
      </c>
      <c r="AQ44" s="16"/>
      <c r="AR44" s="16">
        <v>0</v>
      </c>
      <c r="AS44" s="16"/>
      <c r="AT44" s="23">
        <f t="shared" si="3"/>
        <v>200000</v>
      </c>
      <c r="AU44" s="16"/>
      <c r="AV44" s="23">
        <f t="shared" si="4"/>
        <v>14265585</v>
      </c>
    </row>
    <row r="45" spans="1:48" s="103" customFormat="1">
      <c r="A45" s="3" t="s">
        <v>322</v>
      </c>
      <c r="C45" s="103" t="s">
        <v>204</v>
      </c>
      <c r="E45" s="103">
        <v>51359</v>
      </c>
      <c r="G45" s="16">
        <v>16076593</v>
      </c>
      <c r="H45" s="16"/>
      <c r="I45" s="16">
        <f>16247690+1501764</f>
        <v>17749454</v>
      </c>
      <c r="J45" s="16"/>
      <c r="K45" s="16">
        <f>119446+290476</f>
        <v>409922</v>
      </c>
      <c r="L45" s="16"/>
      <c r="M45" s="16">
        <f>373841+342345+254156+34747</f>
        <v>1005089</v>
      </c>
      <c r="N45" s="16"/>
      <c r="O45" s="16">
        <v>14401</v>
      </c>
      <c r="P45" s="16"/>
      <c r="Q45" s="16">
        <v>298427</v>
      </c>
      <c r="R45" s="16"/>
      <c r="S45" s="16">
        <v>15068</v>
      </c>
      <c r="T45" s="16"/>
      <c r="U45" s="16">
        <v>19074</v>
      </c>
      <c r="V45" s="16"/>
      <c r="W45" s="23">
        <f t="shared" si="0"/>
        <v>35588028</v>
      </c>
      <c r="X45" s="16"/>
      <c r="Y45" s="16">
        <v>3988608</v>
      </c>
      <c r="Z45" s="16"/>
      <c r="AA45" s="16">
        <v>0</v>
      </c>
      <c r="AB45" s="16"/>
      <c r="AC45" s="16">
        <v>0</v>
      </c>
      <c r="AD45" s="16"/>
      <c r="AE45" s="16">
        <v>258558</v>
      </c>
      <c r="AF45" s="16"/>
      <c r="AG45" s="16">
        <v>0</v>
      </c>
      <c r="AH45" s="3" t="s">
        <v>322</v>
      </c>
      <c r="AJ45" s="103" t="s">
        <v>204</v>
      </c>
      <c r="AK45" s="16"/>
      <c r="AL45" s="16">
        <v>0</v>
      </c>
      <c r="AM45" s="16"/>
      <c r="AN45" s="16"/>
      <c r="AO45" s="16"/>
      <c r="AP45" s="16">
        <v>0</v>
      </c>
      <c r="AQ45" s="16"/>
      <c r="AR45" s="16">
        <v>0</v>
      </c>
      <c r="AS45" s="16"/>
      <c r="AT45" s="23">
        <f t="shared" si="3"/>
        <v>4247166</v>
      </c>
      <c r="AU45" s="16"/>
      <c r="AV45" s="23">
        <f t="shared" si="4"/>
        <v>39835194</v>
      </c>
    </row>
    <row r="46" spans="1:48" s="103" customFormat="1">
      <c r="A46" s="3" t="s">
        <v>363</v>
      </c>
      <c r="C46" s="103" t="s">
        <v>190</v>
      </c>
      <c r="E46" s="103">
        <v>51433</v>
      </c>
      <c r="G46" s="16">
        <v>5022037</v>
      </c>
      <c r="H46" s="16"/>
      <c r="I46" s="16">
        <v>12142023</v>
      </c>
      <c r="J46" s="16"/>
      <c r="K46" s="16">
        <v>20928</v>
      </c>
      <c r="L46" s="16"/>
      <c r="M46" s="16">
        <f>1579704+5484+558557</f>
        <v>2143745</v>
      </c>
      <c r="N46" s="16"/>
      <c r="O46" s="16">
        <v>0</v>
      </c>
      <c r="P46" s="16"/>
      <c r="Q46" s="16">
        <v>4876</v>
      </c>
      <c r="R46" s="16"/>
      <c r="S46" s="16">
        <v>22560</v>
      </c>
      <c r="T46" s="16"/>
      <c r="U46" s="16">
        <v>272847</v>
      </c>
      <c r="V46" s="16"/>
      <c r="W46" s="23">
        <f t="shared" si="0"/>
        <v>19629016</v>
      </c>
      <c r="X46" s="16"/>
      <c r="Y46" s="16">
        <v>338216</v>
      </c>
      <c r="Z46" s="16"/>
      <c r="AA46" s="16">
        <v>0</v>
      </c>
      <c r="AB46" s="16"/>
      <c r="AC46" s="16">
        <v>0</v>
      </c>
      <c r="AD46" s="16"/>
      <c r="AE46" s="16">
        <v>0</v>
      </c>
      <c r="AF46" s="16"/>
      <c r="AG46" s="16">
        <v>0</v>
      </c>
      <c r="AH46" s="3" t="s">
        <v>363</v>
      </c>
      <c r="AJ46" s="103" t="s">
        <v>190</v>
      </c>
      <c r="AK46" s="16"/>
      <c r="AL46" s="16">
        <v>31000</v>
      </c>
      <c r="AM46" s="16"/>
      <c r="AN46" s="16"/>
      <c r="AO46" s="16"/>
      <c r="AP46" s="16">
        <v>0</v>
      </c>
      <c r="AQ46" s="16"/>
      <c r="AR46" s="16">
        <v>0</v>
      </c>
      <c r="AS46" s="16"/>
      <c r="AT46" s="23">
        <f t="shared" si="3"/>
        <v>369216</v>
      </c>
      <c r="AU46" s="16"/>
      <c r="AV46" s="23">
        <f t="shared" si="4"/>
        <v>19998232</v>
      </c>
    </row>
    <row r="47" spans="1:48" s="103" customFormat="1">
      <c r="A47" s="3" t="s">
        <v>247</v>
      </c>
      <c r="C47" s="103" t="s">
        <v>218</v>
      </c>
      <c r="E47" s="103">
        <v>51375</v>
      </c>
      <c r="G47" s="16">
        <v>1067769</v>
      </c>
      <c r="H47" s="16"/>
      <c r="I47" s="16">
        <v>5470537</v>
      </c>
      <c r="J47" s="16"/>
      <c r="K47" s="16">
        <v>0</v>
      </c>
      <c r="L47" s="16"/>
      <c r="M47" s="16">
        <f>578616+28760+165451</f>
        <v>772827</v>
      </c>
      <c r="N47" s="16"/>
      <c r="O47" s="16">
        <v>0</v>
      </c>
      <c r="P47" s="16"/>
      <c r="Q47" s="16">
        <v>226</v>
      </c>
      <c r="R47" s="16"/>
      <c r="S47" s="16">
        <v>5155</v>
      </c>
      <c r="T47" s="16"/>
      <c r="U47" s="16">
        <v>40253</v>
      </c>
      <c r="V47" s="16"/>
      <c r="W47" s="23">
        <f t="shared" ref="W47:W65" si="5">SUM(G47:V47)</f>
        <v>7356767</v>
      </c>
      <c r="X47" s="16"/>
      <c r="Y47" s="16">
        <v>0</v>
      </c>
      <c r="Z47" s="16"/>
      <c r="AA47" s="16">
        <v>0</v>
      </c>
      <c r="AB47" s="16"/>
      <c r="AC47" s="16">
        <v>0</v>
      </c>
      <c r="AD47" s="16"/>
      <c r="AE47" s="16">
        <v>0</v>
      </c>
      <c r="AF47" s="16"/>
      <c r="AG47" s="16">
        <v>0</v>
      </c>
      <c r="AH47" s="3" t="s">
        <v>247</v>
      </c>
      <c r="AJ47" s="103" t="s">
        <v>218</v>
      </c>
      <c r="AK47" s="16"/>
      <c r="AL47" s="16">
        <v>0</v>
      </c>
      <c r="AM47" s="16"/>
      <c r="AN47" s="16"/>
      <c r="AO47" s="16"/>
      <c r="AP47" s="16">
        <v>0</v>
      </c>
      <c r="AQ47" s="16"/>
      <c r="AR47" s="16">
        <v>0</v>
      </c>
      <c r="AS47" s="16"/>
      <c r="AT47" s="23">
        <f t="shared" si="3"/>
        <v>0</v>
      </c>
      <c r="AU47" s="16"/>
      <c r="AV47" s="23">
        <f t="shared" si="4"/>
        <v>7356767</v>
      </c>
    </row>
    <row r="48" spans="1:48" s="103" customFormat="1">
      <c r="A48" s="3" t="s">
        <v>364</v>
      </c>
      <c r="C48" s="103" t="s">
        <v>189</v>
      </c>
      <c r="E48" s="103">
        <v>51417</v>
      </c>
      <c r="G48" s="16">
        <v>4208001</v>
      </c>
      <c r="H48" s="16"/>
      <c r="I48" s="16">
        <f>49354+10691355+735454</f>
        <v>11476163</v>
      </c>
      <c r="J48" s="16"/>
      <c r="K48" s="16">
        <v>63068</v>
      </c>
      <c r="L48" s="16"/>
      <c r="M48" s="16">
        <f>265396+206778+184774+159724</f>
        <v>816672</v>
      </c>
      <c r="N48" s="16"/>
      <c r="O48" s="16">
        <v>16132</v>
      </c>
      <c r="P48" s="16"/>
      <c r="Q48" s="16">
        <v>0</v>
      </c>
      <c r="R48" s="16"/>
      <c r="S48" s="16">
        <v>6348</v>
      </c>
      <c r="T48" s="16"/>
      <c r="U48" s="16">
        <v>198511</v>
      </c>
      <c r="V48" s="16"/>
      <c r="W48" s="23">
        <f t="shared" si="5"/>
        <v>16784895</v>
      </c>
      <c r="X48" s="16"/>
      <c r="Y48" s="16">
        <v>926662</v>
      </c>
      <c r="Z48" s="16"/>
      <c r="AA48" s="16">
        <v>0</v>
      </c>
      <c r="AB48" s="16"/>
      <c r="AC48" s="16">
        <v>0</v>
      </c>
      <c r="AD48" s="16"/>
      <c r="AE48" s="16">
        <v>0</v>
      </c>
      <c r="AF48" s="16"/>
      <c r="AG48" s="16">
        <v>0</v>
      </c>
      <c r="AH48" s="3" t="s">
        <v>364</v>
      </c>
      <c r="AJ48" s="103" t="s">
        <v>189</v>
      </c>
      <c r="AK48" s="16"/>
      <c r="AL48" s="16">
        <v>0</v>
      </c>
      <c r="AM48" s="16"/>
      <c r="AN48" s="16"/>
      <c r="AO48" s="16"/>
      <c r="AP48" s="16">
        <v>0</v>
      </c>
      <c r="AQ48" s="16"/>
      <c r="AR48" s="16">
        <v>0</v>
      </c>
      <c r="AS48" s="16"/>
      <c r="AT48" s="23">
        <f t="shared" si="3"/>
        <v>926662</v>
      </c>
      <c r="AU48" s="16"/>
      <c r="AV48" s="23">
        <f t="shared" si="4"/>
        <v>17711557</v>
      </c>
    </row>
    <row r="49" spans="1:48" s="103" customFormat="1">
      <c r="A49" s="3" t="s">
        <v>248</v>
      </c>
      <c r="C49" s="103" t="s">
        <v>157</v>
      </c>
      <c r="E49" s="103">
        <v>50948</v>
      </c>
      <c r="G49" s="16">
        <v>9120428</v>
      </c>
      <c r="H49" s="16"/>
      <c r="I49" s="16">
        <v>4891338</v>
      </c>
      <c r="J49" s="16"/>
      <c r="K49" s="16">
        <v>43686</v>
      </c>
      <c r="L49" s="16"/>
      <c r="M49" s="16">
        <f>132200+28548</f>
        <v>160748</v>
      </c>
      <c r="N49" s="16"/>
      <c r="O49" s="16">
        <v>0</v>
      </c>
      <c r="P49" s="16"/>
      <c r="Q49" s="16">
        <v>0</v>
      </c>
      <c r="R49" s="16"/>
      <c r="S49" s="16">
        <v>2391</v>
      </c>
      <c r="T49" s="16"/>
      <c r="U49" s="16">
        <v>37457</v>
      </c>
      <c r="V49" s="16"/>
      <c r="W49" s="23">
        <f t="shared" si="5"/>
        <v>14256048</v>
      </c>
      <c r="X49" s="16"/>
      <c r="Y49" s="16">
        <v>7407</v>
      </c>
      <c r="Z49" s="16"/>
      <c r="AA49" s="16">
        <v>0</v>
      </c>
      <c r="AB49" s="16"/>
      <c r="AC49" s="16">
        <v>0</v>
      </c>
      <c r="AD49" s="16"/>
      <c r="AE49" s="16">
        <v>0</v>
      </c>
      <c r="AF49" s="16"/>
      <c r="AG49" s="16">
        <v>0</v>
      </c>
      <c r="AH49" s="3" t="s">
        <v>248</v>
      </c>
      <c r="AJ49" s="103" t="s">
        <v>157</v>
      </c>
      <c r="AK49" s="16"/>
      <c r="AL49" s="16">
        <v>0</v>
      </c>
      <c r="AM49" s="16"/>
      <c r="AN49" s="16"/>
      <c r="AO49" s="16"/>
      <c r="AP49" s="16">
        <v>0</v>
      </c>
      <c r="AQ49" s="16"/>
      <c r="AR49" s="16">
        <v>0</v>
      </c>
      <c r="AS49" s="16"/>
      <c r="AT49" s="23">
        <f t="shared" si="3"/>
        <v>7407</v>
      </c>
      <c r="AU49" s="16"/>
      <c r="AV49" s="23">
        <f t="shared" si="4"/>
        <v>14263455</v>
      </c>
    </row>
    <row r="50" spans="1:48" s="103" customFormat="1">
      <c r="A50" s="3" t="s">
        <v>249</v>
      </c>
      <c r="C50" s="103" t="s">
        <v>196</v>
      </c>
      <c r="E50" s="103">
        <v>63495</v>
      </c>
      <c r="G50" s="16">
        <v>2807421</v>
      </c>
      <c r="H50" s="16"/>
      <c r="I50" s="16">
        <v>3316484</v>
      </c>
      <c r="J50" s="16"/>
      <c r="K50" s="16">
        <v>0</v>
      </c>
      <c r="L50" s="16"/>
      <c r="M50" s="16">
        <f>1241868+9853</f>
        <v>1251721</v>
      </c>
      <c r="N50" s="16"/>
      <c r="O50" s="16">
        <v>10393</v>
      </c>
      <c r="P50" s="16"/>
      <c r="Q50" s="16">
        <v>0</v>
      </c>
      <c r="R50" s="16"/>
      <c r="S50" s="16">
        <v>0</v>
      </c>
      <c r="T50" s="16"/>
      <c r="U50" s="16">
        <v>45500</v>
      </c>
      <c r="V50" s="16"/>
      <c r="W50" s="23">
        <f t="shared" si="5"/>
        <v>7431519</v>
      </c>
      <c r="X50" s="16"/>
      <c r="Y50" s="16">
        <v>33333</v>
      </c>
      <c r="Z50" s="16"/>
      <c r="AA50" s="16">
        <v>0</v>
      </c>
      <c r="AB50" s="16"/>
      <c r="AC50" s="16">
        <v>0</v>
      </c>
      <c r="AD50" s="16"/>
      <c r="AE50" s="16">
        <v>0</v>
      </c>
      <c r="AF50" s="16"/>
      <c r="AG50" s="16">
        <v>0</v>
      </c>
      <c r="AH50" s="3" t="s">
        <v>249</v>
      </c>
      <c r="AJ50" s="103" t="s">
        <v>196</v>
      </c>
      <c r="AK50" s="16"/>
      <c r="AL50" s="16">
        <v>0</v>
      </c>
      <c r="AM50" s="16"/>
      <c r="AN50" s="16"/>
      <c r="AO50" s="16"/>
      <c r="AP50" s="16">
        <v>0</v>
      </c>
      <c r="AQ50" s="16"/>
      <c r="AR50" s="16">
        <v>0</v>
      </c>
      <c r="AS50" s="16"/>
      <c r="AT50" s="23">
        <f t="shared" si="3"/>
        <v>33333</v>
      </c>
      <c r="AU50" s="16"/>
      <c r="AV50" s="23">
        <f t="shared" si="4"/>
        <v>7464852</v>
      </c>
    </row>
    <row r="51" spans="1:48" s="103" customFormat="1">
      <c r="A51" s="3" t="s">
        <v>383</v>
      </c>
      <c r="C51" s="103" t="s">
        <v>192</v>
      </c>
      <c r="E51" s="103">
        <v>51490</v>
      </c>
      <c r="G51" s="16">
        <v>2373323</v>
      </c>
      <c r="H51" s="16"/>
      <c r="I51" s="16">
        <v>5454220</v>
      </c>
      <c r="J51" s="16"/>
      <c r="K51" s="16">
        <v>60283</v>
      </c>
      <c r="L51" s="16"/>
      <c r="M51" s="16">
        <f>108834+1793266+51798</f>
        <v>1953898</v>
      </c>
      <c r="N51" s="16"/>
      <c r="O51" s="16">
        <v>43477</v>
      </c>
      <c r="P51" s="16"/>
      <c r="Q51" s="16">
        <v>0</v>
      </c>
      <c r="R51" s="16"/>
      <c r="S51" s="16">
        <v>600</v>
      </c>
      <c r="T51" s="16"/>
      <c r="U51" s="16">
        <v>171374</v>
      </c>
      <c r="V51" s="16"/>
      <c r="W51" s="23">
        <f t="shared" si="5"/>
        <v>10057175</v>
      </c>
      <c r="X51" s="16"/>
      <c r="Y51" s="16">
        <v>364966</v>
      </c>
      <c r="Z51" s="16"/>
      <c r="AA51" s="16">
        <v>0</v>
      </c>
      <c r="AB51" s="16"/>
      <c r="AC51" s="16">
        <v>0</v>
      </c>
      <c r="AD51" s="16"/>
      <c r="AE51" s="16">
        <v>0</v>
      </c>
      <c r="AF51" s="16"/>
      <c r="AG51" s="16">
        <v>0</v>
      </c>
      <c r="AH51" s="3" t="s">
        <v>383</v>
      </c>
      <c r="AJ51" s="103" t="s">
        <v>192</v>
      </c>
      <c r="AK51" s="16"/>
      <c r="AL51" s="16">
        <v>0</v>
      </c>
      <c r="AM51" s="16"/>
      <c r="AN51" s="16">
        <v>0</v>
      </c>
      <c r="AO51" s="16"/>
      <c r="AP51" s="16">
        <v>0</v>
      </c>
      <c r="AQ51" s="16"/>
      <c r="AR51" s="16">
        <v>0</v>
      </c>
      <c r="AS51" s="16"/>
      <c r="AT51" s="23">
        <f t="shared" si="3"/>
        <v>364966</v>
      </c>
      <c r="AU51" s="16"/>
      <c r="AV51" s="23">
        <f t="shared" si="4"/>
        <v>10422141</v>
      </c>
    </row>
    <row r="52" spans="1:48" s="103" customFormat="1">
      <c r="A52" s="3" t="s">
        <v>205</v>
      </c>
      <c r="C52" s="103" t="s">
        <v>150</v>
      </c>
      <c r="E52" s="103">
        <v>50799</v>
      </c>
      <c r="G52" s="16">
        <v>2352213</v>
      </c>
      <c r="H52" s="16"/>
      <c r="I52" s="16">
        <v>3918647</v>
      </c>
      <c r="J52" s="16"/>
      <c r="K52" s="16">
        <v>125022</v>
      </c>
      <c r="L52" s="16"/>
      <c r="M52" s="16">
        <f>85933+1305+180809</f>
        <v>268047</v>
      </c>
      <c r="N52" s="16"/>
      <c r="O52" s="16">
        <v>0</v>
      </c>
      <c r="P52" s="16"/>
      <c r="Q52" s="16">
        <v>0</v>
      </c>
      <c r="R52" s="16"/>
      <c r="S52" s="16">
        <v>90</v>
      </c>
      <c r="T52" s="16"/>
      <c r="U52" s="16">
        <v>25262</v>
      </c>
      <c r="V52" s="16"/>
      <c r="W52" s="23">
        <f t="shared" si="5"/>
        <v>6689281</v>
      </c>
      <c r="X52" s="16"/>
      <c r="Y52" s="16">
        <v>110000</v>
      </c>
      <c r="Z52" s="16"/>
      <c r="AA52" s="16">
        <v>0</v>
      </c>
      <c r="AB52" s="16"/>
      <c r="AC52" s="16">
        <v>0</v>
      </c>
      <c r="AD52" s="16"/>
      <c r="AE52" s="16">
        <v>0</v>
      </c>
      <c r="AF52" s="16"/>
      <c r="AG52" s="16">
        <v>0</v>
      </c>
      <c r="AH52" s="3" t="s">
        <v>205</v>
      </c>
      <c r="AJ52" s="103" t="s">
        <v>150</v>
      </c>
      <c r="AK52" s="16"/>
      <c r="AL52" s="16">
        <v>7183</v>
      </c>
      <c r="AM52" s="16"/>
      <c r="AN52" s="16">
        <v>0</v>
      </c>
      <c r="AO52" s="16"/>
      <c r="AP52" s="16">
        <v>0</v>
      </c>
      <c r="AQ52" s="16"/>
      <c r="AR52" s="16">
        <v>0</v>
      </c>
      <c r="AS52" s="16"/>
      <c r="AT52" s="23">
        <f t="shared" si="3"/>
        <v>117183</v>
      </c>
      <c r="AU52" s="16"/>
      <c r="AV52" s="23">
        <f t="shared" si="4"/>
        <v>6806464</v>
      </c>
    </row>
    <row r="53" spans="1:48" s="103" customFormat="1">
      <c r="A53" s="3" t="s">
        <v>365</v>
      </c>
      <c r="C53" s="103" t="s">
        <v>152</v>
      </c>
      <c r="E53" s="103">
        <v>51532</v>
      </c>
      <c r="G53" s="16">
        <v>4897182</v>
      </c>
      <c r="H53" s="16"/>
      <c r="I53" s="16">
        <v>6898703</v>
      </c>
      <c r="J53" s="16"/>
      <c r="K53" s="16">
        <v>8307</v>
      </c>
      <c r="L53" s="16"/>
      <c r="M53" s="16">
        <f>29581+135890</f>
        <v>165471</v>
      </c>
      <c r="N53" s="16"/>
      <c r="O53" s="16">
        <v>0</v>
      </c>
      <c r="P53" s="16"/>
      <c r="Q53" s="16">
        <v>0</v>
      </c>
      <c r="R53" s="16"/>
      <c r="S53" s="16">
        <v>0</v>
      </c>
      <c r="T53" s="16"/>
      <c r="U53" s="16">
        <v>67899</v>
      </c>
      <c r="V53" s="16"/>
      <c r="W53" s="23">
        <f t="shared" si="5"/>
        <v>12037562</v>
      </c>
      <c r="X53" s="16"/>
      <c r="Y53" s="16">
        <v>151531</v>
      </c>
      <c r="Z53" s="16"/>
      <c r="AA53" s="16">
        <v>0</v>
      </c>
      <c r="AB53" s="16"/>
      <c r="AC53" s="16">
        <v>0</v>
      </c>
      <c r="AD53" s="16"/>
      <c r="AE53" s="16">
        <v>188964</v>
      </c>
      <c r="AF53" s="16"/>
      <c r="AG53" s="16">
        <v>0</v>
      </c>
      <c r="AH53" s="3" t="s">
        <v>365</v>
      </c>
      <c r="AJ53" s="103" t="s">
        <v>152</v>
      </c>
      <c r="AK53" s="16"/>
      <c r="AL53" s="16">
        <v>11047</v>
      </c>
      <c r="AM53" s="16"/>
      <c r="AN53" s="16">
        <v>0</v>
      </c>
      <c r="AO53" s="16"/>
      <c r="AP53" s="16">
        <v>0</v>
      </c>
      <c r="AQ53" s="16"/>
      <c r="AR53" s="16">
        <v>0</v>
      </c>
      <c r="AS53" s="16"/>
      <c r="AT53" s="23">
        <f t="shared" si="3"/>
        <v>351542</v>
      </c>
      <c r="AU53" s="16"/>
      <c r="AV53" s="23">
        <f t="shared" si="4"/>
        <v>12389104</v>
      </c>
    </row>
    <row r="54" spans="1:48" s="103" customFormat="1">
      <c r="A54" s="3" t="s">
        <v>219</v>
      </c>
      <c r="C54" s="103" t="s">
        <v>195</v>
      </c>
      <c r="E54" s="103">
        <v>62026</v>
      </c>
      <c r="G54" s="16">
        <v>2113823</v>
      </c>
      <c r="H54" s="16"/>
      <c r="I54" s="16">
        <f>2371+4718498+337518</f>
        <v>5058387</v>
      </c>
      <c r="J54" s="16"/>
      <c r="K54" s="16">
        <v>20548</v>
      </c>
      <c r="L54" s="16"/>
      <c r="M54" s="16">
        <f>32820+134456+6837</f>
        <v>174113</v>
      </c>
      <c r="N54" s="16"/>
      <c r="O54" s="16">
        <v>0</v>
      </c>
      <c r="P54" s="16"/>
      <c r="Q54" s="16">
        <v>0</v>
      </c>
      <c r="R54" s="16"/>
      <c r="S54" s="16">
        <v>0</v>
      </c>
      <c r="T54" s="16"/>
      <c r="U54" s="16">
        <v>174374</v>
      </c>
      <c r="V54" s="16"/>
      <c r="W54" s="23">
        <f t="shared" si="5"/>
        <v>7541245</v>
      </c>
      <c r="X54" s="16"/>
      <c r="Y54" s="16">
        <v>0</v>
      </c>
      <c r="Z54" s="16"/>
      <c r="AA54" s="16">
        <v>0</v>
      </c>
      <c r="AB54" s="16"/>
      <c r="AC54" s="16">
        <v>0</v>
      </c>
      <c r="AD54" s="16"/>
      <c r="AE54" s="16">
        <v>0</v>
      </c>
      <c r="AF54" s="16"/>
      <c r="AG54" s="16">
        <v>0</v>
      </c>
      <c r="AH54" s="3" t="s">
        <v>219</v>
      </c>
      <c r="AJ54" s="103" t="s">
        <v>195</v>
      </c>
      <c r="AK54" s="16"/>
      <c r="AL54" s="16">
        <v>30612</v>
      </c>
      <c r="AM54" s="16"/>
      <c r="AN54" s="16">
        <v>0</v>
      </c>
      <c r="AO54" s="16"/>
      <c r="AP54" s="16">
        <v>0</v>
      </c>
      <c r="AQ54" s="16"/>
      <c r="AR54" s="16">
        <v>0</v>
      </c>
      <c r="AS54" s="16"/>
      <c r="AT54" s="23">
        <f t="shared" si="3"/>
        <v>30612</v>
      </c>
      <c r="AU54" s="16"/>
      <c r="AV54" s="23">
        <f t="shared" si="4"/>
        <v>7571857</v>
      </c>
    </row>
    <row r="55" spans="1:48" s="103" customFormat="1">
      <c r="A55" s="3" t="s">
        <v>272</v>
      </c>
      <c r="C55" s="103" t="s">
        <v>214</v>
      </c>
      <c r="E55" s="103">
        <v>63511</v>
      </c>
      <c r="G55" s="16">
        <v>8954241</v>
      </c>
      <c r="H55" s="16"/>
      <c r="I55" s="16">
        <v>3869155</v>
      </c>
      <c r="J55" s="16"/>
      <c r="K55" s="16">
        <v>35337</v>
      </c>
      <c r="L55" s="16"/>
      <c r="M55" s="16">
        <f>330170+187381</f>
        <v>517551</v>
      </c>
      <c r="N55" s="16"/>
      <c r="O55" s="16">
        <v>0</v>
      </c>
      <c r="P55" s="16"/>
      <c r="Q55" s="16">
        <v>0</v>
      </c>
      <c r="R55" s="16"/>
      <c r="S55" s="16">
        <v>0</v>
      </c>
      <c r="T55" s="16"/>
      <c r="U55" s="16">
        <v>275016</v>
      </c>
      <c r="V55" s="16"/>
      <c r="W55" s="23">
        <f t="shared" si="5"/>
        <v>13651300</v>
      </c>
      <c r="X55" s="16"/>
      <c r="Y55" s="16">
        <v>1079081</v>
      </c>
      <c r="Z55" s="16"/>
      <c r="AA55" s="16">
        <v>0</v>
      </c>
      <c r="AB55" s="16"/>
      <c r="AC55" s="16">
        <v>0</v>
      </c>
      <c r="AD55" s="16"/>
      <c r="AE55" s="16">
        <v>0</v>
      </c>
      <c r="AF55" s="16"/>
      <c r="AG55" s="16">
        <v>0</v>
      </c>
      <c r="AH55" s="3" t="s">
        <v>272</v>
      </c>
      <c r="AJ55" s="103" t="s">
        <v>214</v>
      </c>
      <c r="AK55" s="16"/>
      <c r="AL55" s="16">
        <v>0</v>
      </c>
      <c r="AM55" s="16"/>
      <c r="AN55" s="16">
        <v>0</v>
      </c>
      <c r="AO55" s="16"/>
      <c r="AP55" s="16">
        <v>0</v>
      </c>
      <c r="AQ55" s="16"/>
      <c r="AR55" s="16">
        <v>0</v>
      </c>
      <c r="AS55" s="16"/>
      <c r="AT55" s="23">
        <f t="shared" si="3"/>
        <v>1079081</v>
      </c>
      <c r="AU55" s="16"/>
      <c r="AV55" s="23">
        <f t="shared" si="4"/>
        <v>14730381</v>
      </c>
    </row>
    <row r="56" spans="1:48" s="103" customFormat="1">
      <c r="A56" s="3" t="s">
        <v>285</v>
      </c>
      <c r="C56" s="103" t="s">
        <v>145</v>
      </c>
      <c r="E56" s="103">
        <v>51607</v>
      </c>
      <c r="G56" s="16">
        <v>3183485</v>
      </c>
      <c r="H56" s="16"/>
      <c r="I56" s="16">
        <v>4666541</v>
      </c>
      <c r="J56" s="16"/>
      <c r="K56" s="16">
        <v>6088</v>
      </c>
      <c r="L56" s="16"/>
      <c r="M56" s="16">
        <v>33131</v>
      </c>
      <c r="N56" s="16"/>
      <c r="O56" s="16">
        <v>0</v>
      </c>
      <c r="P56" s="16"/>
      <c r="Q56" s="16">
        <v>0</v>
      </c>
      <c r="R56" s="16"/>
      <c r="S56" s="16">
        <v>0</v>
      </c>
      <c r="T56" s="16"/>
      <c r="U56" s="16">
        <v>23268</v>
      </c>
      <c r="V56" s="16"/>
      <c r="W56" s="23">
        <f t="shared" si="5"/>
        <v>7912513</v>
      </c>
      <c r="X56" s="16"/>
      <c r="Y56" s="16">
        <v>200000</v>
      </c>
      <c r="Z56" s="16"/>
      <c r="AA56" s="16">
        <v>0</v>
      </c>
      <c r="AB56" s="16"/>
      <c r="AC56" s="16">
        <v>0</v>
      </c>
      <c r="AD56" s="16"/>
      <c r="AE56" s="16">
        <v>0</v>
      </c>
      <c r="AF56" s="16"/>
      <c r="AG56" s="16">
        <v>0</v>
      </c>
      <c r="AH56" s="3" t="s">
        <v>285</v>
      </c>
      <c r="AJ56" s="103" t="s">
        <v>145</v>
      </c>
      <c r="AK56" s="16"/>
      <c r="AL56" s="16">
        <v>0</v>
      </c>
      <c r="AM56" s="16"/>
      <c r="AN56" s="16">
        <v>0</v>
      </c>
      <c r="AO56" s="16"/>
      <c r="AP56" s="16">
        <v>0</v>
      </c>
      <c r="AQ56" s="16"/>
      <c r="AR56" s="16">
        <v>0</v>
      </c>
      <c r="AS56" s="16"/>
      <c r="AT56" s="23">
        <f t="shared" si="3"/>
        <v>200000</v>
      </c>
      <c r="AU56" s="16"/>
      <c r="AV56" s="23">
        <f t="shared" si="4"/>
        <v>8112513</v>
      </c>
    </row>
    <row r="57" spans="1:48" s="103" customFormat="1">
      <c r="A57" s="3" t="s">
        <v>215</v>
      </c>
      <c r="C57" s="103" t="s">
        <v>216</v>
      </c>
      <c r="E57" s="103">
        <v>65268</v>
      </c>
      <c r="G57" s="16">
        <v>3787810</v>
      </c>
      <c r="H57" s="16"/>
      <c r="I57" s="16">
        <v>6961678</v>
      </c>
      <c r="J57" s="16"/>
      <c r="K57" s="16">
        <v>1837</v>
      </c>
      <c r="L57" s="16"/>
      <c r="M57" s="16">
        <f>1407+31699</f>
        <v>33106</v>
      </c>
      <c r="N57" s="16"/>
      <c r="O57" s="16">
        <v>0</v>
      </c>
      <c r="P57" s="16"/>
      <c r="Q57" s="16">
        <v>9490</v>
      </c>
      <c r="R57" s="16"/>
      <c r="S57" s="16">
        <v>29402</v>
      </c>
      <c r="T57" s="16"/>
      <c r="U57" s="16">
        <v>909309</v>
      </c>
      <c r="V57" s="16"/>
      <c r="W57" s="23">
        <f t="shared" si="5"/>
        <v>11732632</v>
      </c>
      <c r="X57" s="16"/>
      <c r="Y57" s="16">
        <v>24978</v>
      </c>
      <c r="Z57" s="16"/>
      <c r="AA57" s="16">
        <v>1618800</v>
      </c>
      <c r="AB57" s="16"/>
      <c r="AC57" s="16">
        <v>0</v>
      </c>
      <c r="AD57" s="16"/>
      <c r="AE57" s="16">
        <v>0</v>
      </c>
      <c r="AF57" s="16"/>
      <c r="AG57" s="16">
        <v>0</v>
      </c>
      <c r="AH57" s="3" t="s">
        <v>215</v>
      </c>
      <c r="AJ57" s="103" t="s">
        <v>216</v>
      </c>
      <c r="AK57" s="16"/>
      <c r="AL57" s="16">
        <v>0</v>
      </c>
      <c r="AM57" s="16"/>
      <c r="AN57" s="16">
        <v>0</v>
      </c>
      <c r="AO57" s="16"/>
      <c r="AP57" s="16">
        <v>374090</v>
      </c>
      <c r="AQ57" s="16"/>
      <c r="AR57" s="16">
        <v>0</v>
      </c>
      <c r="AS57" s="16"/>
      <c r="AT57" s="23">
        <f t="shared" si="3"/>
        <v>2017868</v>
      </c>
      <c r="AU57" s="16"/>
      <c r="AV57" s="23">
        <f t="shared" si="4"/>
        <v>13750500</v>
      </c>
    </row>
    <row r="58" spans="1:48" s="103" customFormat="1">
      <c r="A58" s="3" t="s">
        <v>366</v>
      </c>
      <c r="C58" s="103" t="s">
        <v>197</v>
      </c>
      <c r="E58" s="103">
        <v>51631</v>
      </c>
      <c r="G58" s="16">
        <v>5013101</v>
      </c>
      <c r="H58" s="16"/>
      <c r="I58" s="16">
        <f>7447409+1119685</f>
        <v>8567094</v>
      </c>
      <c r="J58" s="16"/>
      <c r="K58" s="16">
        <v>28588</v>
      </c>
      <c r="L58" s="16"/>
      <c r="M58" s="16">
        <f>190029+28774+196780+115345</f>
        <v>530928</v>
      </c>
      <c r="N58" s="16"/>
      <c r="O58" s="16">
        <v>10199</v>
      </c>
      <c r="P58" s="16"/>
      <c r="Q58" s="16">
        <v>0</v>
      </c>
      <c r="R58" s="16"/>
      <c r="S58" s="16">
        <v>720</v>
      </c>
      <c r="T58" s="16"/>
      <c r="U58" s="16">
        <v>78532</v>
      </c>
      <c r="V58" s="16"/>
      <c r="W58" s="23">
        <f t="shared" si="5"/>
        <v>14229162</v>
      </c>
      <c r="X58" s="16"/>
      <c r="Y58" s="16">
        <v>175000</v>
      </c>
      <c r="Z58" s="16"/>
      <c r="AA58" s="16">
        <v>0</v>
      </c>
      <c r="AB58" s="16"/>
      <c r="AC58" s="16">
        <v>0</v>
      </c>
      <c r="AD58" s="16"/>
      <c r="AE58" s="16">
        <v>0</v>
      </c>
      <c r="AF58" s="16"/>
      <c r="AG58" s="16">
        <v>0</v>
      </c>
      <c r="AH58" s="3" t="s">
        <v>366</v>
      </c>
      <c r="AJ58" s="103" t="s">
        <v>197</v>
      </c>
      <c r="AK58" s="16"/>
      <c r="AL58" s="16">
        <v>619</v>
      </c>
      <c r="AM58" s="16"/>
      <c r="AN58" s="16">
        <v>0</v>
      </c>
      <c r="AO58" s="16"/>
      <c r="AP58" s="16">
        <v>0</v>
      </c>
      <c r="AQ58" s="16"/>
      <c r="AR58" s="16">
        <v>0</v>
      </c>
      <c r="AS58" s="16"/>
      <c r="AT58" s="23">
        <f t="shared" si="3"/>
        <v>175619</v>
      </c>
      <c r="AU58" s="16"/>
      <c r="AV58" s="23">
        <f t="shared" si="4"/>
        <v>14404781</v>
      </c>
    </row>
    <row r="59" spans="1:48" s="103" customFormat="1">
      <c r="A59" s="3" t="s">
        <v>206</v>
      </c>
      <c r="C59" s="103" t="s">
        <v>154</v>
      </c>
      <c r="E59" s="103">
        <v>62802</v>
      </c>
      <c r="G59" s="16">
        <v>3870847</v>
      </c>
      <c r="H59" s="16"/>
      <c r="I59" s="16">
        <v>3933926</v>
      </c>
      <c r="J59" s="16"/>
      <c r="K59" s="16">
        <v>54455</v>
      </c>
      <c r="L59" s="16"/>
      <c r="M59" s="16">
        <f>178680+174493</f>
        <v>353173</v>
      </c>
      <c r="N59" s="16"/>
      <c r="O59" s="16">
        <v>0</v>
      </c>
      <c r="P59" s="16"/>
      <c r="Q59" s="16">
        <v>0</v>
      </c>
      <c r="R59" s="16"/>
      <c r="S59" s="16">
        <v>0</v>
      </c>
      <c r="T59" s="16"/>
      <c r="U59" s="16">
        <v>30525</v>
      </c>
      <c r="V59" s="16"/>
      <c r="W59" s="23">
        <f t="shared" si="5"/>
        <v>8242926</v>
      </c>
      <c r="X59" s="16"/>
      <c r="Y59" s="16">
        <v>60000</v>
      </c>
      <c r="Z59" s="16"/>
      <c r="AA59" s="16">
        <v>0</v>
      </c>
      <c r="AB59" s="16"/>
      <c r="AC59" s="16">
        <v>0</v>
      </c>
      <c r="AD59" s="16"/>
      <c r="AE59" s="16">
        <v>0</v>
      </c>
      <c r="AF59" s="16"/>
      <c r="AG59" s="16">
        <v>0</v>
      </c>
      <c r="AH59" s="3" t="s">
        <v>206</v>
      </c>
      <c r="AJ59" s="103" t="s">
        <v>154</v>
      </c>
      <c r="AK59" s="16"/>
      <c r="AL59" s="16">
        <v>705</v>
      </c>
      <c r="AM59" s="16"/>
      <c r="AN59" s="16">
        <v>0</v>
      </c>
      <c r="AO59" s="16"/>
      <c r="AP59" s="16">
        <v>0</v>
      </c>
      <c r="AQ59" s="16"/>
      <c r="AR59" s="16">
        <v>0</v>
      </c>
      <c r="AS59" s="16"/>
      <c r="AT59" s="23">
        <f t="shared" si="3"/>
        <v>60705</v>
      </c>
      <c r="AU59" s="16"/>
      <c r="AV59" s="23">
        <f t="shared" si="4"/>
        <v>8303631</v>
      </c>
    </row>
    <row r="60" spans="1:48" s="103" customFormat="1">
      <c r="A60" s="3" t="s">
        <v>354</v>
      </c>
      <c r="C60" s="103" t="s">
        <v>180</v>
      </c>
      <c r="E60" s="103">
        <v>62125</v>
      </c>
      <c r="G60" s="16">
        <v>6352104</v>
      </c>
      <c r="H60" s="16"/>
      <c r="I60" s="16">
        <f>6300+11911626+1671384</f>
        <v>13589310</v>
      </c>
      <c r="J60" s="16"/>
      <c r="K60" s="16">
        <v>18817</v>
      </c>
      <c r="L60" s="16"/>
      <c r="M60" s="16">
        <f>799622+186403+123272+85221</f>
        <v>1194518</v>
      </c>
      <c r="N60" s="16"/>
      <c r="O60" s="16">
        <v>0</v>
      </c>
      <c r="P60" s="16"/>
      <c r="Q60" s="16">
        <v>0</v>
      </c>
      <c r="R60" s="16"/>
      <c r="S60" s="16">
        <v>27850</v>
      </c>
      <c r="T60" s="16"/>
      <c r="U60" s="16">
        <v>82988</v>
      </c>
      <c r="V60" s="16"/>
      <c r="W60" s="23">
        <f t="shared" si="5"/>
        <v>21265587</v>
      </c>
      <c r="X60" s="16"/>
      <c r="Y60" s="16">
        <v>601752</v>
      </c>
      <c r="Z60" s="16"/>
      <c r="AA60" s="16">
        <v>0</v>
      </c>
      <c r="AB60" s="16"/>
      <c r="AC60" s="16">
        <v>0</v>
      </c>
      <c r="AD60" s="16"/>
      <c r="AE60" s="16">
        <v>0</v>
      </c>
      <c r="AF60" s="16"/>
      <c r="AG60" s="16">
        <v>0</v>
      </c>
      <c r="AH60" s="3" t="s">
        <v>354</v>
      </c>
      <c r="AJ60" s="103" t="s">
        <v>180</v>
      </c>
      <c r="AK60" s="16"/>
      <c r="AL60" s="16">
        <v>0</v>
      </c>
      <c r="AM60" s="16"/>
      <c r="AN60" s="16">
        <v>0</v>
      </c>
      <c r="AO60" s="16"/>
      <c r="AP60" s="16">
        <v>0</v>
      </c>
      <c r="AQ60" s="16"/>
      <c r="AR60" s="16">
        <v>0</v>
      </c>
      <c r="AS60" s="16"/>
      <c r="AT60" s="23">
        <f t="shared" si="3"/>
        <v>601752</v>
      </c>
      <c r="AU60" s="16"/>
      <c r="AV60" s="23">
        <f t="shared" si="4"/>
        <v>21867339</v>
      </c>
    </row>
    <row r="61" spans="1:48" s="103" customFormat="1">
      <c r="A61" s="3" t="s">
        <v>250</v>
      </c>
      <c r="C61" s="103" t="s">
        <v>191</v>
      </c>
      <c r="E61" s="103">
        <v>51458</v>
      </c>
      <c r="G61" s="16">
        <v>4021892</v>
      </c>
      <c r="H61" s="16"/>
      <c r="I61" s="16">
        <f>9828791+530465</f>
        <v>10359256</v>
      </c>
      <c r="J61" s="16"/>
      <c r="K61" s="16">
        <v>77601</v>
      </c>
      <c r="L61" s="16"/>
      <c r="M61" s="16">
        <f>402767+50050+98970+49539+89088</f>
        <v>690414</v>
      </c>
      <c r="N61" s="16"/>
      <c r="O61" s="16">
        <v>0</v>
      </c>
      <c r="P61" s="16"/>
      <c r="Q61" s="16">
        <v>0</v>
      </c>
      <c r="R61" s="16"/>
      <c r="S61" s="16">
        <v>10350</v>
      </c>
      <c r="T61" s="16"/>
      <c r="U61" s="16">
        <v>415592</v>
      </c>
      <c r="V61" s="16"/>
      <c r="W61" s="23">
        <f t="shared" si="5"/>
        <v>15575105</v>
      </c>
      <c r="X61" s="16"/>
      <c r="Y61" s="16">
        <v>1209321</v>
      </c>
      <c r="Z61" s="16"/>
      <c r="AA61" s="16">
        <v>0</v>
      </c>
      <c r="AB61" s="16"/>
      <c r="AC61" s="16">
        <v>0</v>
      </c>
      <c r="AD61" s="16"/>
      <c r="AE61" s="16">
        <v>73364</v>
      </c>
      <c r="AF61" s="16"/>
      <c r="AG61" s="16">
        <v>0</v>
      </c>
      <c r="AH61" s="3" t="s">
        <v>250</v>
      </c>
      <c r="AJ61" s="103" t="s">
        <v>191</v>
      </c>
      <c r="AK61" s="16"/>
      <c r="AL61" s="16">
        <v>0</v>
      </c>
      <c r="AM61" s="16"/>
      <c r="AN61" s="16">
        <v>0</v>
      </c>
      <c r="AO61" s="16"/>
      <c r="AP61" s="16">
        <v>0</v>
      </c>
      <c r="AQ61" s="16"/>
      <c r="AR61" s="16">
        <v>0</v>
      </c>
      <c r="AS61" s="16"/>
      <c r="AT61" s="23">
        <f t="shared" si="3"/>
        <v>1282685</v>
      </c>
      <c r="AU61" s="16"/>
      <c r="AV61" s="23">
        <f t="shared" si="4"/>
        <v>16857790</v>
      </c>
    </row>
    <row r="62" spans="1:48" s="103" customFormat="1">
      <c r="A62" s="3" t="s">
        <v>251</v>
      </c>
      <c r="C62" s="103" t="s">
        <v>200</v>
      </c>
      <c r="E62" s="103">
        <v>51672</v>
      </c>
      <c r="G62" s="16">
        <v>3995700</v>
      </c>
      <c r="H62" s="16"/>
      <c r="I62" s="16">
        <f>27657+5409746+833935</f>
        <v>6271338</v>
      </c>
      <c r="J62" s="16"/>
      <c r="K62" s="16">
        <v>33339</v>
      </c>
      <c r="L62" s="16"/>
      <c r="M62" s="16">
        <f>931851+116052+24162+7274+68166</f>
        <v>1147505</v>
      </c>
      <c r="N62" s="16"/>
      <c r="O62" s="16">
        <v>5452</v>
      </c>
      <c r="P62" s="16"/>
      <c r="Q62" s="16">
        <v>29602</v>
      </c>
      <c r="R62" s="16"/>
      <c r="S62" s="16">
        <v>74000</v>
      </c>
      <c r="T62" s="16"/>
      <c r="U62" s="16">
        <v>24850</v>
      </c>
      <c r="V62" s="16"/>
      <c r="W62" s="23">
        <f t="shared" si="5"/>
        <v>11581786</v>
      </c>
      <c r="X62" s="16"/>
      <c r="Y62" s="16">
        <v>350040</v>
      </c>
      <c r="Z62" s="16"/>
      <c r="AA62" s="16">
        <v>0</v>
      </c>
      <c r="AB62" s="16"/>
      <c r="AC62" s="16">
        <v>0</v>
      </c>
      <c r="AD62" s="16"/>
      <c r="AE62" s="16">
        <v>0</v>
      </c>
      <c r="AF62" s="16"/>
      <c r="AG62" s="16">
        <v>0</v>
      </c>
      <c r="AH62" s="3" t="s">
        <v>251</v>
      </c>
      <c r="AJ62" s="103" t="s">
        <v>200</v>
      </c>
      <c r="AK62" s="16"/>
      <c r="AL62" s="16">
        <v>157487</v>
      </c>
      <c r="AM62" s="16"/>
      <c r="AN62" s="16">
        <v>0</v>
      </c>
      <c r="AO62" s="16"/>
      <c r="AP62" s="16">
        <v>0</v>
      </c>
      <c r="AQ62" s="16"/>
      <c r="AR62" s="16">
        <v>0</v>
      </c>
      <c r="AS62" s="16"/>
      <c r="AT62" s="23">
        <f t="shared" si="3"/>
        <v>507527</v>
      </c>
      <c r="AU62" s="16"/>
      <c r="AV62" s="23">
        <f t="shared" si="4"/>
        <v>12089313</v>
      </c>
    </row>
    <row r="63" spans="1:48" s="103" customFormat="1">
      <c r="A63" s="3" t="s">
        <v>385</v>
      </c>
      <c r="C63" s="103" t="s">
        <v>201</v>
      </c>
      <c r="E63" s="103">
        <v>51474</v>
      </c>
      <c r="G63" s="16">
        <v>9334957</v>
      </c>
      <c r="H63" s="16"/>
      <c r="I63" s="16">
        <v>6952248</v>
      </c>
      <c r="J63" s="16"/>
      <c r="K63" s="16">
        <v>107789</v>
      </c>
      <c r="L63" s="16"/>
      <c r="M63" s="16">
        <f>167560+3380252+37542</f>
        <v>3585354</v>
      </c>
      <c r="N63" s="16"/>
      <c r="O63" s="16">
        <v>0</v>
      </c>
      <c r="P63" s="16"/>
      <c r="Q63" s="16">
        <v>119390</v>
      </c>
      <c r="R63" s="16"/>
      <c r="S63" s="16">
        <v>14008</v>
      </c>
      <c r="T63" s="16"/>
      <c r="U63" s="16">
        <v>202880</v>
      </c>
      <c r="V63" s="16"/>
      <c r="W63" s="23">
        <f t="shared" si="5"/>
        <v>20316626</v>
      </c>
      <c r="X63" s="16"/>
      <c r="Y63" s="16">
        <v>709841</v>
      </c>
      <c r="Z63" s="3"/>
      <c r="AA63" s="16">
        <v>0</v>
      </c>
      <c r="AB63" s="16"/>
      <c r="AC63" s="16">
        <v>0</v>
      </c>
      <c r="AD63" s="16"/>
      <c r="AE63" s="16">
        <v>0</v>
      </c>
      <c r="AF63" s="16"/>
      <c r="AG63" s="16">
        <v>0</v>
      </c>
      <c r="AH63" s="3" t="s">
        <v>385</v>
      </c>
      <c r="AJ63" s="103" t="s">
        <v>201</v>
      </c>
      <c r="AK63" s="16"/>
      <c r="AL63" s="16">
        <v>2824</v>
      </c>
      <c r="AM63" s="16"/>
      <c r="AN63" s="16"/>
      <c r="AO63" s="16"/>
      <c r="AP63" s="16">
        <v>0</v>
      </c>
      <c r="AQ63" s="16"/>
      <c r="AR63" s="16">
        <v>0</v>
      </c>
      <c r="AS63" s="16"/>
      <c r="AT63" s="23">
        <f t="shared" si="3"/>
        <v>712665</v>
      </c>
      <c r="AU63" s="16"/>
      <c r="AV63" s="23">
        <f t="shared" si="4"/>
        <v>21029291</v>
      </c>
    </row>
    <row r="64" spans="1:48" s="103" customFormat="1">
      <c r="A64" s="3" t="s">
        <v>264</v>
      </c>
      <c r="C64" s="103" t="s">
        <v>202</v>
      </c>
      <c r="E64" s="103">
        <v>51698</v>
      </c>
      <c r="G64" s="16">
        <v>1944458</v>
      </c>
      <c r="H64" s="16"/>
      <c r="I64" s="16">
        <v>4512858</v>
      </c>
      <c r="J64" s="16"/>
      <c r="K64" s="16">
        <v>161815</v>
      </c>
      <c r="L64" s="16"/>
      <c r="M64" s="16">
        <f>28628+127656</f>
        <v>156284</v>
      </c>
      <c r="N64" s="16"/>
      <c r="O64" s="16">
        <v>0</v>
      </c>
      <c r="P64" s="16"/>
      <c r="Q64" s="16">
        <v>33735</v>
      </c>
      <c r="R64" s="16"/>
      <c r="S64" s="16">
        <v>500</v>
      </c>
      <c r="T64" s="16"/>
      <c r="U64" s="16">
        <v>31323</v>
      </c>
      <c r="V64" s="16"/>
      <c r="W64" s="23">
        <f t="shared" si="5"/>
        <v>6840973</v>
      </c>
      <c r="X64" s="16"/>
      <c r="Y64" s="16">
        <v>70000</v>
      </c>
      <c r="Z64" s="16"/>
      <c r="AA64" s="16">
        <v>0</v>
      </c>
      <c r="AB64" s="16"/>
      <c r="AC64" s="16">
        <v>0</v>
      </c>
      <c r="AD64" s="16"/>
      <c r="AE64" s="16">
        <v>18370</v>
      </c>
      <c r="AF64" s="16"/>
      <c r="AG64" s="16">
        <v>0</v>
      </c>
      <c r="AH64" s="3" t="s">
        <v>264</v>
      </c>
      <c r="AJ64" s="103" t="s">
        <v>202</v>
      </c>
      <c r="AK64" s="16"/>
      <c r="AL64" s="16">
        <v>11322</v>
      </c>
      <c r="AM64" s="16"/>
      <c r="AN64" s="16"/>
      <c r="AO64" s="16"/>
      <c r="AP64" s="16">
        <v>0</v>
      </c>
      <c r="AQ64" s="16"/>
      <c r="AR64" s="16">
        <v>0</v>
      </c>
      <c r="AS64" s="16"/>
      <c r="AT64" s="23">
        <f t="shared" si="3"/>
        <v>99692</v>
      </c>
      <c r="AU64" s="16"/>
      <c r="AV64" s="23">
        <f t="shared" si="4"/>
        <v>6940665</v>
      </c>
    </row>
    <row r="65" spans="1:49" s="103" customFormat="1">
      <c r="A65" s="3" t="s">
        <v>352</v>
      </c>
      <c r="C65" s="103" t="s">
        <v>203</v>
      </c>
      <c r="E65" s="103">
        <v>51714</v>
      </c>
      <c r="G65" s="16">
        <v>5303899</v>
      </c>
      <c r="H65" s="16"/>
      <c r="I65" s="16">
        <v>8513247</v>
      </c>
      <c r="J65" s="16"/>
      <c r="K65" s="16">
        <v>12955</v>
      </c>
      <c r="L65" s="16"/>
      <c r="M65" s="16">
        <f>1323666+11200+189697</f>
        <v>1524563</v>
      </c>
      <c r="N65" s="16"/>
      <c r="O65" s="16">
        <v>2249</v>
      </c>
      <c r="P65" s="16"/>
      <c r="Q65" s="16">
        <v>1335</v>
      </c>
      <c r="R65" s="16"/>
      <c r="S65" s="16">
        <v>114753</v>
      </c>
      <c r="T65" s="16"/>
      <c r="U65" s="16">
        <v>3112</v>
      </c>
      <c r="V65" s="16"/>
      <c r="W65" s="23">
        <f t="shared" si="5"/>
        <v>15476113</v>
      </c>
      <c r="X65" s="16"/>
      <c r="Y65" s="16">
        <v>164757</v>
      </c>
      <c r="Z65" s="16"/>
      <c r="AA65" s="16">
        <v>0</v>
      </c>
      <c r="AB65" s="16"/>
      <c r="AC65" s="16">
        <v>0</v>
      </c>
      <c r="AD65" s="16"/>
      <c r="AE65" s="16">
        <v>0</v>
      </c>
      <c r="AF65" s="16"/>
      <c r="AG65" s="16">
        <v>0</v>
      </c>
      <c r="AH65" s="3" t="s">
        <v>352</v>
      </c>
      <c r="AJ65" s="103" t="s">
        <v>203</v>
      </c>
      <c r="AK65" s="16"/>
      <c r="AL65" s="16">
        <v>10010</v>
      </c>
      <c r="AM65" s="16"/>
      <c r="AN65" s="16"/>
      <c r="AO65" s="16"/>
      <c r="AP65" s="16">
        <v>0</v>
      </c>
      <c r="AQ65" s="16"/>
      <c r="AR65" s="16">
        <v>0</v>
      </c>
      <c r="AS65" s="16"/>
      <c r="AT65" s="23">
        <f t="shared" si="3"/>
        <v>174767</v>
      </c>
      <c r="AU65" s="16"/>
      <c r="AV65" s="23">
        <f t="shared" si="4"/>
        <v>15650880</v>
      </c>
    </row>
    <row r="66" spans="1:49" s="15" customFormat="1">
      <c r="A66" s="3"/>
      <c r="C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B66" s="103"/>
      <c r="AC66" s="103"/>
      <c r="AE66" s="3"/>
      <c r="AF66" s="3"/>
      <c r="AG66" s="3"/>
      <c r="AH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23"/>
      <c r="AU66" s="3"/>
      <c r="AV66" s="3"/>
    </row>
    <row r="67" spans="1:49" s="15" customFormat="1">
      <c r="A67" s="121"/>
      <c r="B67" s="121"/>
      <c r="C67" s="121"/>
      <c r="D67" s="121"/>
      <c r="E67" s="121"/>
      <c r="F67" s="121"/>
      <c r="G67" s="121"/>
      <c r="AB67" s="103"/>
      <c r="AC67" s="33"/>
      <c r="AE67" s="3"/>
      <c r="AK67" s="3"/>
      <c r="AL67" s="16"/>
      <c r="AM67" s="3"/>
      <c r="AN67" s="3"/>
      <c r="AO67" s="3"/>
      <c r="AP67" s="3"/>
      <c r="AQ67" s="3"/>
      <c r="AR67" s="3"/>
      <c r="AS67" s="3"/>
      <c r="AT67" s="23"/>
      <c r="AU67" s="3"/>
      <c r="AV67" s="16"/>
    </row>
    <row r="68" spans="1:49" s="15" customFormat="1">
      <c r="A68" s="34" t="s">
        <v>253</v>
      </c>
      <c r="AB68" s="103"/>
      <c r="AC68" s="103"/>
      <c r="AE68" s="3"/>
      <c r="AH68" s="34" t="s">
        <v>253</v>
      </c>
      <c r="AK68" s="3"/>
      <c r="AL68" s="3"/>
      <c r="AM68" s="3"/>
      <c r="AN68" s="3"/>
      <c r="AO68" s="3"/>
      <c r="AP68" s="3"/>
      <c r="AQ68" s="3"/>
      <c r="AR68" s="3"/>
      <c r="AS68" s="3"/>
      <c r="AT68" s="23"/>
      <c r="AU68" s="3"/>
      <c r="AV68" s="3"/>
    </row>
    <row r="69" spans="1:49" s="15" customFormat="1">
      <c r="A69" s="34"/>
      <c r="AB69" s="103"/>
      <c r="AC69" s="103"/>
      <c r="AE69" s="3"/>
      <c r="AH69" s="34"/>
      <c r="AK69" s="3"/>
      <c r="AL69" s="3"/>
      <c r="AM69" s="3"/>
      <c r="AN69" s="3"/>
      <c r="AO69" s="3"/>
      <c r="AP69" s="3"/>
      <c r="AQ69" s="3"/>
      <c r="AR69" s="3"/>
      <c r="AS69" s="3"/>
      <c r="AT69" s="23"/>
      <c r="AU69" s="3"/>
      <c r="AV69" s="3"/>
    </row>
    <row r="70" spans="1:49" s="61" customFormat="1" hidden="1">
      <c r="A70" s="58" t="s">
        <v>327</v>
      </c>
      <c r="B70" s="58"/>
      <c r="C70" s="58" t="s">
        <v>260</v>
      </c>
      <c r="E70" s="75">
        <v>45740</v>
      </c>
      <c r="G70" s="60">
        <v>0</v>
      </c>
      <c r="H70" s="60"/>
      <c r="I70" s="60">
        <v>0</v>
      </c>
      <c r="J70" s="60"/>
      <c r="K70" s="60">
        <v>0</v>
      </c>
      <c r="L70" s="60"/>
      <c r="M70" s="60">
        <v>0</v>
      </c>
      <c r="N70" s="60"/>
      <c r="O70" s="60">
        <v>0</v>
      </c>
      <c r="P70" s="60"/>
      <c r="Q70" s="60">
        <v>0</v>
      </c>
      <c r="R70" s="60"/>
      <c r="S70" s="60">
        <v>0</v>
      </c>
      <c r="T70" s="60"/>
      <c r="U70" s="60">
        <v>0</v>
      </c>
      <c r="V70" s="60"/>
      <c r="W70" s="62">
        <f t="shared" ref="W70:W101" si="6">SUM(G70:V70)</f>
        <v>0</v>
      </c>
      <c r="X70" s="60"/>
      <c r="Y70" s="60">
        <v>0</v>
      </c>
      <c r="Z70" s="60"/>
      <c r="AA70" s="60">
        <v>0</v>
      </c>
      <c r="AB70" s="60"/>
      <c r="AC70" s="60">
        <v>0</v>
      </c>
      <c r="AD70" s="60"/>
      <c r="AE70" s="60">
        <v>0</v>
      </c>
      <c r="AF70" s="60"/>
      <c r="AG70" s="60">
        <v>0</v>
      </c>
      <c r="AH70" s="58" t="s">
        <v>327</v>
      </c>
      <c r="AI70" s="58"/>
      <c r="AJ70" s="58" t="s">
        <v>260</v>
      </c>
      <c r="AK70" s="60"/>
      <c r="AL70" s="60">
        <v>0</v>
      </c>
      <c r="AM70" s="60"/>
      <c r="AN70" s="60"/>
      <c r="AO70" s="60"/>
      <c r="AP70" s="60">
        <v>0</v>
      </c>
      <c r="AQ70" s="60"/>
      <c r="AR70" s="60">
        <v>0</v>
      </c>
      <c r="AS70" s="60"/>
      <c r="AT70" s="62">
        <f t="shared" ref="AT70:AT93" si="7">SUM(Y70:AR70)</f>
        <v>0</v>
      </c>
      <c r="AU70" s="60"/>
      <c r="AV70" s="62">
        <f t="shared" ref="AV70:AV93" si="8">+AT70+W70</f>
        <v>0</v>
      </c>
    </row>
    <row r="71" spans="1:49" s="61" customFormat="1" hidden="1">
      <c r="A71" s="58" t="s">
        <v>328</v>
      </c>
      <c r="B71" s="58"/>
      <c r="C71" s="58" t="s">
        <v>144</v>
      </c>
      <c r="E71" s="75">
        <v>45849</v>
      </c>
      <c r="G71" s="60">
        <v>0</v>
      </c>
      <c r="H71" s="60"/>
      <c r="I71" s="60">
        <v>0</v>
      </c>
      <c r="J71" s="60"/>
      <c r="K71" s="60">
        <v>0</v>
      </c>
      <c r="L71" s="60"/>
      <c r="M71" s="60">
        <v>0</v>
      </c>
      <c r="N71" s="60"/>
      <c r="O71" s="60">
        <v>0</v>
      </c>
      <c r="P71" s="60"/>
      <c r="Q71" s="60">
        <v>0</v>
      </c>
      <c r="R71" s="60"/>
      <c r="S71" s="60">
        <v>0</v>
      </c>
      <c r="T71" s="60"/>
      <c r="U71" s="60">
        <v>0</v>
      </c>
      <c r="V71" s="60"/>
      <c r="W71" s="62">
        <f t="shared" si="6"/>
        <v>0</v>
      </c>
      <c r="X71" s="60"/>
      <c r="Y71" s="60">
        <v>0</v>
      </c>
      <c r="Z71" s="60"/>
      <c r="AA71" s="60">
        <v>0</v>
      </c>
      <c r="AB71" s="60"/>
      <c r="AC71" s="60">
        <v>0</v>
      </c>
      <c r="AD71" s="60"/>
      <c r="AE71" s="60">
        <v>0</v>
      </c>
      <c r="AF71" s="60"/>
      <c r="AG71" s="60">
        <v>0</v>
      </c>
      <c r="AH71" s="58" t="s">
        <v>328</v>
      </c>
      <c r="AI71" s="58"/>
      <c r="AJ71" s="58" t="s">
        <v>144</v>
      </c>
      <c r="AK71" s="60"/>
      <c r="AL71" s="60">
        <v>0</v>
      </c>
      <c r="AM71" s="60"/>
      <c r="AN71" s="60"/>
      <c r="AO71" s="60"/>
      <c r="AP71" s="60">
        <v>0</v>
      </c>
      <c r="AQ71" s="60"/>
      <c r="AR71" s="60">
        <v>0</v>
      </c>
      <c r="AS71" s="60"/>
      <c r="AT71" s="62">
        <f t="shared" si="7"/>
        <v>0</v>
      </c>
      <c r="AU71" s="60"/>
      <c r="AV71" s="62">
        <f t="shared" si="8"/>
        <v>0</v>
      </c>
    </row>
    <row r="72" spans="1:49" s="103" customFormat="1">
      <c r="A72" s="3" t="s">
        <v>148</v>
      </c>
      <c r="C72" s="103" t="s">
        <v>145</v>
      </c>
      <c r="E72" s="103">
        <v>135145</v>
      </c>
      <c r="G72" s="115">
        <v>0</v>
      </c>
      <c r="H72" s="115"/>
      <c r="I72" s="115">
        <v>5131277</v>
      </c>
      <c r="J72" s="115"/>
      <c r="K72" s="115">
        <v>6207</v>
      </c>
      <c r="L72" s="115"/>
      <c r="M72" s="115">
        <f>2834157+924647</f>
        <v>3758804</v>
      </c>
      <c r="N72" s="115"/>
      <c r="O72" s="115">
        <v>0</v>
      </c>
      <c r="P72" s="115"/>
      <c r="Q72" s="115">
        <v>0</v>
      </c>
      <c r="R72" s="115"/>
      <c r="S72" s="115">
        <v>96</v>
      </c>
      <c r="T72" s="115"/>
      <c r="U72" s="115">
        <v>203171</v>
      </c>
      <c r="V72" s="115"/>
      <c r="W72" s="117">
        <f t="shared" si="6"/>
        <v>9099555</v>
      </c>
      <c r="X72" s="115"/>
      <c r="Y72" s="115">
        <v>0</v>
      </c>
      <c r="Z72" s="115"/>
      <c r="AA72" s="115">
        <v>0</v>
      </c>
      <c r="AB72" s="115"/>
      <c r="AC72" s="115">
        <v>0</v>
      </c>
      <c r="AD72" s="115"/>
      <c r="AE72" s="115">
        <v>0</v>
      </c>
      <c r="AF72" s="115"/>
      <c r="AG72" s="115">
        <v>0</v>
      </c>
      <c r="AH72" s="3" t="s">
        <v>148</v>
      </c>
      <c r="AJ72" s="103" t="s">
        <v>145</v>
      </c>
      <c r="AK72" s="115"/>
      <c r="AL72" s="115">
        <v>0</v>
      </c>
      <c r="AM72" s="115"/>
      <c r="AN72" s="115"/>
      <c r="AO72" s="115"/>
      <c r="AP72" s="115">
        <v>0</v>
      </c>
      <c r="AQ72" s="115"/>
      <c r="AR72" s="115">
        <v>0</v>
      </c>
      <c r="AS72" s="115"/>
      <c r="AT72" s="117">
        <f t="shared" si="7"/>
        <v>0</v>
      </c>
      <c r="AU72" s="115"/>
      <c r="AV72" s="117">
        <f t="shared" si="8"/>
        <v>9099555</v>
      </c>
      <c r="AW72" s="19"/>
    </row>
    <row r="73" spans="1:49" s="59" customFormat="1" hidden="1">
      <c r="A73" s="58" t="s">
        <v>329</v>
      </c>
      <c r="B73" s="58"/>
      <c r="C73" s="58" t="s">
        <v>261</v>
      </c>
      <c r="E73" s="59">
        <v>45930</v>
      </c>
      <c r="G73" s="60">
        <v>0</v>
      </c>
      <c r="H73" s="60"/>
      <c r="I73" s="60">
        <v>0</v>
      </c>
      <c r="J73" s="60"/>
      <c r="K73" s="60">
        <v>0</v>
      </c>
      <c r="L73" s="60"/>
      <c r="M73" s="60">
        <v>0</v>
      </c>
      <c r="N73" s="60"/>
      <c r="O73" s="60">
        <v>0</v>
      </c>
      <c r="P73" s="60"/>
      <c r="Q73" s="60">
        <v>0</v>
      </c>
      <c r="R73" s="60"/>
      <c r="S73" s="60">
        <v>0</v>
      </c>
      <c r="T73" s="60"/>
      <c r="U73" s="60">
        <v>0</v>
      </c>
      <c r="V73" s="60"/>
      <c r="W73" s="62">
        <f t="shared" si="6"/>
        <v>0</v>
      </c>
      <c r="X73" s="60"/>
      <c r="Y73" s="60">
        <v>0</v>
      </c>
      <c r="Z73" s="60"/>
      <c r="AA73" s="60">
        <v>0</v>
      </c>
      <c r="AB73" s="60"/>
      <c r="AC73" s="60">
        <v>0</v>
      </c>
      <c r="AD73" s="60"/>
      <c r="AE73" s="60">
        <v>0</v>
      </c>
      <c r="AF73" s="60"/>
      <c r="AG73" s="60"/>
      <c r="AH73" s="58" t="s">
        <v>329</v>
      </c>
      <c r="AI73" s="58"/>
      <c r="AJ73" s="58" t="s">
        <v>261</v>
      </c>
      <c r="AK73" s="60"/>
      <c r="AL73" s="60">
        <v>0</v>
      </c>
      <c r="AM73" s="60"/>
      <c r="AN73" s="60"/>
      <c r="AO73" s="60"/>
      <c r="AP73" s="60">
        <v>0</v>
      </c>
      <c r="AQ73" s="60"/>
      <c r="AR73" s="60">
        <v>0</v>
      </c>
      <c r="AS73" s="60"/>
      <c r="AT73" s="62">
        <f t="shared" si="7"/>
        <v>0</v>
      </c>
      <c r="AU73" s="60"/>
      <c r="AV73" s="62">
        <f t="shared" si="8"/>
        <v>0</v>
      </c>
    </row>
    <row r="74" spans="1:49" s="103" customFormat="1">
      <c r="A74" s="103" t="s">
        <v>286</v>
      </c>
      <c r="C74" s="103" t="s">
        <v>150</v>
      </c>
      <c r="E74" s="103">
        <v>46029</v>
      </c>
      <c r="G74" s="16">
        <v>0</v>
      </c>
      <c r="H74" s="16"/>
      <c r="I74" s="16">
        <v>961385</v>
      </c>
      <c r="J74" s="16"/>
      <c r="K74" s="16">
        <v>6562</v>
      </c>
      <c r="L74" s="16"/>
      <c r="M74" s="16">
        <f>109841+3409497</f>
        <v>3519338</v>
      </c>
      <c r="N74" s="16"/>
      <c r="O74" s="16">
        <v>0</v>
      </c>
      <c r="P74" s="16"/>
      <c r="Q74" s="16">
        <v>0</v>
      </c>
      <c r="R74" s="16"/>
      <c r="S74" s="16">
        <v>0</v>
      </c>
      <c r="T74" s="16"/>
      <c r="U74" s="16">
        <v>0</v>
      </c>
      <c r="V74" s="16"/>
      <c r="W74" s="23">
        <f t="shared" si="6"/>
        <v>4487285</v>
      </c>
      <c r="X74" s="16"/>
      <c r="Y74" s="16">
        <v>0</v>
      </c>
      <c r="Z74" s="16"/>
      <c r="AA74" s="16">
        <v>0</v>
      </c>
      <c r="AB74" s="16"/>
      <c r="AC74" s="16">
        <v>0</v>
      </c>
      <c r="AD74" s="16"/>
      <c r="AE74" s="16">
        <v>0</v>
      </c>
      <c r="AF74" s="16"/>
      <c r="AG74" s="16">
        <v>0</v>
      </c>
      <c r="AH74" s="103" t="s">
        <v>286</v>
      </c>
      <c r="AJ74" s="103" t="s">
        <v>150</v>
      </c>
      <c r="AK74" s="16"/>
      <c r="AL74" s="16">
        <v>0</v>
      </c>
      <c r="AM74" s="16"/>
      <c r="AN74" s="16">
        <v>0</v>
      </c>
      <c r="AO74" s="16"/>
      <c r="AP74" s="16">
        <v>0</v>
      </c>
      <c r="AQ74" s="16"/>
      <c r="AR74" s="16">
        <v>0</v>
      </c>
      <c r="AS74" s="16"/>
      <c r="AT74" s="23">
        <f t="shared" si="7"/>
        <v>0</v>
      </c>
      <c r="AU74" s="16"/>
      <c r="AV74" s="23">
        <f t="shared" si="8"/>
        <v>4487285</v>
      </c>
    </row>
    <row r="75" spans="1:49" s="103" customFormat="1">
      <c r="A75" s="103" t="s">
        <v>287</v>
      </c>
      <c r="C75" s="103" t="s">
        <v>147</v>
      </c>
      <c r="E75" s="103">
        <v>46086</v>
      </c>
      <c r="G75" s="16">
        <v>0</v>
      </c>
      <c r="H75" s="16"/>
      <c r="I75" s="16">
        <v>8623392</v>
      </c>
      <c r="J75" s="16"/>
      <c r="K75" s="16">
        <v>1107</v>
      </c>
      <c r="L75" s="16"/>
      <c r="M75" s="16">
        <v>14755227</v>
      </c>
      <c r="N75" s="16"/>
      <c r="O75" s="16">
        <v>0</v>
      </c>
      <c r="P75" s="16"/>
      <c r="Q75" s="16">
        <v>0</v>
      </c>
      <c r="R75" s="16"/>
      <c r="S75" s="16">
        <v>0</v>
      </c>
      <c r="T75" s="16"/>
      <c r="U75" s="16">
        <f>712854</f>
        <v>712854</v>
      </c>
      <c r="V75" s="16"/>
      <c r="W75" s="23">
        <f t="shared" si="6"/>
        <v>24092580</v>
      </c>
      <c r="X75" s="16"/>
      <c r="Y75" s="16">
        <v>2150</v>
      </c>
      <c r="Z75" s="16"/>
      <c r="AA75" s="16">
        <v>0</v>
      </c>
      <c r="AB75" s="16"/>
      <c r="AC75" s="16">
        <v>0</v>
      </c>
      <c r="AD75" s="16"/>
      <c r="AE75" s="16">
        <v>0</v>
      </c>
      <c r="AF75" s="16"/>
      <c r="AG75" s="16">
        <v>0</v>
      </c>
      <c r="AH75" s="103" t="s">
        <v>287</v>
      </c>
      <c r="AJ75" s="103" t="s">
        <v>147</v>
      </c>
      <c r="AK75" s="16"/>
      <c r="AL75" s="16">
        <v>0</v>
      </c>
      <c r="AM75" s="16"/>
      <c r="AN75" s="16">
        <v>0</v>
      </c>
      <c r="AO75" s="16"/>
      <c r="AP75" s="16">
        <v>0</v>
      </c>
      <c r="AQ75" s="16"/>
      <c r="AR75" s="16">
        <v>0</v>
      </c>
      <c r="AS75" s="16"/>
      <c r="AT75" s="23">
        <f t="shared" si="7"/>
        <v>2150</v>
      </c>
      <c r="AU75" s="16"/>
      <c r="AV75" s="23">
        <f t="shared" si="8"/>
        <v>24094730</v>
      </c>
    </row>
    <row r="76" spans="1:49" s="103" customFormat="1">
      <c r="A76" s="103" t="s">
        <v>288</v>
      </c>
      <c r="C76" s="103" t="s">
        <v>152</v>
      </c>
      <c r="E76" s="103">
        <v>46227</v>
      </c>
      <c r="G76" s="16">
        <v>0</v>
      </c>
      <c r="H76" s="16"/>
      <c r="I76" s="16">
        <v>1591982</v>
      </c>
      <c r="J76" s="16"/>
      <c r="K76" s="16">
        <v>1489</v>
      </c>
      <c r="L76" s="16"/>
      <c r="M76" s="16">
        <f>459145+3696802</f>
        <v>4155947</v>
      </c>
      <c r="N76" s="16"/>
      <c r="O76" s="16">
        <v>0</v>
      </c>
      <c r="P76" s="16"/>
      <c r="Q76" s="16">
        <v>0</v>
      </c>
      <c r="R76" s="16"/>
      <c r="S76" s="16">
        <v>0</v>
      </c>
      <c r="T76" s="16"/>
      <c r="U76" s="16">
        <v>270612</v>
      </c>
      <c r="V76" s="16"/>
      <c r="W76" s="23">
        <f t="shared" si="6"/>
        <v>6020030</v>
      </c>
      <c r="X76" s="16"/>
      <c r="Y76" s="16">
        <v>0</v>
      </c>
      <c r="Z76" s="16"/>
      <c r="AA76" s="16">
        <v>0</v>
      </c>
      <c r="AB76" s="16"/>
      <c r="AC76" s="16">
        <v>0</v>
      </c>
      <c r="AD76" s="16"/>
      <c r="AE76" s="16">
        <v>0</v>
      </c>
      <c r="AF76" s="16"/>
      <c r="AG76" s="16">
        <v>0</v>
      </c>
      <c r="AH76" s="103" t="s">
        <v>288</v>
      </c>
      <c r="AJ76" s="103" t="s">
        <v>152</v>
      </c>
      <c r="AK76" s="16"/>
      <c r="AL76" s="16">
        <v>0</v>
      </c>
      <c r="AM76" s="16"/>
      <c r="AN76" s="16"/>
      <c r="AO76" s="16"/>
      <c r="AP76" s="16">
        <v>0</v>
      </c>
      <c r="AQ76" s="16"/>
      <c r="AR76" s="16">
        <v>0</v>
      </c>
      <c r="AS76" s="16"/>
      <c r="AT76" s="23">
        <f t="shared" si="7"/>
        <v>0</v>
      </c>
      <c r="AU76" s="16"/>
      <c r="AV76" s="23">
        <f t="shared" si="8"/>
        <v>6020030</v>
      </c>
    </row>
    <row r="77" spans="1:49" s="103" customFormat="1">
      <c r="A77" s="3" t="s">
        <v>153</v>
      </c>
      <c r="C77" s="103" t="s">
        <v>154</v>
      </c>
      <c r="E77" s="103">
        <v>46292</v>
      </c>
      <c r="G77" s="16">
        <v>0</v>
      </c>
      <c r="H77" s="16"/>
      <c r="I77" s="16">
        <v>1857485</v>
      </c>
      <c r="J77" s="16"/>
      <c r="K77" s="16">
        <v>2529</v>
      </c>
      <c r="L77" s="16"/>
      <c r="M77" s="16">
        <f>14718460+207221</f>
        <v>14925681</v>
      </c>
      <c r="N77" s="16"/>
      <c r="O77" s="16">
        <v>0</v>
      </c>
      <c r="P77" s="16"/>
      <c r="Q77" s="16">
        <v>0</v>
      </c>
      <c r="R77" s="16"/>
      <c r="S77" s="16">
        <v>6965</v>
      </c>
      <c r="T77" s="16"/>
      <c r="U77" s="16">
        <f>550894+84086</f>
        <v>634980</v>
      </c>
      <c r="V77" s="16"/>
      <c r="W77" s="23">
        <f t="shared" si="6"/>
        <v>17427640</v>
      </c>
      <c r="X77" s="16"/>
      <c r="Y77" s="16">
        <v>10000</v>
      </c>
      <c r="Z77" s="16"/>
      <c r="AA77" s="16">
        <v>0</v>
      </c>
      <c r="AB77" s="16"/>
      <c r="AC77" s="16">
        <v>0</v>
      </c>
      <c r="AD77" s="16"/>
      <c r="AE77" s="16">
        <v>0</v>
      </c>
      <c r="AF77" s="16"/>
      <c r="AG77" s="16">
        <v>0</v>
      </c>
      <c r="AH77" s="3" t="s">
        <v>153</v>
      </c>
      <c r="AJ77" s="103" t="s">
        <v>154</v>
      </c>
      <c r="AK77" s="16"/>
      <c r="AL77" s="16">
        <v>0</v>
      </c>
      <c r="AM77" s="16"/>
      <c r="AN77" s="16">
        <v>0</v>
      </c>
      <c r="AO77" s="16"/>
      <c r="AP77" s="16">
        <v>0</v>
      </c>
      <c r="AQ77" s="16"/>
      <c r="AR77" s="16">
        <v>0</v>
      </c>
      <c r="AS77" s="16"/>
      <c r="AT77" s="23">
        <f t="shared" si="7"/>
        <v>10000</v>
      </c>
      <c r="AU77" s="16"/>
      <c r="AV77" s="23">
        <f t="shared" si="8"/>
        <v>17437640</v>
      </c>
    </row>
    <row r="78" spans="1:49" s="89" customFormat="1" hidden="1">
      <c r="A78" s="89" t="s">
        <v>276</v>
      </c>
      <c r="C78" s="89" t="s">
        <v>155</v>
      </c>
      <c r="E78" s="89">
        <v>46375</v>
      </c>
      <c r="G78" s="90">
        <v>0</v>
      </c>
      <c r="H78" s="90"/>
      <c r="I78" s="90">
        <v>0</v>
      </c>
      <c r="J78" s="90"/>
      <c r="K78" s="90">
        <v>0</v>
      </c>
      <c r="L78" s="90"/>
      <c r="M78" s="90">
        <v>0</v>
      </c>
      <c r="N78" s="90"/>
      <c r="O78" s="90">
        <v>0</v>
      </c>
      <c r="P78" s="90"/>
      <c r="Q78" s="90">
        <v>0</v>
      </c>
      <c r="R78" s="90"/>
      <c r="S78" s="90">
        <v>0</v>
      </c>
      <c r="T78" s="90"/>
      <c r="U78" s="90">
        <v>0</v>
      </c>
      <c r="V78" s="90"/>
      <c r="W78" s="97">
        <f t="shared" si="6"/>
        <v>0</v>
      </c>
      <c r="X78" s="90"/>
      <c r="Y78" s="90">
        <v>0</v>
      </c>
      <c r="Z78" s="90"/>
      <c r="AA78" s="90">
        <v>0</v>
      </c>
      <c r="AB78" s="90"/>
      <c r="AC78" s="90">
        <v>0</v>
      </c>
      <c r="AD78" s="90"/>
      <c r="AE78" s="90">
        <v>0</v>
      </c>
      <c r="AF78" s="90"/>
      <c r="AG78" s="90"/>
      <c r="AH78" s="89" t="s">
        <v>276</v>
      </c>
      <c r="AJ78" s="89" t="s">
        <v>155</v>
      </c>
      <c r="AK78" s="90"/>
      <c r="AL78" s="90">
        <v>0</v>
      </c>
      <c r="AM78" s="90"/>
      <c r="AN78" s="90"/>
      <c r="AO78" s="90"/>
      <c r="AP78" s="90">
        <v>0</v>
      </c>
      <c r="AQ78" s="90"/>
      <c r="AR78" s="90">
        <v>0</v>
      </c>
      <c r="AS78" s="90"/>
      <c r="AT78" s="97">
        <f t="shared" si="7"/>
        <v>0</v>
      </c>
      <c r="AU78" s="90"/>
      <c r="AV78" s="97">
        <f t="shared" si="8"/>
        <v>0</v>
      </c>
    </row>
    <row r="79" spans="1:49" s="103" customFormat="1">
      <c r="A79" s="103" t="s">
        <v>304</v>
      </c>
      <c r="C79" s="103" t="s">
        <v>156</v>
      </c>
      <c r="E79" s="103">
        <v>46417</v>
      </c>
      <c r="G79" s="16">
        <v>0</v>
      </c>
      <c r="H79" s="16"/>
      <c r="I79" s="16">
        <f>1625+1404352+663291</f>
        <v>2069268</v>
      </c>
      <c r="J79" s="16"/>
      <c r="K79" s="16">
        <v>46</v>
      </c>
      <c r="L79" s="16"/>
      <c r="M79" s="16">
        <f>7883439+1800</f>
        <v>7885239</v>
      </c>
      <c r="N79" s="16"/>
      <c r="O79" s="16">
        <v>1219</v>
      </c>
      <c r="P79" s="16"/>
      <c r="Q79" s="16">
        <v>0</v>
      </c>
      <c r="R79" s="16"/>
      <c r="S79" s="16">
        <v>3346</v>
      </c>
      <c r="T79" s="16"/>
      <c r="U79" s="16">
        <f>691387+3309</f>
        <v>694696</v>
      </c>
      <c r="V79" s="16"/>
      <c r="W79" s="23">
        <f t="shared" si="6"/>
        <v>10653814</v>
      </c>
      <c r="X79" s="16"/>
      <c r="Y79" s="16">
        <v>0</v>
      </c>
      <c r="Z79" s="16"/>
      <c r="AA79" s="16">
        <v>0</v>
      </c>
      <c r="AB79" s="16"/>
      <c r="AC79" s="16">
        <v>0</v>
      </c>
      <c r="AD79" s="16"/>
      <c r="AE79" s="16">
        <v>0</v>
      </c>
      <c r="AF79" s="16"/>
      <c r="AG79" s="16">
        <v>0</v>
      </c>
      <c r="AH79" s="103" t="s">
        <v>304</v>
      </c>
      <c r="AJ79" s="103" t="s">
        <v>156</v>
      </c>
      <c r="AK79" s="16"/>
      <c r="AL79" s="16">
        <v>0</v>
      </c>
      <c r="AM79" s="16"/>
      <c r="AN79" s="16"/>
      <c r="AO79" s="16"/>
      <c r="AP79" s="16">
        <v>0</v>
      </c>
      <c r="AQ79" s="16"/>
      <c r="AR79" s="16">
        <v>0</v>
      </c>
      <c r="AS79" s="16"/>
      <c r="AT79" s="23">
        <f t="shared" si="7"/>
        <v>0</v>
      </c>
      <c r="AU79" s="16"/>
      <c r="AV79" s="23">
        <f t="shared" si="8"/>
        <v>10653814</v>
      </c>
    </row>
    <row r="80" spans="1:49" s="103" customFormat="1">
      <c r="A80" s="3" t="s">
        <v>306</v>
      </c>
      <c r="C80" s="103" t="s">
        <v>157</v>
      </c>
      <c r="E80" s="103">
        <v>46532</v>
      </c>
      <c r="G80" s="16">
        <v>0</v>
      </c>
      <c r="H80" s="16"/>
      <c r="I80" s="16">
        <v>19833301</v>
      </c>
      <c r="J80" s="16"/>
      <c r="K80" s="16">
        <v>44275</v>
      </c>
      <c r="L80" s="16"/>
      <c r="M80" s="16">
        <f>31431910+714863+12427357</f>
        <v>44574130</v>
      </c>
      <c r="N80" s="16"/>
      <c r="O80" s="16">
        <v>25</v>
      </c>
      <c r="P80" s="16"/>
      <c r="Q80" s="16">
        <v>0</v>
      </c>
      <c r="R80" s="16"/>
      <c r="S80" s="16">
        <v>85056</v>
      </c>
      <c r="T80" s="16"/>
      <c r="U80" s="16">
        <v>1254915</v>
      </c>
      <c r="V80" s="16"/>
      <c r="W80" s="23">
        <f t="shared" si="6"/>
        <v>65791702</v>
      </c>
      <c r="X80" s="16"/>
      <c r="Y80" s="16">
        <v>0</v>
      </c>
      <c r="Z80" s="16"/>
      <c r="AA80" s="16">
        <v>0</v>
      </c>
      <c r="AB80" s="16"/>
      <c r="AC80" s="16">
        <v>0</v>
      </c>
      <c r="AD80" s="16"/>
      <c r="AE80" s="16">
        <v>0</v>
      </c>
      <c r="AF80" s="16"/>
      <c r="AG80" s="16">
        <v>0</v>
      </c>
      <c r="AH80" s="3" t="s">
        <v>306</v>
      </c>
      <c r="AJ80" s="103" t="s">
        <v>157</v>
      </c>
      <c r="AK80" s="16"/>
      <c r="AL80" s="16">
        <v>0</v>
      </c>
      <c r="AM80" s="16"/>
      <c r="AN80" s="16"/>
      <c r="AO80" s="16"/>
      <c r="AP80" s="16">
        <v>2500000</v>
      </c>
      <c r="AQ80" s="16"/>
      <c r="AR80" s="16">
        <v>0</v>
      </c>
      <c r="AS80" s="16"/>
      <c r="AT80" s="23">
        <f t="shared" si="7"/>
        <v>2500000</v>
      </c>
      <c r="AU80" s="16"/>
      <c r="AV80" s="23">
        <f t="shared" si="8"/>
        <v>68291702</v>
      </c>
    </row>
    <row r="81" spans="1:48" s="59" customFormat="1" hidden="1">
      <c r="A81" s="58" t="s">
        <v>309</v>
      </c>
      <c r="C81" s="59" t="s">
        <v>158</v>
      </c>
      <c r="E81" s="59">
        <v>46615</v>
      </c>
      <c r="G81" s="60">
        <v>0</v>
      </c>
      <c r="H81" s="60"/>
      <c r="I81" s="60">
        <v>0</v>
      </c>
      <c r="J81" s="60"/>
      <c r="K81" s="60">
        <v>0</v>
      </c>
      <c r="L81" s="60"/>
      <c r="M81" s="60">
        <v>0</v>
      </c>
      <c r="N81" s="60"/>
      <c r="O81" s="60">
        <v>0</v>
      </c>
      <c r="P81" s="60"/>
      <c r="Q81" s="60">
        <v>0</v>
      </c>
      <c r="R81" s="60"/>
      <c r="S81" s="60">
        <v>0</v>
      </c>
      <c r="T81" s="60"/>
      <c r="U81" s="60">
        <v>0</v>
      </c>
      <c r="V81" s="60"/>
      <c r="W81" s="62">
        <f t="shared" si="6"/>
        <v>0</v>
      </c>
      <c r="X81" s="60"/>
      <c r="Y81" s="60">
        <v>0</v>
      </c>
      <c r="Z81" s="60"/>
      <c r="AA81" s="60">
        <v>0</v>
      </c>
      <c r="AB81" s="60"/>
      <c r="AC81" s="60">
        <v>0</v>
      </c>
      <c r="AD81" s="60"/>
      <c r="AE81" s="60">
        <v>0</v>
      </c>
      <c r="AF81" s="60"/>
      <c r="AG81" s="60"/>
      <c r="AH81" s="58" t="s">
        <v>309</v>
      </c>
      <c r="AJ81" s="59" t="s">
        <v>158</v>
      </c>
      <c r="AK81" s="60"/>
      <c r="AL81" s="60">
        <v>0</v>
      </c>
      <c r="AM81" s="60"/>
      <c r="AN81" s="60"/>
      <c r="AO81" s="60"/>
      <c r="AP81" s="60">
        <v>0</v>
      </c>
      <c r="AQ81" s="60"/>
      <c r="AR81" s="60">
        <v>0</v>
      </c>
      <c r="AS81" s="60"/>
      <c r="AT81" s="62">
        <f t="shared" si="7"/>
        <v>0</v>
      </c>
      <c r="AU81" s="60"/>
      <c r="AV81" s="62">
        <f t="shared" si="8"/>
        <v>0</v>
      </c>
    </row>
    <row r="82" spans="1:48" s="89" customFormat="1" hidden="1">
      <c r="A82" s="88" t="s">
        <v>305</v>
      </c>
      <c r="C82" s="89" t="s">
        <v>159</v>
      </c>
      <c r="E82" s="89">
        <v>46730</v>
      </c>
      <c r="G82" s="90">
        <v>0</v>
      </c>
      <c r="H82" s="90"/>
      <c r="I82" s="90">
        <v>0</v>
      </c>
      <c r="J82" s="90"/>
      <c r="K82" s="90">
        <v>0</v>
      </c>
      <c r="L82" s="90"/>
      <c r="M82" s="90">
        <v>0</v>
      </c>
      <c r="N82" s="90"/>
      <c r="O82" s="90">
        <v>0</v>
      </c>
      <c r="P82" s="90"/>
      <c r="Q82" s="90">
        <v>0</v>
      </c>
      <c r="R82" s="90"/>
      <c r="S82" s="90">
        <v>0</v>
      </c>
      <c r="T82" s="90"/>
      <c r="U82" s="90">
        <v>0</v>
      </c>
      <c r="V82" s="90"/>
      <c r="W82" s="97">
        <f t="shared" si="6"/>
        <v>0</v>
      </c>
      <c r="X82" s="90"/>
      <c r="Y82" s="90">
        <v>0</v>
      </c>
      <c r="Z82" s="90"/>
      <c r="AA82" s="90">
        <v>0</v>
      </c>
      <c r="AB82" s="90"/>
      <c r="AC82" s="90">
        <v>0</v>
      </c>
      <c r="AD82" s="90"/>
      <c r="AE82" s="90">
        <v>0</v>
      </c>
      <c r="AF82" s="90"/>
      <c r="AG82" s="90"/>
      <c r="AH82" s="88" t="s">
        <v>305</v>
      </c>
      <c r="AJ82" s="89" t="s">
        <v>159</v>
      </c>
      <c r="AK82" s="90"/>
      <c r="AL82" s="90">
        <v>0</v>
      </c>
      <c r="AM82" s="90"/>
      <c r="AN82" s="90"/>
      <c r="AO82" s="90"/>
      <c r="AP82" s="90">
        <v>0</v>
      </c>
      <c r="AQ82" s="90"/>
      <c r="AR82" s="90">
        <v>0</v>
      </c>
      <c r="AS82" s="90"/>
      <c r="AT82" s="97">
        <f t="shared" si="7"/>
        <v>0</v>
      </c>
      <c r="AU82" s="90"/>
      <c r="AV82" s="97">
        <f t="shared" si="8"/>
        <v>0</v>
      </c>
    </row>
    <row r="83" spans="1:48" s="103" customFormat="1">
      <c r="A83" s="3" t="s">
        <v>303</v>
      </c>
      <c r="C83" s="103" t="s">
        <v>198</v>
      </c>
      <c r="E83" s="103">
        <v>50260</v>
      </c>
      <c r="G83" s="16">
        <v>0</v>
      </c>
      <c r="H83" s="16"/>
      <c r="I83" s="16">
        <f>1602647+1388192</f>
        <v>2990839</v>
      </c>
      <c r="J83" s="16"/>
      <c r="K83" s="16">
        <v>1526</v>
      </c>
      <c r="L83" s="16"/>
      <c r="M83" s="16">
        <v>2231230</v>
      </c>
      <c r="N83" s="16"/>
      <c r="O83" s="16">
        <v>0</v>
      </c>
      <c r="P83" s="16"/>
      <c r="Q83" s="16">
        <v>0</v>
      </c>
      <c r="R83" s="16"/>
      <c r="S83" s="16">
        <v>0</v>
      </c>
      <c r="T83" s="16"/>
      <c r="U83" s="16">
        <f>6081805+17488</f>
        <v>6099293</v>
      </c>
      <c r="V83" s="16"/>
      <c r="W83" s="23">
        <f t="shared" si="6"/>
        <v>11322888</v>
      </c>
      <c r="X83" s="16"/>
      <c r="Y83" s="16">
        <v>0</v>
      </c>
      <c r="Z83" s="16"/>
      <c r="AA83" s="16">
        <v>0</v>
      </c>
      <c r="AB83" s="16"/>
      <c r="AC83" s="16">
        <v>0</v>
      </c>
      <c r="AD83" s="16"/>
      <c r="AE83" s="16">
        <v>170429</v>
      </c>
      <c r="AF83" s="16"/>
      <c r="AG83" s="16">
        <v>0</v>
      </c>
      <c r="AH83" s="3" t="s">
        <v>303</v>
      </c>
      <c r="AJ83" s="103" t="s">
        <v>198</v>
      </c>
      <c r="AK83" s="16"/>
      <c r="AL83" s="16">
        <v>0</v>
      </c>
      <c r="AM83" s="16"/>
      <c r="AN83" s="16">
        <v>0</v>
      </c>
      <c r="AO83" s="16"/>
      <c r="AP83" s="16">
        <v>0</v>
      </c>
      <c r="AQ83" s="16"/>
      <c r="AR83" s="16">
        <v>0</v>
      </c>
      <c r="AS83" s="16"/>
      <c r="AT83" s="23">
        <f t="shared" si="7"/>
        <v>170429</v>
      </c>
      <c r="AU83" s="16"/>
      <c r="AV83" s="23">
        <f t="shared" si="8"/>
        <v>11493317</v>
      </c>
    </row>
    <row r="84" spans="1:48" s="103" customFormat="1">
      <c r="A84" s="3" t="s">
        <v>312</v>
      </c>
      <c r="C84" s="103" t="s">
        <v>162</v>
      </c>
      <c r="E84" s="103">
        <v>46938</v>
      </c>
      <c r="G84" s="16">
        <v>0</v>
      </c>
      <c r="H84" s="16"/>
      <c r="I84" s="16">
        <f>537279+7989029+5543322</f>
        <v>14069630</v>
      </c>
      <c r="J84" s="16"/>
      <c r="K84" s="16">
        <v>21939</v>
      </c>
      <c r="L84" s="16"/>
      <c r="M84" s="16">
        <f>11986892+51402174+181439</f>
        <v>63570505</v>
      </c>
      <c r="N84" s="16"/>
      <c r="O84" s="16">
        <v>0</v>
      </c>
      <c r="P84" s="16"/>
      <c r="Q84" s="16">
        <v>0</v>
      </c>
      <c r="R84" s="16"/>
      <c r="S84" s="16">
        <v>70000</v>
      </c>
      <c r="T84" s="16"/>
      <c r="U84" s="16">
        <v>172741</v>
      </c>
      <c r="V84" s="16"/>
      <c r="W84" s="23">
        <f t="shared" si="6"/>
        <v>77904815</v>
      </c>
      <c r="X84" s="16"/>
      <c r="Y84" s="16">
        <v>71646</v>
      </c>
      <c r="Z84" s="16"/>
      <c r="AA84" s="16">
        <v>0</v>
      </c>
      <c r="AB84" s="16"/>
      <c r="AC84" s="16">
        <v>0</v>
      </c>
      <c r="AD84" s="16"/>
      <c r="AE84" s="16">
        <v>0</v>
      </c>
      <c r="AF84" s="16"/>
      <c r="AG84" s="16">
        <v>0</v>
      </c>
      <c r="AH84" s="3" t="s">
        <v>312</v>
      </c>
      <c r="AJ84" s="103" t="s">
        <v>162</v>
      </c>
      <c r="AK84" s="16"/>
      <c r="AL84" s="16">
        <v>0</v>
      </c>
      <c r="AM84" s="16"/>
      <c r="AN84" s="16">
        <v>0</v>
      </c>
      <c r="AO84" s="16"/>
      <c r="AP84" s="16">
        <v>0</v>
      </c>
      <c r="AQ84" s="16"/>
      <c r="AR84" s="16">
        <v>0</v>
      </c>
      <c r="AS84" s="16"/>
      <c r="AT84" s="23">
        <f t="shared" si="7"/>
        <v>71646</v>
      </c>
      <c r="AU84" s="16"/>
      <c r="AV84" s="23">
        <f t="shared" si="8"/>
        <v>77976461</v>
      </c>
    </row>
    <row r="85" spans="1:48" s="89" customFormat="1" hidden="1">
      <c r="A85" s="89" t="s">
        <v>274</v>
      </c>
      <c r="C85" s="89" t="s">
        <v>160</v>
      </c>
      <c r="E85" s="89">
        <v>125690</v>
      </c>
      <c r="G85" s="90">
        <v>0</v>
      </c>
      <c r="H85" s="90"/>
      <c r="I85" s="90">
        <v>0</v>
      </c>
      <c r="J85" s="90"/>
      <c r="K85" s="90">
        <v>0</v>
      </c>
      <c r="L85" s="90"/>
      <c r="M85" s="90">
        <v>0</v>
      </c>
      <c r="N85" s="90"/>
      <c r="O85" s="90">
        <v>0</v>
      </c>
      <c r="P85" s="90"/>
      <c r="Q85" s="90">
        <v>0</v>
      </c>
      <c r="R85" s="90"/>
      <c r="S85" s="90">
        <v>0</v>
      </c>
      <c r="T85" s="90"/>
      <c r="U85" s="90">
        <v>0</v>
      </c>
      <c r="V85" s="90"/>
      <c r="W85" s="97">
        <f t="shared" si="6"/>
        <v>0</v>
      </c>
      <c r="X85" s="90"/>
      <c r="Y85" s="90">
        <v>0</v>
      </c>
      <c r="Z85" s="90"/>
      <c r="AA85" s="90">
        <v>0</v>
      </c>
      <c r="AB85" s="90"/>
      <c r="AC85" s="90">
        <v>0</v>
      </c>
      <c r="AD85" s="90"/>
      <c r="AE85" s="90">
        <v>0</v>
      </c>
      <c r="AF85" s="90"/>
      <c r="AG85" s="90"/>
      <c r="AH85" s="89" t="s">
        <v>274</v>
      </c>
      <c r="AJ85" s="89" t="s">
        <v>160</v>
      </c>
      <c r="AK85" s="90"/>
      <c r="AL85" s="90">
        <v>0</v>
      </c>
      <c r="AM85" s="90"/>
      <c r="AN85" s="90"/>
      <c r="AO85" s="90"/>
      <c r="AP85" s="90">
        <v>0</v>
      </c>
      <c r="AQ85" s="90"/>
      <c r="AR85" s="90">
        <v>0</v>
      </c>
      <c r="AS85" s="90"/>
      <c r="AT85" s="97">
        <f t="shared" si="7"/>
        <v>0</v>
      </c>
      <c r="AU85" s="90"/>
      <c r="AV85" s="97">
        <f t="shared" si="8"/>
        <v>0</v>
      </c>
    </row>
    <row r="86" spans="1:48" s="103" customFormat="1">
      <c r="A86" s="3" t="s">
        <v>314</v>
      </c>
      <c r="C86" s="103" t="s">
        <v>161</v>
      </c>
      <c r="E86" s="103">
        <v>46839</v>
      </c>
      <c r="G86" s="16">
        <v>0</v>
      </c>
      <c r="H86" s="16"/>
      <c r="I86" s="16">
        <v>1195239</v>
      </c>
      <c r="J86" s="16"/>
      <c r="K86" s="16">
        <v>1805</v>
      </c>
      <c r="L86" s="16"/>
      <c r="M86" s="16">
        <f>6557798+539829</f>
        <v>7097627</v>
      </c>
      <c r="N86" s="16"/>
      <c r="O86" s="16">
        <v>0</v>
      </c>
      <c r="P86" s="16"/>
      <c r="Q86" s="16">
        <v>0</v>
      </c>
      <c r="R86" s="16"/>
      <c r="S86" s="16">
        <v>400</v>
      </c>
      <c r="T86" s="16"/>
      <c r="U86" s="16">
        <v>22931</v>
      </c>
      <c r="V86" s="16"/>
      <c r="W86" s="23">
        <f t="shared" si="6"/>
        <v>8318002</v>
      </c>
      <c r="X86" s="16"/>
      <c r="Y86" s="16">
        <v>0</v>
      </c>
      <c r="Z86" s="16"/>
      <c r="AA86" s="16">
        <v>0</v>
      </c>
      <c r="AB86" s="16"/>
      <c r="AC86" s="16">
        <v>0</v>
      </c>
      <c r="AD86" s="16"/>
      <c r="AE86" s="16">
        <v>0</v>
      </c>
      <c r="AF86" s="16"/>
      <c r="AG86" s="16">
        <v>0</v>
      </c>
      <c r="AH86" s="3" t="s">
        <v>314</v>
      </c>
      <c r="AJ86" s="103" t="s">
        <v>161</v>
      </c>
      <c r="AK86" s="16"/>
      <c r="AL86" s="16">
        <v>0</v>
      </c>
      <c r="AM86" s="16"/>
      <c r="AN86" s="16">
        <v>0</v>
      </c>
      <c r="AO86" s="16"/>
      <c r="AP86" s="16">
        <v>0</v>
      </c>
      <c r="AQ86" s="16"/>
      <c r="AR86" s="16">
        <v>0</v>
      </c>
      <c r="AS86" s="16"/>
      <c r="AT86" s="23">
        <f t="shared" si="7"/>
        <v>0</v>
      </c>
      <c r="AU86" s="16"/>
      <c r="AV86" s="23">
        <f t="shared" si="8"/>
        <v>8318002</v>
      </c>
    </row>
    <row r="87" spans="1:48" s="103" customFormat="1">
      <c r="A87" s="3" t="s">
        <v>164</v>
      </c>
      <c r="C87" s="103" t="s">
        <v>165</v>
      </c>
      <c r="E87" s="103">
        <v>125682</v>
      </c>
      <c r="G87" s="16">
        <v>0</v>
      </c>
      <c r="H87" s="16"/>
      <c r="I87" s="16">
        <v>3288258</v>
      </c>
      <c r="J87" s="16"/>
      <c r="K87" s="16">
        <v>7423</v>
      </c>
      <c r="L87" s="16"/>
      <c r="M87" s="16">
        <v>2262143</v>
      </c>
      <c r="N87" s="16"/>
      <c r="O87" s="16">
        <v>0</v>
      </c>
      <c r="P87" s="16"/>
      <c r="Q87" s="16">
        <v>0</v>
      </c>
      <c r="R87" s="16"/>
      <c r="S87" s="16">
        <v>0</v>
      </c>
      <c r="T87" s="16"/>
      <c r="U87" s="16">
        <v>10008</v>
      </c>
      <c r="V87" s="16"/>
      <c r="W87" s="23">
        <f t="shared" si="6"/>
        <v>5567832</v>
      </c>
      <c r="X87" s="16"/>
      <c r="Y87" s="16">
        <v>9705</v>
      </c>
      <c r="Z87" s="16"/>
      <c r="AA87" s="16">
        <v>0</v>
      </c>
      <c r="AB87" s="16"/>
      <c r="AC87" s="16">
        <v>0</v>
      </c>
      <c r="AD87" s="16"/>
      <c r="AE87" s="16">
        <v>0</v>
      </c>
      <c r="AF87" s="16"/>
      <c r="AG87" s="16">
        <v>0</v>
      </c>
      <c r="AH87" s="3" t="s">
        <v>164</v>
      </c>
      <c r="AJ87" s="103" t="s">
        <v>165</v>
      </c>
      <c r="AK87" s="16"/>
      <c r="AL87" s="16">
        <v>0</v>
      </c>
      <c r="AM87" s="16"/>
      <c r="AN87" s="16">
        <v>0</v>
      </c>
      <c r="AO87" s="16"/>
      <c r="AP87" s="16">
        <v>0</v>
      </c>
      <c r="AQ87" s="16"/>
      <c r="AR87" s="16">
        <v>0</v>
      </c>
      <c r="AS87" s="16"/>
      <c r="AT87" s="23">
        <f t="shared" si="7"/>
        <v>9705</v>
      </c>
      <c r="AU87" s="16"/>
      <c r="AV87" s="23">
        <f t="shared" si="8"/>
        <v>5577537</v>
      </c>
    </row>
    <row r="88" spans="1:48" s="103" customFormat="1">
      <c r="A88" s="107" t="s">
        <v>313</v>
      </c>
      <c r="C88" s="103" t="s">
        <v>166</v>
      </c>
      <c r="E88" s="103">
        <v>47159</v>
      </c>
      <c r="G88" s="16">
        <v>0</v>
      </c>
      <c r="H88" s="16"/>
      <c r="I88" s="16">
        <v>1949070</v>
      </c>
      <c r="J88" s="16"/>
      <c r="K88" s="16">
        <v>5229</v>
      </c>
      <c r="L88" s="16"/>
      <c r="M88" s="16">
        <v>10559434</v>
      </c>
      <c r="N88" s="16"/>
      <c r="O88" s="16">
        <v>0</v>
      </c>
      <c r="P88" s="16"/>
      <c r="Q88" s="16">
        <v>0</v>
      </c>
      <c r="R88" s="16"/>
      <c r="S88" s="16">
        <v>0</v>
      </c>
      <c r="T88" s="16"/>
      <c r="U88" s="16">
        <v>77342</v>
      </c>
      <c r="V88" s="16"/>
      <c r="W88" s="23">
        <f t="shared" si="6"/>
        <v>12591075</v>
      </c>
      <c r="X88" s="16"/>
      <c r="Y88" s="16">
        <v>0</v>
      </c>
      <c r="Z88" s="16"/>
      <c r="AA88" s="16">
        <v>0</v>
      </c>
      <c r="AB88" s="16"/>
      <c r="AC88" s="16">
        <v>0</v>
      </c>
      <c r="AD88" s="16"/>
      <c r="AE88" s="16">
        <v>0</v>
      </c>
      <c r="AF88" s="16"/>
      <c r="AG88" s="16">
        <v>0</v>
      </c>
      <c r="AH88" s="107" t="s">
        <v>313</v>
      </c>
      <c r="AJ88" s="103" t="s">
        <v>166</v>
      </c>
      <c r="AK88" s="16"/>
      <c r="AL88" s="16">
        <v>0</v>
      </c>
      <c r="AM88" s="16"/>
      <c r="AN88" s="16">
        <v>0</v>
      </c>
      <c r="AO88" s="16"/>
      <c r="AP88" s="16">
        <v>0</v>
      </c>
      <c r="AQ88" s="16"/>
      <c r="AR88" s="16">
        <v>0</v>
      </c>
      <c r="AS88" s="16"/>
      <c r="AT88" s="23">
        <f t="shared" si="7"/>
        <v>0</v>
      </c>
      <c r="AU88" s="16"/>
      <c r="AV88" s="23">
        <f t="shared" si="8"/>
        <v>12591075</v>
      </c>
    </row>
    <row r="89" spans="1:48" s="103" customFormat="1">
      <c r="A89" s="103" t="s">
        <v>291</v>
      </c>
      <c r="C89" s="103" t="s">
        <v>167</v>
      </c>
      <c r="E89" s="103">
        <v>47233</v>
      </c>
      <c r="G89" s="16">
        <v>0</v>
      </c>
      <c r="H89" s="16"/>
      <c r="I89" s="16">
        <v>2164782</v>
      </c>
      <c r="J89" s="16"/>
      <c r="K89" s="16">
        <v>0</v>
      </c>
      <c r="L89" s="16"/>
      <c r="M89" s="16">
        <v>9352578</v>
      </c>
      <c r="N89" s="16"/>
      <c r="O89" s="16">
        <v>0</v>
      </c>
      <c r="P89" s="16"/>
      <c r="Q89" s="16">
        <v>0</v>
      </c>
      <c r="R89" s="16"/>
      <c r="S89" s="16">
        <v>0</v>
      </c>
      <c r="T89" s="16"/>
      <c r="U89" s="16">
        <v>228757</v>
      </c>
      <c r="V89" s="16"/>
      <c r="W89" s="23">
        <f t="shared" si="6"/>
        <v>11746117</v>
      </c>
      <c r="X89" s="16"/>
      <c r="Y89" s="16">
        <v>0</v>
      </c>
      <c r="Z89" s="16"/>
      <c r="AA89" s="16">
        <v>0</v>
      </c>
      <c r="AB89" s="16"/>
      <c r="AC89" s="16">
        <v>0</v>
      </c>
      <c r="AD89" s="16"/>
      <c r="AE89" s="16">
        <v>0</v>
      </c>
      <c r="AF89" s="16"/>
      <c r="AG89" s="16">
        <v>0</v>
      </c>
      <c r="AH89" s="103" t="s">
        <v>291</v>
      </c>
      <c r="AJ89" s="103" t="s">
        <v>167</v>
      </c>
      <c r="AK89" s="16"/>
      <c r="AL89" s="16">
        <v>0</v>
      </c>
      <c r="AM89" s="16"/>
      <c r="AN89" s="16">
        <v>0</v>
      </c>
      <c r="AO89" s="16"/>
      <c r="AP89" s="16">
        <v>0</v>
      </c>
      <c r="AQ89" s="16"/>
      <c r="AR89" s="16">
        <v>0</v>
      </c>
      <c r="AS89" s="16"/>
      <c r="AT89" s="23">
        <f t="shared" si="7"/>
        <v>0</v>
      </c>
      <c r="AU89" s="16"/>
      <c r="AV89" s="23">
        <f t="shared" si="8"/>
        <v>11746117</v>
      </c>
    </row>
    <row r="90" spans="1:48" s="103" customFormat="1">
      <c r="A90" s="103" t="s">
        <v>292</v>
      </c>
      <c r="C90" s="103" t="s">
        <v>168</v>
      </c>
      <c r="E90" s="103">
        <v>47324</v>
      </c>
      <c r="G90" s="16">
        <v>0</v>
      </c>
      <c r="H90" s="16"/>
      <c r="I90" s="16">
        <v>11593253</v>
      </c>
      <c r="J90" s="16"/>
      <c r="K90" s="16">
        <v>0</v>
      </c>
      <c r="L90" s="16"/>
      <c r="M90" s="16">
        <f>1854203+1048395</f>
        <v>2902598</v>
      </c>
      <c r="N90" s="16"/>
      <c r="O90" s="16">
        <v>0</v>
      </c>
      <c r="P90" s="16"/>
      <c r="Q90" s="16">
        <v>0</v>
      </c>
      <c r="R90" s="16"/>
      <c r="S90" s="16">
        <v>0</v>
      </c>
      <c r="T90" s="16"/>
      <c r="U90" s="16">
        <f>27435071+125897</f>
        <v>27560968</v>
      </c>
      <c r="V90" s="16"/>
      <c r="W90" s="23">
        <f t="shared" si="6"/>
        <v>42056819</v>
      </c>
      <c r="X90" s="16"/>
      <c r="Y90" s="16">
        <v>0</v>
      </c>
      <c r="Z90" s="16"/>
      <c r="AA90" s="16">
        <v>0</v>
      </c>
      <c r="AB90" s="16"/>
      <c r="AC90" s="16">
        <v>0</v>
      </c>
      <c r="AD90" s="16"/>
      <c r="AE90" s="16">
        <v>0</v>
      </c>
      <c r="AF90" s="16"/>
      <c r="AG90" s="16">
        <v>0</v>
      </c>
      <c r="AH90" s="103" t="s">
        <v>292</v>
      </c>
      <c r="AJ90" s="103" t="s">
        <v>168</v>
      </c>
      <c r="AK90" s="16"/>
      <c r="AL90" s="16">
        <v>0</v>
      </c>
      <c r="AM90" s="16"/>
      <c r="AN90" s="16">
        <v>0</v>
      </c>
      <c r="AO90" s="16"/>
      <c r="AP90" s="16">
        <v>0</v>
      </c>
      <c r="AQ90" s="16"/>
      <c r="AR90" s="16">
        <v>0</v>
      </c>
      <c r="AS90" s="16"/>
      <c r="AT90" s="23">
        <f t="shared" si="7"/>
        <v>0</v>
      </c>
      <c r="AU90" s="16"/>
      <c r="AV90" s="23">
        <f t="shared" si="8"/>
        <v>42056819</v>
      </c>
    </row>
    <row r="91" spans="1:48" s="103" customFormat="1">
      <c r="A91" s="103" t="s">
        <v>293</v>
      </c>
      <c r="C91" s="103" t="s">
        <v>169</v>
      </c>
      <c r="E91" s="103">
        <v>47407</v>
      </c>
      <c r="G91" s="16">
        <v>0</v>
      </c>
      <c r="H91" s="16"/>
      <c r="I91" s="16">
        <v>819361</v>
      </c>
      <c r="J91" s="16"/>
      <c r="K91" s="16">
        <v>3322</v>
      </c>
      <c r="L91" s="16"/>
      <c r="M91" s="16">
        <f>2370961+2775207</f>
        <v>5146168</v>
      </c>
      <c r="N91" s="16"/>
      <c r="O91" s="16">
        <v>0</v>
      </c>
      <c r="P91" s="16"/>
      <c r="Q91" s="16">
        <v>0</v>
      </c>
      <c r="R91" s="16"/>
      <c r="S91" s="16">
        <v>0</v>
      </c>
      <c r="T91" s="16"/>
      <c r="U91" s="16">
        <v>61103</v>
      </c>
      <c r="V91" s="16"/>
      <c r="W91" s="23">
        <f t="shared" si="6"/>
        <v>6029954</v>
      </c>
      <c r="X91" s="16"/>
      <c r="Y91" s="16">
        <v>0</v>
      </c>
      <c r="Z91" s="16"/>
      <c r="AA91" s="16">
        <v>0</v>
      </c>
      <c r="AB91" s="16"/>
      <c r="AC91" s="16">
        <v>0</v>
      </c>
      <c r="AD91" s="16"/>
      <c r="AE91" s="16">
        <v>0</v>
      </c>
      <c r="AF91" s="16"/>
      <c r="AG91" s="16">
        <v>0</v>
      </c>
      <c r="AH91" s="103" t="s">
        <v>293</v>
      </c>
      <c r="AJ91" s="103" t="s">
        <v>169</v>
      </c>
      <c r="AK91" s="16"/>
      <c r="AL91" s="16">
        <v>0</v>
      </c>
      <c r="AM91" s="16"/>
      <c r="AN91" s="16">
        <v>0</v>
      </c>
      <c r="AO91" s="16"/>
      <c r="AP91" s="16">
        <v>0</v>
      </c>
      <c r="AQ91" s="16"/>
      <c r="AR91" s="16">
        <v>0</v>
      </c>
      <c r="AS91" s="16"/>
      <c r="AT91" s="23">
        <f t="shared" si="7"/>
        <v>0</v>
      </c>
      <c r="AU91" s="16"/>
      <c r="AV91" s="23">
        <f t="shared" si="8"/>
        <v>6029954</v>
      </c>
    </row>
    <row r="92" spans="1:48" s="59" customFormat="1" hidden="1">
      <c r="A92" s="59" t="s">
        <v>349</v>
      </c>
      <c r="C92" s="59" t="s">
        <v>19</v>
      </c>
      <c r="E92" s="59">
        <v>47480</v>
      </c>
      <c r="G92" s="60">
        <v>0</v>
      </c>
      <c r="H92" s="60"/>
      <c r="I92" s="60">
        <v>0</v>
      </c>
      <c r="J92" s="60"/>
      <c r="K92" s="60">
        <v>0</v>
      </c>
      <c r="L92" s="60"/>
      <c r="M92" s="60">
        <v>0</v>
      </c>
      <c r="N92" s="60"/>
      <c r="O92" s="60">
        <v>0</v>
      </c>
      <c r="P92" s="60"/>
      <c r="Q92" s="60">
        <v>0</v>
      </c>
      <c r="R92" s="60"/>
      <c r="S92" s="60">
        <v>0</v>
      </c>
      <c r="T92" s="60"/>
      <c r="U92" s="60">
        <v>0</v>
      </c>
      <c r="V92" s="60"/>
      <c r="W92" s="62">
        <f t="shared" si="6"/>
        <v>0</v>
      </c>
      <c r="X92" s="60"/>
      <c r="Y92" s="60">
        <v>0</v>
      </c>
      <c r="Z92" s="60"/>
      <c r="AA92" s="60">
        <v>0</v>
      </c>
      <c r="AB92" s="60"/>
      <c r="AC92" s="60">
        <v>0</v>
      </c>
      <c r="AD92" s="60"/>
      <c r="AE92" s="60">
        <v>0</v>
      </c>
      <c r="AF92" s="60"/>
      <c r="AG92" s="60">
        <v>0</v>
      </c>
      <c r="AH92" s="59" t="s">
        <v>349</v>
      </c>
      <c r="AJ92" s="59" t="s">
        <v>19</v>
      </c>
      <c r="AK92" s="60"/>
      <c r="AL92" s="60">
        <v>0</v>
      </c>
      <c r="AM92" s="60"/>
      <c r="AN92" s="60">
        <v>0</v>
      </c>
      <c r="AO92" s="60"/>
      <c r="AP92" s="60">
        <v>0</v>
      </c>
      <c r="AQ92" s="60"/>
      <c r="AR92" s="60">
        <v>0</v>
      </c>
      <c r="AS92" s="60"/>
      <c r="AT92" s="62">
        <f t="shared" si="7"/>
        <v>0</v>
      </c>
      <c r="AU92" s="60"/>
      <c r="AV92" s="62">
        <f t="shared" si="8"/>
        <v>0</v>
      </c>
    </row>
    <row r="93" spans="1:48" s="103" customFormat="1">
      <c r="A93" s="103" t="s">
        <v>294</v>
      </c>
      <c r="C93" s="103" t="s">
        <v>170</v>
      </c>
      <c r="E93" s="103">
        <v>47779</v>
      </c>
      <c r="G93" s="16">
        <v>0</v>
      </c>
      <c r="H93" s="16"/>
      <c r="I93" s="16">
        <f>72892+788000+10000</f>
        <v>870892</v>
      </c>
      <c r="J93" s="16"/>
      <c r="K93" s="16">
        <v>368</v>
      </c>
      <c r="L93" s="16"/>
      <c r="M93" s="16">
        <v>841444</v>
      </c>
      <c r="N93" s="16"/>
      <c r="O93" s="16">
        <v>0</v>
      </c>
      <c r="P93" s="16"/>
      <c r="Q93" s="16">
        <v>0</v>
      </c>
      <c r="R93" s="16"/>
      <c r="S93" s="16">
        <v>0</v>
      </c>
      <c r="T93" s="16"/>
      <c r="U93" s="16">
        <f>3236584+58284</f>
        <v>3294868</v>
      </c>
      <c r="V93" s="16"/>
      <c r="W93" s="23">
        <f t="shared" si="6"/>
        <v>5007572</v>
      </c>
      <c r="X93" s="16"/>
      <c r="Y93" s="16">
        <v>0</v>
      </c>
      <c r="Z93" s="16"/>
      <c r="AA93" s="16">
        <v>0</v>
      </c>
      <c r="AB93" s="16"/>
      <c r="AC93" s="16">
        <v>0</v>
      </c>
      <c r="AD93" s="16"/>
      <c r="AE93" s="16">
        <v>0</v>
      </c>
      <c r="AF93" s="16"/>
      <c r="AG93" s="16">
        <v>0</v>
      </c>
      <c r="AH93" s="103" t="s">
        <v>294</v>
      </c>
      <c r="AJ93" s="103" t="s">
        <v>170</v>
      </c>
      <c r="AK93" s="16"/>
      <c r="AL93" s="16">
        <v>0</v>
      </c>
      <c r="AM93" s="16"/>
      <c r="AN93" s="16"/>
      <c r="AO93" s="16"/>
      <c r="AP93" s="16">
        <v>0</v>
      </c>
      <c r="AQ93" s="16"/>
      <c r="AR93" s="16">
        <v>0</v>
      </c>
      <c r="AS93" s="16"/>
      <c r="AT93" s="23">
        <f t="shared" si="7"/>
        <v>0</v>
      </c>
      <c r="AU93" s="16"/>
      <c r="AV93" s="23">
        <f t="shared" si="8"/>
        <v>5007572</v>
      </c>
    </row>
    <row r="94" spans="1:48" s="103" customFormat="1">
      <c r="A94" s="103" t="s">
        <v>295</v>
      </c>
      <c r="C94" s="103" t="s">
        <v>171</v>
      </c>
      <c r="E94" s="103">
        <v>47811</v>
      </c>
      <c r="G94" s="16">
        <v>0</v>
      </c>
      <c r="H94" s="16"/>
      <c r="I94" s="16">
        <v>1242907</v>
      </c>
      <c r="J94" s="16"/>
      <c r="K94" s="16">
        <v>209</v>
      </c>
      <c r="L94" s="16"/>
      <c r="M94" s="16">
        <v>4706831</v>
      </c>
      <c r="N94" s="16"/>
      <c r="O94" s="16">
        <v>5905</v>
      </c>
      <c r="P94" s="16"/>
      <c r="Q94" s="16">
        <v>0</v>
      </c>
      <c r="R94" s="16"/>
      <c r="S94" s="16">
        <v>38900</v>
      </c>
      <c r="T94" s="16"/>
      <c r="U94" s="16">
        <v>4360</v>
      </c>
      <c r="V94" s="16"/>
      <c r="W94" s="23">
        <v>5999112</v>
      </c>
      <c r="X94" s="16"/>
      <c r="Y94" s="16">
        <v>0</v>
      </c>
      <c r="Z94" s="16"/>
      <c r="AA94" s="16">
        <v>0</v>
      </c>
      <c r="AB94" s="16"/>
      <c r="AC94" s="16">
        <v>0</v>
      </c>
      <c r="AD94" s="16"/>
      <c r="AE94" s="16">
        <v>0</v>
      </c>
      <c r="AF94" s="16"/>
      <c r="AG94" s="16">
        <v>0</v>
      </c>
      <c r="AH94" s="103" t="s">
        <v>295</v>
      </c>
      <c r="AJ94" s="103" t="s">
        <v>171</v>
      </c>
      <c r="AK94" s="16"/>
      <c r="AL94" s="16">
        <v>0</v>
      </c>
      <c r="AM94" s="16"/>
      <c r="AN94" s="16"/>
      <c r="AO94" s="16"/>
      <c r="AP94" s="16">
        <v>0</v>
      </c>
      <c r="AQ94" s="16"/>
      <c r="AR94" s="16">
        <v>0</v>
      </c>
      <c r="AS94" s="16"/>
      <c r="AT94" s="23">
        <v>0</v>
      </c>
      <c r="AU94" s="16"/>
      <c r="AV94" s="23">
        <v>5999112</v>
      </c>
    </row>
    <row r="95" spans="1:48" s="103" customFormat="1">
      <c r="A95" s="103" t="s">
        <v>296</v>
      </c>
      <c r="C95" s="103" t="s">
        <v>146</v>
      </c>
      <c r="E95" s="103">
        <v>47860</v>
      </c>
      <c r="G95" s="16">
        <v>4939122</v>
      </c>
      <c r="H95" s="16"/>
      <c r="I95" s="16">
        <v>4701044</v>
      </c>
      <c r="J95" s="16"/>
      <c r="K95" s="16">
        <v>50</v>
      </c>
      <c r="L95" s="16"/>
      <c r="M95" s="16">
        <v>9415689</v>
      </c>
      <c r="N95" s="16"/>
      <c r="O95" s="16">
        <v>14946</v>
      </c>
      <c r="P95" s="16"/>
      <c r="Q95" s="16">
        <v>0</v>
      </c>
      <c r="R95" s="16"/>
      <c r="S95" s="16">
        <v>0</v>
      </c>
      <c r="T95" s="16"/>
      <c r="U95" s="16">
        <v>150485</v>
      </c>
      <c r="V95" s="16"/>
      <c r="W95" s="23">
        <v>19221336</v>
      </c>
      <c r="X95" s="16"/>
      <c r="Y95" s="16">
        <v>5859</v>
      </c>
      <c r="Z95" s="16"/>
      <c r="AA95" s="16">
        <v>0</v>
      </c>
      <c r="AB95" s="16"/>
      <c r="AC95" s="16">
        <v>0</v>
      </c>
      <c r="AD95" s="16"/>
      <c r="AE95" s="16">
        <v>0</v>
      </c>
      <c r="AF95" s="16"/>
      <c r="AG95" s="16">
        <v>0</v>
      </c>
      <c r="AH95" s="103" t="s">
        <v>296</v>
      </c>
      <c r="AJ95" s="103" t="s">
        <v>146</v>
      </c>
      <c r="AK95" s="16"/>
      <c r="AL95" s="16">
        <v>0</v>
      </c>
      <c r="AM95" s="16"/>
      <c r="AN95" s="16"/>
      <c r="AO95" s="16"/>
      <c r="AP95" s="16">
        <v>0</v>
      </c>
      <c r="AQ95" s="16"/>
      <c r="AR95" s="16">
        <v>0</v>
      </c>
      <c r="AS95" s="16"/>
      <c r="AT95" s="23">
        <v>5859</v>
      </c>
      <c r="AU95" s="16"/>
      <c r="AV95" s="23">
        <v>19227195</v>
      </c>
    </row>
    <row r="96" spans="1:48" s="103" customFormat="1">
      <c r="A96" s="103" t="s">
        <v>297</v>
      </c>
      <c r="C96" s="103" t="s">
        <v>172</v>
      </c>
      <c r="E96" s="103">
        <v>47910</v>
      </c>
      <c r="G96" s="16">
        <v>0</v>
      </c>
      <c r="H96" s="16"/>
      <c r="I96" s="16">
        <v>478629</v>
      </c>
      <c r="J96" s="16"/>
      <c r="K96" s="16">
        <v>2974</v>
      </c>
      <c r="L96" s="16"/>
      <c r="M96" s="16">
        <f>931352+1447539+1260</f>
        <v>2380151</v>
      </c>
      <c r="N96" s="16"/>
      <c r="O96" s="16">
        <v>0</v>
      </c>
      <c r="P96" s="16"/>
      <c r="Q96" s="16">
        <v>0</v>
      </c>
      <c r="R96" s="16"/>
      <c r="S96" s="16">
        <v>663</v>
      </c>
      <c r="T96" s="16"/>
      <c r="U96" s="16">
        <v>25891</v>
      </c>
      <c r="V96" s="16"/>
      <c r="W96" s="23">
        <f t="shared" si="6"/>
        <v>2888308</v>
      </c>
      <c r="X96" s="16"/>
      <c r="Y96" s="16">
        <v>0</v>
      </c>
      <c r="Z96" s="16"/>
      <c r="AA96" s="16">
        <v>0</v>
      </c>
      <c r="AB96" s="16"/>
      <c r="AC96" s="16">
        <v>0</v>
      </c>
      <c r="AD96" s="16"/>
      <c r="AE96" s="16">
        <v>0</v>
      </c>
      <c r="AF96" s="16"/>
      <c r="AG96" s="16">
        <v>0</v>
      </c>
      <c r="AH96" s="103" t="s">
        <v>297</v>
      </c>
      <c r="AJ96" s="103" t="s">
        <v>172</v>
      </c>
      <c r="AK96" s="16"/>
      <c r="AL96" s="16">
        <v>0</v>
      </c>
      <c r="AM96" s="16"/>
      <c r="AN96" s="16"/>
      <c r="AO96" s="16"/>
      <c r="AP96" s="16">
        <v>0</v>
      </c>
      <c r="AQ96" s="16"/>
      <c r="AR96" s="16">
        <v>0</v>
      </c>
      <c r="AS96" s="16"/>
      <c r="AT96" s="23">
        <f t="shared" ref="AT96:AT131" si="9">SUM(Y96:AR96)</f>
        <v>0</v>
      </c>
      <c r="AU96" s="16"/>
      <c r="AV96" s="23">
        <f t="shared" ref="AV96:AV131" si="10">+AT96+W96</f>
        <v>2888308</v>
      </c>
    </row>
    <row r="97" spans="1:48" s="59" customFormat="1" hidden="1">
      <c r="A97" s="58" t="s">
        <v>386</v>
      </c>
      <c r="B97" s="58"/>
      <c r="C97" s="58" t="s">
        <v>173</v>
      </c>
      <c r="E97" s="59">
        <v>47977</v>
      </c>
      <c r="G97" s="60">
        <v>0</v>
      </c>
      <c r="H97" s="60"/>
      <c r="I97" s="60">
        <v>0</v>
      </c>
      <c r="J97" s="60"/>
      <c r="K97" s="60">
        <v>0</v>
      </c>
      <c r="L97" s="60"/>
      <c r="M97" s="60">
        <v>0</v>
      </c>
      <c r="N97" s="60"/>
      <c r="O97" s="60">
        <v>0</v>
      </c>
      <c r="P97" s="60"/>
      <c r="Q97" s="60">
        <v>0</v>
      </c>
      <c r="R97" s="60"/>
      <c r="S97" s="60">
        <v>0</v>
      </c>
      <c r="T97" s="60"/>
      <c r="U97" s="60">
        <v>0</v>
      </c>
      <c r="V97" s="60"/>
      <c r="W97" s="62">
        <f t="shared" si="6"/>
        <v>0</v>
      </c>
      <c r="X97" s="60"/>
      <c r="Y97" s="60">
        <v>0</v>
      </c>
      <c r="Z97" s="60"/>
      <c r="AA97" s="60">
        <v>0</v>
      </c>
      <c r="AB97" s="60"/>
      <c r="AC97" s="60">
        <v>0</v>
      </c>
      <c r="AD97" s="60"/>
      <c r="AE97" s="60">
        <v>0</v>
      </c>
      <c r="AF97" s="60"/>
      <c r="AG97" s="60">
        <v>0</v>
      </c>
      <c r="AH97" s="58" t="s">
        <v>386</v>
      </c>
      <c r="AI97" s="58"/>
      <c r="AJ97" s="58" t="s">
        <v>173</v>
      </c>
      <c r="AK97" s="60"/>
      <c r="AL97" s="60">
        <v>0</v>
      </c>
      <c r="AM97" s="60"/>
      <c r="AN97" s="60"/>
      <c r="AO97" s="60"/>
      <c r="AP97" s="60">
        <v>0</v>
      </c>
      <c r="AQ97" s="60"/>
      <c r="AR97" s="60">
        <v>0</v>
      </c>
      <c r="AS97" s="60"/>
      <c r="AT97" s="62">
        <f t="shared" si="9"/>
        <v>0</v>
      </c>
      <c r="AU97" s="60"/>
      <c r="AV97" s="62">
        <f t="shared" si="10"/>
        <v>0</v>
      </c>
    </row>
    <row r="98" spans="1:48" s="103" customFormat="1">
      <c r="A98" s="103" t="s">
        <v>298</v>
      </c>
      <c r="C98" s="103" t="s">
        <v>174</v>
      </c>
      <c r="E98" s="103">
        <v>48058</v>
      </c>
      <c r="G98" s="16">
        <v>0</v>
      </c>
      <c r="H98" s="16"/>
      <c r="I98" s="16">
        <v>307616</v>
      </c>
      <c r="J98" s="16"/>
      <c r="K98" s="16">
        <v>0</v>
      </c>
      <c r="L98" s="16"/>
      <c r="M98" s="16">
        <f>2998354+769808</f>
        <v>3768162</v>
      </c>
      <c r="N98" s="16"/>
      <c r="O98" s="16">
        <v>887</v>
      </c>
      <c r="P98" s="16"/>
      <c r="Q98" s="16">
        <v>0</v>
      </c>
      <c r="R98" s="16"/>
      <c r="S98" s="16">
        <v>7501</v>
      </c>
      <c r="T98" s="16"/>
      <c r="U98" s="16">
        <v>330950</v>
      </c>
      <c r="V98" s="16"/>
      <c r="W98" s="23">
        <f t="shared" si="6"/>
        <v>4415116</v>
      </c>
      <c r="X98" s="16"/>
      <c r="Y98" s="16">
        <v>0</v>
      </c>
      <c r="Z98" s="16"/>
      <c r="AA98" s="16">
        <v>0</v>
      </c>
      <c r="AB98" s="16"/>
      <c r="AC98" s="16">
        <v>0</v>
      </c>
      <c r="AD98" s="16"/>
      <c r="AE98" s="16">
        <v>0</v>
      </c>
      <c r="AF98" s="16"/>
      <c r="AG98" s="16">
        <v>0</v>
      </c>
      <c r="AH98" s="103" t="s">
        <v>298</v>
      </c>
      <c r="AJ98" s="103" t="s">
        <v>174</v>
      </c>
      <c r="AK98" s="16"/>
      <c r="AL98" s="16">
        <v>0</v>
      </c>
      <c r="AM98" s="16"/>
      <c r="AN98" s="16"/>
      <c r="AO98" s="16"/>
      <c r="AP98" s="16">
        <v>0</v>
      </c>
      <c r="AQ98" s="16"/>
      <c r="AR98" s="16">
        <v>0</v>
      </c>
      <c r="AS98" s="16"/>
      <c r="AT98" s="23">
        <f t="shared" si="9"/>
        <v>0</v>
      </c>
      <c r="AU98" s="16"/>
      <c r="AV98" s="23">
        <f t="shared" si="10"/>
        <v>4415116</v>
      </c>
    </row>
    <row r="99" spans="1:48" s="89" customFormat="1" hidden="1">
      <c r="A99" s="89" t="s">
        <v>351</v>
      </c>
      <c r="C99" s="89" t="s">
        <v>142</v>
      </c>
      <c r="E99" s="89">
        <v>48108</v>
      </c>
      <c r="G99" s="90">
        <v>0</v>
      </c>
      <c r="H99" s="90"/>
      <c r="I99" s="90">
        <v>0</v>
      </c>
      <c r="J99" s="90"/>
      <c r="K99" s="90">
        <v>0</v>
      </c>
      <c r="L99" s="90"/>
      <c r="M99" s="90">
        <v>0</v>
      </c>
      <c r="N99" s="90"/>
      <c r="O99" s="90">
        <v>0</v>
      </c>
      <c r="P99" s="90"/>
      <c r="Q99" s="90">
        <v>0</v>
      </c>
      <c r="R99" s="90"/>
      <c r="S99" s="90">
        <v>0</v>
      </c>
      <c r="T99" s="90"/>
      <c r="U99" s="90">
        <v>0</v>
      </c>
      <c r="V99" s="90"/>
      <c r="W99" s="97">
        <f t="shared" si="6"/>
        <v>0</v>
      </c>
      <c r="X99" s="90"/>
      <c r="Y99" s="90">
        <v>0</v>
      </c>
      <c r="Z99" s="90"/>
      <c r="AA99" s="90">
        <v>0</v>
      </c>
      <c r="AB99" s="90"/>
      <c r="AC99" s="90">
        <v>0</v>
      </c>
      <c r="AD99" s="90"/>
      <c r="AE99" s="90">
        <v>0</v>
      </c>
      <c r="AF99" s="90"/>
      <c r="AG99" s="90">
        <v>0</v>
      </c>
      <c r="AH99" s="89" t="s">
        <v>351</v>
      </c>
      <c r="AJ99" s="89" t="s">
        <v>142</v>
      </c>
      <c r="AK99" s="90"/>
      <c r="AL99" s="90">
        <v>0</v>
      </c>
      <c r="AM99" s="90"/>
      <c r="AN99" s="90"/>
      <c r="AO99" s="90"/>
      <c r="AP99" s="90">
        <v>0</v>
      </c>
      <c r="AQ99" s="90"/>
      <c r="AR99" s="90">
        <v>0</v>
      </c>
      <c r="AS99" s="90"/>
      <c r="AT99" s="97">
        <f t="shared" si="9"/>
        <v>0</v>
      </c>
      <c r="AU99" s="90"/>
      <c r="AV99" s="97">
        <f t="shared" si="10"/>
        <v>0</v>
      </c>
    </row>
    <row r="100" spans="1:48" s="103" customFormat="1">
      <c r="A100" s="103" t="s">
        <v>350</v>
      </c>
      <c r="C100" s="103" t="s">
        <v>175</v>
      </c>
      <c r="E100" s="103">
        <v>48199</v>
      </c>
      <c r="G100" s="16">
        <v>0</v>
      </c>
      <c r="H100" s="16"/>
      <c r="I100" s="16">
        <f>3659084+2774809</f>
        <v>6433893</v>
      </c>
      <c r="J100" s="16"/>
      <c r="K100" s="16">
        <v>11006</v>
      </c>
      <c r="L100" s="16"/>
      <c r="M100" s="16">
        <f>6629985+129128+1025+154851</f>
        <v>6914989</v>
      </c>
      <c r="N100" s="16"/>
      <c r="O100" s="16">
        <v>210</v>
      </c>
      <c r="P100" s="16"/>
      <c r="Q100" s="16">
        <v>0</v>
      </c>
      <c r="R100" s="16"/>
      <c r="S100" s="16">
        <v>69884</v>
      </c>
      <c r="T100" s="16"/>
      <c r="U100" s="16">
        <f>10326251+147044</f>
        <v>10473295</v>
      </c>
      <c r="V100" s="16"/>
      <c r="W100" s="23">
        <f t="shared" si="6"/>
        <v>23903277</v>
      </c>
      <c r="X100" s="16"/>
      <c r="Y100" s="16">
        <v>108977</v>
      </c>
      <c r="Z100" s="16"/>
      <c r="AA100" s="16">
        <v>0</v>
      </c>
      <c r="AB100" s="16"/>
      <c r="AC100" s="16">
        <v>0</v>
      </c>
      <c r="AD100" s="16"/>
      <c r="AE100" s="16">
        <v>0</v>
      </c>
      <c r="AF100" s="16"/>
      <c r="AG100" s="16">
        <v>0</v>
      </c>
      <c r="AH100" s="103" t="s">
        <v>350</v>
      </c>
      <c r="AJ100" s="103" t="s">
        <v>175</v>
      </c>
      <c r="AK100" s="16"/>
      <c r="AL100" s="16">
        <v>300</v>
      </c>
      <c r="AM100" s="16"/>
      <c r="AN100" s="16"/>
      <c r="AO100" s="16"/>
      <c r="AP100" s="16">
        <v>0</v>
      </c>
      <c r="AQ100" s="16"/>
      <c r="AR100" s="16">
        <v>0</v>
      </c>
      <c r="AS100" s="16"/>
      <c r="AT100" s="23">
        <f t="shared" si="9"/>
        <v>109277</v>
      </c>
      <c r="AU100" s="16"/>
      <c r="AV100" s="23">
        <f t="shared" si="10"/>
        <v>24012554</v>
      </c>
    </row>
    <row r="101" spans="1:48" s="59" customFormat="1" hidden="1">
      <c r="A101" s="58" t="s">
        <v>316</v>
      </c>
      <c r="C101" s="59" t="s">
        <v>151</v>
      </c>
      <c r="E101" s="59">
        <v>137364</v>
      </c>
      <c r="G101" s="60">
        <v>0</v>
      </c>
      <c r="H101" s="60"/>
      <c r="I101" s="60">
        <v>0</v>
      </c>
      <c r="J101" s="60"/>
      <c r="K101" s="60">
        <v>0</v>
      </c>
      <c r="L101" s="60"/>
      <c r="M101" s="60">
        <v>0</v>
      </c>
      <c r="N101" s="60"/>
      <c r="O101" s="60">
        <v>0</v>
      </c>
      <c r="P101" s="60"/>
      <c r="Q101" s="60">
        <v>0</v>
      </c>
      <c r="R101" s="60"/>
      <c r="S101" s="60">
        <v>0</v>
      </c>
      <c r="T101" s="60"/>
      <c r="U101" s="60">
        <v>0</v>
      </c>
      <c r="V101" s="60"/>
      <c r="W101" s="62">
        <f t="shared" si="6"/>
        <v>0</v>
      </c>
      <c r="X101" s="60"/>
      <c r="Y101" s="60">
        <v>0</v>
      </c>
      <c r="Z101" s="60"/>
      <c r="AA101" s="60">
        <v>0</v>
      </c>
      <c r="AB101" s="60"/>
      <c r="AC101" s="60">
        <v>0</v>
      </c>
      <c r="AD101" s="60"/>
      <c r="AE101" s="60">
        <v>0</v>
      </c>
      <c r="AF101" s="60"/>
      <c r="AG101" s="60">
        <v>0</v>
      </c>
      <c r="AH101" s="58" t="s">
        <v>316</v>
      </c>
      <c r="AJ101" s="59" t="s">
        <v>151</v>
      </c>
      <c r="AK101" s="60"/>
      <c r="AL101" s="60">
        <v>0</v>
      </c>
      <c r="AM101" s="60"/>
      <c r="AN101" s="60"/>
      <c r="AO101" s="60"/>
      <c r="AP101" s="60">
        <v>0</v>
      </c>
      <c r="AQ101" s="60"/>
      <c r="AR101" s="60">
        <v>0</v>
      </c>
      <c r="AS101" s="60"/>
      <c r="AT101" s="62">
        <f t="shared" si="9"/>
        <v>0</v>
      </c>
      <c r="AU101" s="60"/>
      <c r="AV101" s="62">
        <f t="shared" si="10"/>
        <v>0</v>
      </c>
    </row>
    <row r="102" spans="1:48" s="103" customFormat="1">
      <c r="A102" s="3" t="s">
        <v>317</v>
      </c>
      <c r="C102" s="103" t="s">
        <v>176</v>
      </c>
      <c r="E102" s="103">
        <v>48280</v>
      </c>
      <c r="G102" s="16">
        <v>0</v>
      </c>
      <c r="H102" s="16"/>
      <c r="I102" s="16">
        <f>101937+2353356+4104432</f>
        <v>6559725</v>
      </c>
      <c r="J102" s="16"/>
      <c r="K102" s="16">
        <v>18862</v>
      </c>
      <c r="L102" s="16"/>
      <c r="M102" s="16">
        <f>13493047+3683560+404</f>
        <v>17177011</v>
      </c>
      <c r="N102" s="16"/>
      <c r="O102" s="16">
        <v>0</v>
      </c>
      <c r="P102" s="16"/>
      <c r="Q102" s="16">
        <v>0</v>
      </c>
      <c r="R102" s="16"/>
      <c r="S102" s="16">
        <v>0</v>
      </c>
      <c r="T102" s="16"/>
      <c r="U102" s="16">
        <v>172786</v>
      </c>
      <c r="V102" s="16"/>
      <c r="W102" s="23">
        <f t="shared" ref="W102:W131" si="11">SUM(G102:V102)</f>
        <v>23928384</v>
      </c>
      <c r="X102" s="16"/>
      <c r="Y102" s="16">
        <v>120000</v>
      </c>
      <c r="Z102" s="16"/>
      <c r="AA102" s="16">
        <v>0</v>
      </c>
      <c r="AB102" s="16"/>
      <c r="AC102" s="16">
        <v>0</v>
      </c>
      <c r="AD102" s="16"/>
      <c r="AE102" s="16">
        <v>42372</v>
      </c>
      <c r="AF102" s="16"/>
      <c r="AG102" s="16">
        <v>0</v>
      </c>
      <c r="AH102" s="3" t="s">
        <v>317</v>
      </c>
      <c r="AJ102" s="103" t="s">
        <v>176</v>
      </c>
      <c r="AK102" s="16"/>
      <c r="AL102" s="16">
        <v>0</v>
      </c>
      <c r="AM102" s="16"/>
      <c r="AN102" s="16"/>
      <c r="AO102" s="16"/>
      <c r="AP102" s="16">
        <v>0</v>
      </c>
      <c r="AQ102" s="16"/>
      <c r="AR102" s="16">
        <v>0</v>
      </c>
      <c r="AS102" s="16"/>
      <c r="AT102" s="23">
        <f t="shared" si="9"/>
        <v>162372</v>
      </c>
      <c r="AU102" s="16"/>
      <c r="AV102" s="23">
        <f t="shared" si="10"/>
        <v>24090756</v>
      </c>
    </row>
    <row r="103" spans="1:48" s="103" customFormat="1">
      <c r="A103" s="3" t="s">
        <v>177</v>
      </c>
      <c r="C103" s="103" t="s">
        <v>178</v>
      </c>
      <c r="E103" s="103">
        <v>48454</v>
      </c>
      <c r="G103" s="16">
        <v>0</v>
      </c>
      <c r="H103" s="16"/>
      <c r="I103" s="16">
        <v>1365086</v>
      </c>
      <c r="J103" s="16"/>
      <c r="K103" s="16">
        <v>879</v>
      </c>
      <c r="L103" s="16"/>
      <c r="M103" s="16">
        <f>64510+3458967</f>
        <v>3523477</v>
      </c>
      <c r="N103" s="16"/>
      <c r="O103" s="16">
        <v>0</v>
      </c>
      <c r="P103" s="16"/>
      <c r="Q103" s="16">
        <v>0</v>
      </c>
      <c r="R103" s="16"/>
      <c r="S103" s="16">
        <v>4843</v>
      </c>
      <c r="T103" s="16"/>
      <c r="U103" s="16">
        <v>8178</v>
      </c>
      <c r="V103" s="16"/>
      <c r="W103" s="23">
        <f t="shared" si="11"/>
        <v>4902463</v>
      </c>
      <c r="X103" s="16"/>
      <c r="Y103" s="16">
        <v>9030</v>
      </c>
      <c r="Z103" s="16"/>
      <c r="AA103" s="16">
        <v>0</v>
      </c>
      <c r="AB103" s="16"/>
      <c r="AC103" s="16">
        <v>0</v>
      </c>
      <c r="AD103" s="16"/>
      <c r="AE103" s="16">
        <v>0</v>
      </c>
      <c r="AF103" s="16"/>
      <c r="AG103" s="16">
        <v>0</v>
      </c>
      <c r="AH103" s="3" t="s">
        <v>177</v>
      </c>
      <c r="AJ103" s="103" t="s">
        <v>178</v>
      </c>
      <c r="AK103" s="16"/>
      <c r="AL103" s="16">
        <v>0</v>
      </c>
      <c r="AM103" s="16"/>
      <c r="AN103" s="16"/>
      <c r="AO103" s="16"/>
      <c r="AP103" s="16">
        <v>0</v>
      </c>
      <c r="AQ103" s="16"/>
      <c r="AR103" s="16">
        <v>0</v>
      </c>
      <c r="AS103" s="16"/>
      <c r="AT103" s="23">
        <f t="shared" si="9"/>
        <v>9030</v>
      </c>
      <c r="AU103" s="16"/>
      <c r="AV103" s="23">
        <f t="shared" si="10"/>
        <v>4911493</v>
      </c>
    </row>
    <row r="104" spans="1:48" s="59" customFormat="1" ht="12" hidden="1" customHeight="1">
      <c r="A104" s="58" t="s">
        <v>318</v>
      </c>
      <c r="C104" s="59" t="s">
        <v>179</v>
      </c>
      <c r="E104" s="59">
        <v>48546</v>
      </c>
      <c r="G104" s="60">
        <v>0</v>
      </c>
      <c r="H104" s="60"/>
      <c r="I104" s="60">
        <v>0</v>
      </c>
      <c r="J104" s="60"/>
      <c r="K104" s="60">
        <v>0</v>
      </c>
      <c r="L104" s="60"/>
      <c r="M104" s="60">
        <v>0</v>
      </c>
      <c r="N104" s="60"/>
      <c r="O104" s="60">
        <v>0</v>
      </c>
      <c r="P104" s="60"/>
      <c r="Q104" s="60">
        <v>0</v>
      </c>
      <c r="R104" s="60"/>
      <c r="S104" s="60">
        <v>0</v>
      </c>
      <c r="T104" s="60"/>
      <c r="U104" s="60">
        <v>0</v>
      </c>
      <c r="V104" s="60"/>
      <c r="W104" s="62">
        <f t="shared" si="11"/>
        <v>0</v>
      </c>
      <c r="X104" s="60"/>
      <c r="Y104" s="60">
        <v>0</v>
      </c>
      <c r="Z104" s="60"/>
      <c r="AA104" s="60">
        <v>0</v>
      </c>
      <c r="AB104" s="60"/>
      <c r="AC104" s="60">
        <v>0</v>
      </c>
      <c r="AD104" s="60"/>
      <c r="AE104" s="60">
        <v>0</v>
      </c>
      <c r="AF104" s="60"/>
      <c r="AG104" s="60">
        <v>0</v>
      </c>
      <c r="AH104" s="58" t="s">
        <v>318</v>
      </c>
      <c r="AJ104" s="59" t="s">
        <v>179</v>
      </c>
      <c r="AK104" s="60"/>
      <c r="AL104" s="60">
        <v>0</v>
      </c>
      <c r="AM104" s="60"/>
      <c r="AN104" s="60"/>
      <c r="AO104" s="60"/>
      <c r="AP104" s="60">
        <v>0</v>
      </c>
      <c r="AQ104" s="60"/>
      <c r="AR104" s="60">
        <v>0</v>
      </c>
      <c r="AS104" s="60"/>
      <c r="AT104" s="62">
        <f t="shared" si="9"/>
        <v>0</v>
      </c>
      <c r="AU104" s="60"/>
      <c r="AV104" s="62">
        <f t="shared" si="10"/>
        <v>0</v>
      </c>
    </row>
    <row r="105" spans="1:48" s="103" customFormat="1">
      <c r="A105" s="3" t="s">
        <v>319</v>
      </c>
      <c r="C105" s="103" t="s">
        <v>180</v>
      </c>
      <c r="E105" s="103">
        <v>48603</v>
      </c>
      <c r="G105" s="16">
        <v>0</v>
      </c>
      <c r="H105" s="16"/>
      <c r="I105" s="16">
        <v>1411849</v>
      </c>
      <c r="J105" s="16"/>
      <c r="K105" s="16">
        <v>373</v>
      </c>
      <c r="L105" s="16"/>
      <c r="M105" s="16">
        <f>11801287+29025</f>
        <v>11830312</v>
      </c>
      <c r="N105" s="16"/>
      <c r="O105" s="16">
        <v>679</v>
      </c>
      <c r="P105" s="16"/>
      <c r="Q105" s="16">
        <v>0</v>
      </c>
      <c r="R105" s="16"/>
      <c r="S105" s="16">
        <v>5895</v>
      </c>
      <c r="T105" s="16"/>
      <c r="U105" s="16">
        <v>118760</v>
      </c>
      <c r="V105" s="16"/>
      <c r="W105" s="23">
        <f t="shared" si="11"/>
        <v>13367868</v>
      </c>
      <c r="X105" s="16"/>
      <c r="Y105" s="16">
        <v>0</v>
      </c>
      <c r="Z105" s="16"/>
      <c r="AA105" s="16">
        <v>0</v>
      </c>
      <c r="AB105" s="16"/>
      <c r="AC105" s="16">
        <v>0</v>
      </c>
      <c r="AD105" s="16"/>
      <c r="AE105" s="16">
        <v>7033</v>
      </c>
      <c r="AF105" s="16"/>
      <c r="AG105" s="16">
        <v>0</v>
      </c>
      <c r="AH105" s="3" t="s">
        <v>319</v>
      </c>
      <c r="AJ105" s="103" t="s">
        <v>180</v>
      </c>
      <c r="AK105" s="16"/>
      <c r="AL105" s="16">
        <v>0</v>
      </c>
      <c r="AM105" s="16"/>
      <c r="AN105" s="16"/>
      <c r="AO105" s="16"/>
      <c r="AP105" s="16">
        <v>0</v>
      </c>
      <c r="AQ105" s="16"/>
      <c r="AR105" s="16">
        <v>0</v>
      </c>
      <c r="AS105" s="16"/>
      <c r="AT105" s="23">
        <f t="shared" si="9"/>
        <v>7033</v>
      </c>
      <c r="AU105" s="16"/>
      <c r="AV105" s="23">
        <f t="shared" si="10"/>
        <v>13374901</v>
      </c>
    </row>
    <row r="106" spans="1:48" s="59" customFormat="1" hidden="1">
      <c r="A106" s="58" t="s">
        <v>275</v>
      </c>
      <c r="B106" s="58"/>
      <c r="C106" s="58" t="s">
        <v>189</v>
      </c>
      <c r="E106" s="59">
        <v>12351</v>
      </c>
      <c r="G106" s="60">
        <v>0</v>
      </c>
      <c r="H106" s="60"/>
      <c r="I106" s="60">
        <v>0</v>
      </c>
      <c r="J106" s="60"/>
      <c r="K106" s="60">
        <v>0</v>
      </c>
      <c r="L106" s="60"/>
      <c r="M106" s="60">
        <v>0</v>
      </c>
      <c r="N106" s="60"/>
      <c r="O106" s="60">
        <v>0</v>
      </c>
      <c r="P106" s="60"/>
      <c r="Q106" s="60">
        <v>0</v>
      </c>
      <c r="R106" s="60"/>
      <c r="S106" s="60">
        <v>0</v>
      </c>
      <c r="T106" s="60"/>
      <c r="U106" s="60">
        <v>0</v>
      </c>
      <c r="V106" s="60"/>
      <c r="W106" s="62">
        <f t="shared" si="11"/>
        <v>0</v>
      </c>
      <c r="X106" s="60"/>
      <c r="Y106" s="60">
        <v>0</v>
      </c>
      <c r="Z106" s="60"/>
      <c r="AA106" s="60">
        <v>0</v>
      </c>
      <c r="AB106" s="60"/>
      <c r="AC106" s="60">
        <v>0</v>
      </c>
      <c r="AD106" s="60"/>
      <c r="AE106" s="60">
        <v>0</v>
      </c>
      <c r="AF106" s="60"/>
      <c r="AG106" s="60">
        <v>0</v>
      </c>
      <c r="AH106" s="58" t="s">
        <v>275</v>
      </c>
      <c r="AI106" s="58"/>
      <c r="AJ106" s="58" t="s">
        <v>189</v>
      </c>
      <c r="AK106" s="60"/>
      <c r="AL106" s="60">
        <v>0</v>
      </c>
      <c r="AM106" s="60"/>
      <c r="AN106" s="60"/>
      <c r="AO106" s="60"/>
      <c r="AP106" s="60">
        <v>0</v>
      </c>
      <c r="AQ106" s="60"/>
      <c r="AR106" s="60">
        <v>0</v>
      </c>
      <c r="AS106" s="60"/>
      <c r="AT106" s="62">
        <f t="shared" si="9"/>
        <v>0</v>
      </c>
      <c r="AU106" s="60"/>
      <c r="AV106" s="62">
        <f t="shared" si="10"/>
        <v>0</v>
      </c>
    </row>
    <row r="107" spans="1:48" s="103" customFormat="1">
      <c r="A107" s="3" t="s">
        <v>320</v>
      </c>
      <c r="C107" s="103" t="s">
        <v>181</v>
      </c>
      <c r="E107" s="103">
        <v>48660</v>
      </c>
      <c r="G107" s="16">
        <v>0</v>
      </c>
      <c r="H107" s="16"/>
      <c r="I107" s="16">
        <v>5925454</v>
      </c>
      <c r="J107" s="16"/>
      <c r="K107" s="16">
        <v>34671</v>
      </c>
      <c r="L107" s="16"/>
      <c r="M107" s="16">
        <f>18161230+7236822</f>
        <v>25398052</v>
      </c>
      <c r="N107" s="16"/>
      <c r="O107" s="16">
        <v>0</v>
      </c>
      <c r="P107" s="16"/>
      <c r="Q107" s="16">
        <v>0</v>
      </c>
      <c r="R107" s="16"/>
      <c r="S107" s="16">
        <v>0</v>
      </c>
      <c r="T107" s="16"/>
      <c r="U107" s="16">
        <v>52537</v>
      </c>
      <c r="V107" s="16"/>
      <c r="W107" s="23">
        <f t="shared" si="11"/>
        <v>31410714</v>
      </c>
      <c r="X107" s="16"/>
      <c r="Y107" s="16">
        <v>82112</v>
      </c>
      <c r="Z107" s="16"/>
      <c r="AA107" s="16">
        <v>0</v>
      </c>
      <c r="AB107" s="16"/>
      <c r="AC107" s="16">
        <v>0</v>
      </c>
      <c r="AD107" s="16"/>
      <c r="AE107" s="16">
        <v>0</v>
      </c>
      <c r="AF107" s="16"/>
      <c r="AG107" s="16">
        <v>0</v>
      </c>
      <c r="AH107" s="3" t="s">
        <v>320</v>
      </c>
      <c r="AJ107" s="103" t="s">
        <v>181</v>
      </c>
      <c r="AK107" s="16"/>
      <c r="AL107" s="16">
        <v>0</v>
      </c>
      <c r="AM107" s="16"/>
      <c r="AN107" s="16"/>
      <c r="AO107" s="16"/>
      <c r="AP107" s="16">
        <v>0</v>
      </c>
      <c r="AQ107" s="16"/>
      <c r="AR107" s="16">
        <v>0</v>
      </c>
      <c r="AS107" s="16"/>
      <c r="AT107" s="23">
        <f t="shared" si="9"/>
        <v>82112</v>
      </c>
      <c r="AU107" s="16"/>
      <c r="AV107" s="23">
        <f t="shared" si="10"/>
        <v>31492826</v>
      </c>
    </row>
    <row r="108" spans="1:48" s="103" customFormat="1">
      <c r="A108" s="3" t="s">
        <v>182</v>
      </c>
      <c r="C108" s="103" t="s">
        <v>183</v>
      </c>
      <c r="E108" s="103">
        <v>125252</v>
      </c>
      <c r="G108" s="16">
        <v>0</v>
      </c>
      <c r="H108" s="16"/>
      <c r="I108" s="16">
        <v>5206802</v>
      </c>
      <c r="J108" s="16"/>
      <c r="K108" s="16">
        <v>17769</v>
      </c>
      <c r="L108" s="16"/>
      <c r="M108" s="16">
        <f>4784938+8087428</f>
        <v>12872366</v>
      </c>
      <c r="N108" s="16"/>
      <c r="O108" s="16">
        <v>17024</v>
      </c>
      <c r="P108" s="16"/>
      <c r="Q108" s="16">
        <v>0</v>
      </c>
      <c r="R108" s="16"/>
      <c r="S108" s="16">
        <v>1700</v>
      </c>
      <c r="T108" s="16"/>
      <c r="U108" s="16">
        <v>111103</v>
      </c>
      <c r="V108" s="16"/>
      <c r="W108" s="23">
        <f t="shared" si="11"/>
        <v>18226764</v>
      </c>
      <c r="X108" s="16"/>
      <c r="Y108" s="16">
        <v>0</v>
      </c>
      <c r="Z108" s="16"/>
      <c r="AA108" s="16">
        <v>0</v>
      </c>
      <c r="AB108" s="16"/>
      <c r="AC108" s="16">
        <v>0</v>
      </c>
      <c r="AD108" s="16"/>
      <c r="AE108" s="16">
        <v>0</v>
      </c>
      <c r="AF108" s="16"/>
      <c r="AG108" s="16">
        <v>0</v>
      </c>
      <c r="AH108" s="3" t="s">
        <v>182</v>
      </c>
      <c r="AJ108" s="103" t="s">
        <v>183</v>
      </c>
      <c r="AK108" s="16"/>
      <c r="AL108" s="16">
        <v>0</v>
      </c>
      <c r="AM108" s="16"/>
      <c r="AN108" s="16"/>
      <c r="AO108" s="16"/>
      <c r="AP108" s="16">
        <v>0</v>
      </c>
      <c r="AQ108" s="16"/>
      <c r="AR108" s="16">
        <v>0</v>
      </c>
      <c r="AS108" s="16"/>
      <c r="AT108" s="23">
        <f t="shared" si="9"/>
        <v>0</v>
      </c>
      <c r="AU108" s="16"/>
      <c r="AV108" s="23">
        <f t="shared" si="10"/>
        <v>18226764</v>
      </c>
    </row>
    <row r="109" spans="1:48" s="103" customFormat="1">
      <c r="A109" s="3" t="s">
        <v>265</v>
      </c>
      <c r="C109" s="103" t="s">
        <v>193</v>
      </c>
      <c r="E109" s="103">
        <v>123257</v>
      </c>
      <c r="G109" s="16">
        <v>0</v>
      </c>
      <c r="H109" s="16"/>
      <c r="I109" s="16">
        <f>3430104+1968889</f>
        <v>5398993</v>
      </c>
      <c r="J109" s="16"/>
      <c r="K109" s="16">
        <v>1329</v>
      </c>
      <c r="L109" s="16"/>
      <c r="M109" s="16">
        <f>5734+36038+4009340+8452899</f>
        <v>12504011</v>
      </c>
      <c r="N109" s="16"/>
      <c r="O109" s="16">
        <v>1360</v>
      </c>
      <c r="P109" s="16"/>
      <c r="Q109" s="16">
        <v>0</v>
      </c>
      <c r="R109" s="16"/>
      <c r="S109" s="16">
        <v>13262</v>
      </c>
      <c r="T109" s="16"/>
      <c r="U109" s="16">
        <v>874055</v>
      </c>
      <c r="V109" s="16"/>
      <c r="W109" s="23">
        <f t="shared" si="11"/>
        <v>18793010</v>
      </c>
      <c r="X109" s="16"/>
      <c r="Y109" s="16">
        <v>253154</v>
      </c>
      <c r="Z109" s="16"/>
      <c r="AA109" s="16">
        <v>0</v>
      </c>
      <c r="AB109" s="16"/>
      <c r="AC109" s="16">
        <v>0</v>
      </c>
      <c r="AD109" s="16"/>
      <c r="AE109" s="16">
        <v>0</v>
      </c>
      <c r="AF109" s="16"/>
      <c r="AG109" s="16">
        <v>0</v>
      </c>
      <c r="AH109" s="3" t="s">
        <v>265</v>
      </c>
      <c r="AJ109" s="103" t="s">
        <v>193</v>
      </c>
      <c r="AK109" s="16"/>
      <c r="AL109" s="16">
        <v>0</v>
      </c>
      <c r="AM109" s="16"/>
      <c r="AN109" s="16"/>
      <c r="AO109" s="16"/>
      <c r="AP109" s="16">
        <v>0</v>
      </c>
      <c r="AQ109" s="16"/>
      <c r="AR109" s="16">
        <v>0</v>
      </c>
      <c r="AS109" s="16"/>
      <c r="AT109" s="23">
        <f t="shared" si="9"/>
        <v>253154</v>
      </c>
      <c r="AU109" s="16"/>
      <c r="AV109" s="23">
        <f t="shared" si="10"/>
        <v>19046164</v>
      </c>
    </row>
    <row r="110" spans="1:48" s="103" customFormat="1">
      <c r="A110" s="103" t="s">
        <v>299</v>
      </c>
      <c r="C110" s="103" t="s">
        <v>160</v>
      </c>
      <c r="E110" s="116">
        <v>125690</v>
      </c>
      <c r="G110" s="16">
        <v>0</v>
      </c>
      <c r="H110" s="16"/>
      <c r="I110" s="16">
        <f>2997+2853226+427700</f>
        <v>3283923</v>
      </c>
      <c r="J110" s="16"/>
      <c r="K110" s="16">
        <v>9450</v>
      </c>
      <c r="L110" s="16"/>
      <c r="M110" s="16">
        <f>17363591+301417+6825</f>
        <v>17671833</v>
      </c>
      <c r="N110" s="16"/>
      <c r="O110" s="16">
        <v>4780</v>
      </c>
      <c r="P110" s="16"/>
      <c r="Q110" s="16">
        <v>0</v>
      </c>
      <c r="R110" s="16"/>
      <c r="S110" s="16">
        <v>13965</v>
      </c>
      <c r="T110" s="16"/>
      <c r="U110" s="16">
        <v>55562</v>
      </c>
      <c r="V110" s="16"/>
      <c r="W110" s="23">
        <f t="shared" si="11"/>
        <v>21039513</v>
      </c>
      <c r="X110" s="16"/>
      <c r="Y110" s="16">
        <v>0</v>
      </c>
      <c r="Z110" s="16"/>
      <c r="AA110" s="16">
        <v>0</v>
      </c>
      <c r="AB110" s="16"/>
      <c r="AC110" s="16">
        <v>0</v>
      </c>
      <c r="AD110" s="16"/>
      <c r="AE110" s="16">
        <v>0</v>
      </c>
      <c r="AF110" s="16"/>
      <c r="AG110" s="16">
        <v>0</v>
      </c>
      <c r="AH110" s="103" t="s">
        <v>299</v>
      </c>
      <c r="AJ110" s="103" t="s">
        <v>160</v>
      </c>
      <c r="AK110" s="16"/>
      <c r="AL110" s="16">
        <v>1674</v>
      </c>
      <c r="AM110" s="16"/>
      <c r="AN110" s="16"/>
      <c r="AO110" s="16"/>
      <c r="AP110" s="16">
        <v>0</v>
      </c>
      <c r="AQ110" s="16"/>
      <c r="AR110" s="16">
        <v>0</v>
      </c>
      <c r="AS110" s="16"/>
      <c r="AT110" s="23">
        <f t="shared" si="9"/>
        <v>1674</v>
      </c>
      <c r="AU110" s="16"/>
      <c r="AV110" s="23">
        <f t="shared" si="10"/>
        <v>21041187</v>
      </c>
    </row>
    <row r="111" spans="1:48" s="103" customFormat="1">
      <c r="A111" s="3" t="s">
        <v>163</v>
      </c>
      <c r="C111" s="3" t="s">
        <v>321</v>
      </c>
      <c r="E111" s="103">
        <v>124297</v>
      </c>
      <c r="G111" s="16">
        <v>0</v>
      </c>
      <c r="H111" s="16"/>
      <c r="I111" s="16">
        <v>8722615</v>
      </c>
      <c r="J111" s="16"/>
      <c r="K111" s="16">
        <v>2014</v>
      </c>
      <c r="L111" s="16"/>
      <c r="M111" s="16">
        <f>15526051+545515+200963</f>
        <v>16272529</v>
      </c>
      <c r="N111" s="16"/>
      <c r="O111" s="16">
        <v>0</v>
      </c>
      <c r="P111" s="16"/>
      <c r="Q111" s="16">
        <v>0</v>
      </c>
      <c r="R111" s="16"/>
      <c r="S111" s="16">
        <v>20946</v>
      </c>
      <c r="T111" s="16"/>
      <c r="U111" s="16">
        <v>66029</v>
      </c>
      <c r="V111" s="16"/>
      <c r="W111" s="23">
        <f t="shared" si="11"/>
        <v>25084133</v>
      </c>
      <c r="X111" s="16"/>
      <c r="Y111" s="16">
        <v>0</v>
      </c>
      <c r="Z111" s="16"/>
      <c r="AA111" s="16">
        <v>0</v>
      </c>
      <c r="AB111" s="16"/>
      <c r="AC111" s="16">
        <v>0</v>
      </c>
      <c r="AD111" s="16"/>
      <c r="AE111" s="16">
        <v>0</v>
      </c>
      <c r="AF111" s="16"/>
      <c r="AG111" s="16">
        <v>0</v>
      </c>
      <c r="AH111" s="3" t="s">
        <v>163</v>
      </c>
      <c r="AJ111" s="3" t="s">
        <v>321</v>
      </c>
      <c r="AK111" s="16"/>
      <c r="AL111" s="16">
        <v>0</v>
      </c>
      <c r="AM111" s="16"/>
      <c r="AN111" s="16"/>
      <c r="AO111" s="16"/>
      <c r="AP111" s="16">
        <v>0</v>
      </c>
      <c r="AQ111" s="16"/>
      <c r="AR111" s="16">
        <v>0</v>
      </c>
      <c r="AS111" s="16"/>
      <c r="AT111" s="23">
        <f t="shared" si="9"/>
        <v>0</v>
      </c>
      <c r="AU111" s="16"/>
      <c r="AV111" s="23">
        <f t="shared" si="10"/>
        <v>25084133</v>
      </c>
    </row>
    <row r="112" spans="1:48" s="103" customFormat="1">
      <c r="A112" s="3" t="s">
        <v>308</v>
      </c>
      <c r="C112" s="3" t="s">
        <v>259</v>
      </c>
      <c r="E112" s="103">
        <v>123281</v>
      </c>
      <c r="G112" s="16">
        <v>0</v>
      </c>
      <c r="H112" s="16"/>
      <c r="I112" s="16">
        <v>2842652</v>
      </c>
      <c r="J112" s="16"/>
      <c r="K112" s="16">
        <v>3232</v>
      </c>
      <c r="L112" s="16"/>
      <c r="M112" s="16">
        <f>666098+9800+5179328</f>
        <v>5855226</v>
      </c>
      <c r="N112" s="16"/>
      <c r="O112" s="16">
        <v>0</v>
      </c>
      <c r="P112" s="16"/>
      <c r="Q112" s="16">
        <v>0</v>
      </c>
      <c r="R112" s="16"/>
      <c r="S112" s="16">
        <v>2950</v>
      </c>
      <c r="T112" s="16"/>
      <c r="U112" s="16">
        <v>17125</v>
      </c>
      <c r="V112" s="16"/>
      <c r="W112" s="23">
        <f t="shared" si="11"/>
        <v>8721185</v>
      </c>
      <c r="X112" s="16"/>
      <c r="Y112" s="16">
        <v>166083</v>
      </c>
      <c r="Z112" s="16"/>
      <c r="AA112" s="16">
        <v>0</v>
      </c>
      <c r="AB112" s="16"/>
      <c r="AC112" s="16">
        <v>0</v>
      </c>
      <c r="AD112" s="16"/>
      <c r="AE112" s="16">
        <v>0</v>
      </c>
      <c r="AF112" s="16"/>
      <c r="AG112" s="16">
        <v>0</v>
      </c>
      <c r="AH112" s="3" t="s">
        <v>308</v>
      </c>
      <c r="AJ112" s="3" t="s">
        <v>259</v>
      </c>
      <c r="AK112" s="16"/>
      <c r="AL112" s="16">
        <v>0</v>
      </c>
      <c r="AM112" s="16"/>
      <c r="AN112" s="16"/>
      <c r="AO112" s="16"/>
      <c r="AP112" s="16">
        <v>0</v>
      </c>
      <c r="AQ112" s="16"/>
      <c r="AR112" s="16">
        <v>0</v>
      </c>
      <c r="AS112" s="16"/>
      <c r="AT112" s="23">
        <f t="shared" si="9"/>
        <v>166083</v>
      </c>
      <c r="AU112" s="16"/>
      <c r="AV112" s="23">
        <f t="shared" si="10"/>
        <v>8887268</v>
      </c>
    </row>
    <row r="113" spans="1:48" s="89" customFormat="1" hidden="1">
      <c r="A113" s="88" t="s">
        <v>355</v>
      </c>
      <c r="C113" s="89" t="s">
        <v>184</v>
      </c>
      <c r="E113" s="89">
        <v>125674</v>
      </c>
      <c r="G113" s="90">
        <v>0</v>
      </c>
      <c r="H113" s="90"/>
      <c r="I113" s="90">
        <v>0</v>
      </c>
      <c r="J113" s="90"/>
      <c r="K113" s="90">
        <v>0</v>
      </c>
      <c r="L113" s="90"/>
      <c r="M113" s="90">
        <v>0</v>
      </c>
      <c r="N113" s="90"/>
      <c r="O113" s="90">
        <v>0</v>
      </c>
      <c r="P113" s="90"/>
      <c r="Q113" s="90">
        <v>0</v>
      </c>
      <c r="R113" s="90"/>
      <c r="S113" s="90">
        <v>0</v>
      </c>
      <c r="T113" s="90"/>
      <c r="U113" s="90">
        <v>0</v>
      </c>
      <c r="V113" s="90"/>
      <c r="W113" s="97">
        <f t="shared" si="11"/>
        <v>0</v>
      </c>
      <c r="X113" s="90"/>
      <c r="Y113" s="90">
        <v>0</v>
      </c>
      <c r="Z113" s="90"/>
      <c r="AA113" s="90">
        <v>0</v>
      </c>
      <c r="AB113" s="90"/>
      <c r="AC113" s="90">
        <v>0</v>
      </c>
      <c r="AD113" s="90"/>
      <c r="AE113" s="90">
        <v>0</v>
      </c>
      <c r="AF113" s="90"/>
      <c r="AG113" s="90">
        <v>0</v>
      </c>
      <c r="AH113" s="88" t="s">
        <v>355</v>
      </c>
      <c r="AJ113" s="89" t="s">
        <v>184</v>
      </c>
      <c r="AK113" s="90"/>
      <c r="AL113" s="90">
        <v>0</v>
      </c>
      <c r="AM113" s="90"/>
      <c r="AN113" s="90"/>
      <c r="AO113" s="90"/>
      <c r="AP113" s="90">
        <v>0</v>
      </c>
      <c r="AQ113" s="90"/>
      <c r="AR113" s="90">
        <v>0</v>
      </c>
      <c r="AS113" s="90"/>
      <c r="AT113" s="97">
        <f t="shared" si="9"/>
        <v>0</v>
      </c>
      <c r="AU113" s="90"/>
      <c r="AV113" s="97">
        <f t="shared" si="10"/>
        <v>0</v>
      </c>
    </row>
    <row r="114" spans="1:48" s="103" customFormat="1">
      <c r="A114" s="3" t="s">
        <v>332</v>
      </c>
      <c r="C114" s="103" t="s">
        <v>185</v>
      </c>
      <c r="E114" s="103">
        <v>49072</v>
      </c>
      <c r="G114" s="16">
        <v>0</v>
      </c>
      <c r="H114" s="16"/>
      <c r="I114" s="16">
        <v>1007258</v>
      </c>
      <c r="J114" s="16"/>
      <c r="K114" s="16">
        <v>0</v>
      </c>
      <c r="L114" s="16"/>
      <c r="M114" s="16">
        <f>3150864+60816+21864+2354</f>
        <v>3235898</v>
      </c>
      <c r="N114" s="16"/>
      <c r="O114" s="16">
        <v>0</v>
      </c>
      <c r="P114" s="16"/>
      <c r="Q114" s="16">
        <v>0</v>
      </c>
      <c r="R114" s="16"/>
      <c r="S114" s="16">
        <v>0</v>
      </c>
      <c r="T114" s="16"/>
      <c r="U114" s="16">
        <v>84274</v>
      </c>
      <c r="V114" s="16"/>
      <c r="W114" s="23">
        <f t="shared" si="11"/>
        <v>4327430</v>
      </c>
      <c r="X114" s="16"/>
      <c r="Y114" s="16">
        <v>0</v>
      </c>
      <c r="Z114" s="16"/>
      <c r="AA114" s="16">
        <v>0</v>
      </c>
      <c r="AB114" s="16"/>
      <c r="AC114" s="16">
        <v>0</v>
      </c>
      <c r="AD114" s="16"/>
      <c r="AE114" s="16">
        <v>0</v>
      </c>
      <c r="AF114" s="16"/>
      <c r="AG114" s="16">
        <v>0</v>
      </c>
      <c r="AH114" s="3" t="s">
        <v>332</v>
      </c>
      <c r="AJ114" s="103" t="s">
        <v>185</v>
      </c>
      <c r="AK114" s="16"/>
      <c r="AL114" s="16">
        <v>250</v>
      </c>
      <c r="AM114" s="16"/>
      <c r="AN114" s="16"/>
      <c r="AO114" s="16"/>
      <c r="AP114" s="16">
        <v>0</v>
      </c>
      <c r="AQ114" s="16"/>
      <c r="AR114" s="16">
        <v>0</v>
      </c>
      <c r="AS114" s="16"/>
      <c r="AT114" s="23">
        <f t="shared" si="9"/>
        <v>250</v>
      </c>
      <c r="AU114" s="16"/>
      <c r="AV114" s="23">
        <f t="shared" si="10"/>
        <v>4327680</v>
      </c>
    </row>
    <row r="115" spans="1:48" s="103" customFormat="1">
      <c r="A115" s="3" t="s">
        <v>323</v>
      </c>
      <c r="C115" s="103" t="s">
        <v>186</v>
      </c>
      <c r="E115" s="103">
        <v>49163</v>
      </c>
      <c r="G115" s="16">
        <v>0</v>
      </c>
      <c r="H115" s="16"/>
      <c r="I115" s="16">
        <v>1267990</v>
      </c>
      <c r="J115" s="16"/>
      <c r="K115" s="16">
        <v>359</v>
      </c>
      <c r="L115" s="16"/>
      <c r="M115" s="16">
        <f>4820642+2599762</f>
        <v>7420404</v>
      </c>
      <c r="N115" s="16"/>
      <c r="O115" s="16">
        <v>0</v>
      </c>
      <c r="P115" s="16"/>
      <c r="Q115" s="16">
        <v>0</v>
      </c>
      <c r="R115" s="16"/>
      <c r="S115" s="16">
        <v>9500</v>
      </c>
      <c r="T115" s="16"/>
      <c r="U115" s="16">
        <v>22020</v>
      </c>
      <c r="V115" s="16"/>
      <c r="W115" s="23">
        <f t="shared" si="11"/>
        <v>8720273</v>
      </c>
      <c r="X115" s="16"/>
      <c r="Y115" s="16">
        <v>0</v>
      </c>
      <c r="Z115" s="16"/>
      <c r="AA115" s="16">
        <v>0</v>
      </c>
      <c r="AB115" s="16"/>
      <c r="AC115" s="16">
        <v>0</v>
      </c>
      <c r="AD115" s="16"/>
      <c r="AE115" s="16">
        <v>0</v>
      </c>
      <c r="AF115" s="16"/>
      <c r="AG115" s="16">
        <v>0</v>
      </c>
      <c r="AH115" s="3" t="s">
        <v>323</v>
      </c>
      <c r="AJ115" s="103" t="s">
        <v>186</v>
      </c>
      <c r="AK115" s="16"/>
      <c r="AL115" s="16">
        <v>0</v>
      </c>
      <c r="AM115" s="16"/>
      <c r="AN115" s="16"/>
      <c r="AO115" s="16"/>
      <c r="AP115" s="16">
        <v>0</v>
      </c>
      <c r="AQ115" s="16"/>
      <c r="AR115" s="16">
        <v>0</v>
      </c>
      <c r="AS115" s="16"/>
      <c r="AT115" s="23">
        <f t="shared" si="9"/>
        <v>0</v>
      </c>
      <c r="AU115" s="16"/>
      <c r="AV115" s="23">
        <f t="shared" si="10"/>
        <v>8720273</v>
      </c>
    </row>
    <row r="116" spans="1:48" s="59" customFormat="1" hidden="1">
      <c r="A116" s="59" t="s">
        <v>324</v>
      </c>
      <c r="C116" s="59" t="s">
        <v>187</v>
      </c>
      <c r="E116" s="59">
        <v>49254</v>
      </c>
      <c r="G116" s="60">
        <v>0</v>
      </c>
      <c r="H116" s="60"/>
      <c r="I116" s="60">
        <v>0</v>
      </c>
      <c r="J116" s="60"/>
      <c r="K116" s="60">
        <v>0</v>
      </c>
      <c r="L116" s="60"/>
      <c r="M116" s="60">
        <v>0</v>
      </c>
      <c r="N116" s="60"/>
      <c r="O116" s="60">
        <v>0</v>
      </c>
      <c r="P116" s="60"/>
      <c r="Q116" s="60">
        <v>0</v>
      </c>
      <c r="R116" s="60"/>
      <c r="S116" s="60">
        <v>0</v>
      </c>
      <c r="T116" s="60"/>
      <c r="U116" s="60">
        <v>0</v>
      </c>
      <c r="V116" s="60"/>
      <c r="W116" s="62">
        <f t="shared" si="11"/>
        <v>0</v>
      </c>
      <c r="X116" s="60"/>
      <c r="Y116" s="60">
        <v>0</v>
      </c>
      <c r="Z116" s="60"/>
      <c r="AA116" s="60">
        <v>0</v>
      </c>
      <c r="AB116" s="60"/>
      <c r="AC116" s="60">
        <v>0</v>
      </c>
      <c r="AD116" s="60"/>
      <c r="AE116" s="60">
        <v>0</v>
      </c>
      <c r="AF116" s="60"/>
      <c r="AG116" s="16">
        <v>0</v>
      </c>
      <c r="AH116" s="59" t="s">
        <v>324</v>
      </c>
      <c r="AJ116" s="59" t="s">
        <v>187</v>
      </c>
      <c r="AK116" s="60"/>
      <c r="AL116" s="60">
        <v>0</v>
      </c>
      <c r="AM116" s="60"/>
      <c r="AN116" s="60"/>
      <c r="AO116" s="60"/>
      <c r="AP116" s="60">
        <v>0</v>
      </c>
      <c r="AQ116" s="60"/>
      <c r="AR116" s="60">
        <v>0</v>
      </c>
      <c r="AS116" s="60"/>
      <c r="AT116" s="62">
        <f t="shared" si="9"/>
        <v>0</v>
      </c>
      <c r="AU116" s="60"/>
      <c r="AV116" s="62">
        <f t="shared" si="10"/>
        <v>0</v>
      </c>
    </row>
    <row r="117" spans="1:48" s="103" customFormat="1">
      <c r="A117" s="3" t="s">
        <v>325</v>
      </c>
      <c r="C117" s="103" t="s">
        <v>188</v>
      </c>
      <c r="E117" s="103">
        <v>49304</v>
      </c>
      <c r="G117" s="16">
        <v>0</v>
      </c>
      <c r="H117" s="16"/>
      <c r="I117" s="16">
        <f>9425+863195+2565189</f>
        <v>3437809</v>
      </c>
      <c r="J117" s="16"/>
      <c r="K117" s="16">
        <v>3596</v>
      </c>
      <c r="L117" s="16"/>
      <c r="M117" s="16">
        <f>1906469+93107+225174</f>
        <v>2224750</v>
      </c>
      <c r="N117" s="16"/>
      <c r="O117" s="16">
        <v>0</v>
      </c>
      <c r="P117" s="16"/>
      <c r="Q117" s="16">
        <v>0</v>
      </c>
      <c r="R117" s="16"/>
      <c r="S117" s="16">
        <v>0</v>
      </c>
      <c r="T117" s="16"/>
      <c r="U117" s="16">
        <v>11101</v>
      </c>
      <c r="V117" s="16"/>
      <c r="W117" s="23">
        <f t="shared" si="11"/>
        <v>5677256</v>
      </c>
      <c r="X117" s="16"/>
      <c r="Y117" s="16">
        <v>0</v>
      </c>
      <c r="Z117" s="16"/>
      <c r="AA117" s="16">
        <v>0</v>
      </c>
      <c r="AB117" s="16"/>
      <c r="AC117" s="16">
        <v>0</v>
      </c>
      <c r="AD117" s="16"/>
      <c r="AE117" s="16">
        <v>0</v>
      </c>
      <c r="AF117" s="16"/>
      <c r="AG117" s="16">
        <v>0</v>
      </c>
      <c r="AH117" s="3" t="s">
        <v>325</v>
      </c>
      <c r="AJ117" s="103" t="s">
        <v>188</v>
      </c>
      <c r="AK117" s="16"/>
      <c r="AL117" s="16">
        <v>0</v>
      </c>
      <c r="AM117" s="16"/>
      <c r="AN117" s="16"/>
      <c r="AO117" s="16"/>
      <c r="AP117" s="16">
        <v>0</v>
      </c>
      <c r="AQ117" s="16"/>
      <c r="AR117" s="16">
        <v>0</v>
      </c>
      <c r="AS117" s="16"/>
      <c r="AT117" s="23">
        <f t="shared" si="9"/>
        <v>0</v>
      </c>
      <c r="AU117" s="16"/>
      <c r="AV117" s="23">
        <f t="shared" si="10"/>
        <v>5677256</v>
      </c>
    </row>
    <row r="118" spans="1:48" s="103" customFormat="1">
      <c r="A118" s="3" t="s">
        <v>326</v>
      </c>
      <c r="C118" s="103" t="s">
        <v>190</v>
      </c>
      <c r="E118" s="103">
        <v>138222</v>
      </c>
      <c r="G118" s="16">
        <v>0</v>
      </c>
      <c r="H118" s="16"/>
      <c r="I118" s="16">
        <v>3295182</v>
      </c>
      <c r="J118" s="16"/>
      <c r="K118" s="16">
        <v>7635</v>
      </c>
      <c r="L118" s="16"/>
      <c r="M118" s="16">
        <f>5032238+394690+32184</f>
        <v>5459112</v>
      </c>
      <c r="N118" s="16"/>
      <c r="O118" s="16">
        <v>0</v>
      </c>
      <c r="P118" s="16"/>
      <c r="Q118" s="16">
        <v>0</v>
      </c>
      <c r="R118" s="16"/>
      <c r="S118" s="16">
        <v>5279</v>
      </c>
      <c r="T118" s="16"/>
      <c r="U118" s="16">
        <v>239152</v>
      </c>
      <c r="V118" s="16"/>
      <c r="W118" s="23">
        <f t="shared" si="11"/>
        <v>9006360</v>
      </c>
      <c r="X118" s="16"/>
      <c r="Y118" s="16">
        <v>0</v>
      </c>
      <c r="Z118" s="16"/>
      <c r="AA118" s="16">
        <v>0</v>
      </c>
      <c r="AB118" s="16"/>
      <c r="AC118" s="16">
        <v>0</v>
      </c>
      <c r="AD118" s="16"/>
      <c r="AE118" s="16">
        <v>0</v>
      </c>
      <c r="AF118" s="16"/>
      <c r="AG118" s="16">
        <v>0</v>
      </c>
      <c r="AH118" s="3" t="s">
        <v>326</v>
      </c>
      <c r="AJ118" s="103" t="s">
        <v>190</v>
      </c>
      <c r="AK118" s="16"/>
      <c r="AL118" s="16">
        <v>0</v>
      </c>
      <c r="AM118" s="16"/>
      <c r="AN118" s="16"/>
      <c r="AO118" s="16"/>
      <c r="AP118" s="16">
        <v>0</v>
      </c>
      <c r="AQ118" s="16"/>
      <c r="AR118" s="16">
        <v>0</v>
      </c>
      <c r="AS118" s="16"/>
      <c r="AT118" s="23">
        <f t="shared" si="9"/>
        <v>0</v>
      </c>
      <c r="AU118" s="16"/>
      <c r="AV118" s="23">
        <f t="shared" si="10"/>
        <v>9006360</v>
      </c>
    </row>
    <row r="119" spans="1:48" s="89" customFormat="1" hidden="1">
      <c r="A119" s="88" t="s">
        <v>300</v>
      </c>
      <c r="C119" s="89" t="s">
        <v>191</v>
      </c>
      <c r="E119" s="89">
        <v>49551</v>
      </c>
      <c r="G119" s="90">
        <v>0</v>
      </c>
      <c r="H119" s="90"/>
      <c r="I119" s="90">
        <v>0</v>
      </c>
      <c r="J119" s="90"/>
      <c r="K119" s="90">
        <v>0</v>
      </c>
      <c r="L119" s="90"/>
      <c r="M119" s="90">
        <v>0</v>
      </c>
      <c r="N119" s="90"/>
      <c r="O119" s="90">
        <v>0</v>
      </c>
      <c r="P119" s="90"/>
      <c r="Q119" s="90">
        <v>0</v>
      </c>
      <c r="R119" s="90"/>
      <c r="S119" s="90">
        <v>0</v>
      </c>
      <c r="T119" s="90"/>
      <c r="U119" s="90">
        <v>0</v>
      </c>
      <c r="V119" s="90"/>
      <c r="W119" s="97">
        <f t="shared" si="11"/>
        <v>0</v>
      </c>
      <c r="X119" s="90"/>
      <c r="Y119" s="90">
        <v>0</v>
      </c>
      <c r="Z119" s="90"/>
      <c r="AA119" s="90">
        <v>0</v>
      </c>
      <c r="AB119" s="90"/>
      <c r="AC119" s="90">
        <v>0</v>
      </c>
      <c r="AD119" s="90"/>
      <c r="AE119" s="90">
        <v>0</v>
      </c>
      <c r="AF119" s="90"/>
      <c r="AG119" s="90">
        <v>0</v>
      </c>
      <c r="AH119" s="88" t="s">
        <v>300</v>
      </c>
      <c r="AJ119" s="89" t="s">
        <v>191</v>
      </c>
      <c r="AK119" s="90"/>
      <c r="AL119" s="90">
        <v>0</v>
      </c>
      <c r="AM119" s="90"/>
      <c r="AN119" s="90"/>
      <c r="AO119" s="90"/>
      <c r="AP119" s="90">
        <v>0</v>
      </c>
      <c r="AQ119" s="90"/>
      <c r="AR119" s="90">
        <v>0</v>
      </c>
      <c r="AS119" s="90"/>
      <c r="AT119" s="97">
        <f t="shared" si="9"/>
        <v>0</v>
      </c>
      <c r="AU119" s="90"/>
      <c r="AV119" s="97">
        <f t="shared" si="10"/>
        <v>0</v>
      </c>
    </row>
    <row r="120" spans="1:48" s="59" customFormat="1" hidden="1">
      <c r="A120" s="58" t="s">
        <v>384</v>
      </c>
      <c r="C120" s="59" t="s">
        <v>194</v>
      </c>
      <c r="E120" s="59">
        <v>49742</v>
      </c>
      <c r="G120" s="60">
        <v>0</v>
      </c>
      <c r="H120" s="60"/>
      <c r="I120" s="60">
        <v>0</v>
      </c>
      <c r="J120" s="60"/>
      <c r="K120" s="60">
        <v>0</v>
      </c>
      <c r="L120" s="60"/>
      <c r="M120" s="60">
        <v>0</v>
      </c>
      <c r="N120" s="60"/>
      <c r="O120" s="60">
        <v>0</v>
      </c>
      <c r="P120" s="60"/>
      <c r="Q120" s="60">
        <v>0</v>
      </c>
      <c r="R120" s="60"/>
      <c r="S120" s="60">
        <v>0</v>
      </c>
      <c r="T120" s="60"/>
      <c r="U120" s="60">
        <v>0</v>
      </c>
      <c r="V120" s="60"/>
      <c r="W120" s="62">
        <f t="shared" si="11"/>
        <v>0</v>
      </c>
      <c r="X120" s="60"/>
      <c r="Y120" s="60">
        <v>0</v>
      </c>
      <c r="Z120" s="60"/>
      <c r="AA120" s="60">
        <v>0</v>
      </c>
      <c r="AB120" s="60"/>
      <c r="AC120" s="60">
        <v>0</v>
      </c>
      <c r="AD120" s="60"/>
      <c r="AE120" s="60">
        <v>0</v>
      </c>
      <c r="AF120" s="60"/>
      <c r="AG120" s="60">
        <v>0</v>
      </c>
      <c r="AH120" s="58" t="s">
        <v>384</v>
      </c>
      <c r="AJ120" s="59" t="s">
        <v>194</v>
      </c>
      <c r="AK120" s="60"/>
      <c r="AL120" s="60">
        <v>0</v>
      </c>
      <c r="AM120" s="60"/>
      <c r="AN120" s="60">
        <v>0</v>
      </c>
      <c r="AO120" s="60"/>
      <c r="AP120" s="60">
        <v>0</v>
      </c>
      <c r="AQ120" s="60"/>
      <c r="AR120" s="60">
        <v>0</v>
      </c>
      <c r="AS120" s="60"/>
      <c r="AT120" s="62">
        <f t="shared" si="9"/>
        <v>0</v>
      </c>
      <c r="AU120" s="60"/>
      <c r="AV120" s="62">
        <f t="shared" si="10"/>
        <v>0</v>
      </c>
    </row>
    <row r="121" spans="1:48" s="103" customFormat="1">
      <c r="A121" s="3" t="s">
        <v>263</v>
      </c>
      <c r="C121" s="103" t="s">
        <v>192</v>
      </c>
      <c r="E121" s="103">
        <v>125658</v>
      </c>
      <c r="G121" s="16">
        <v>0</v>
      </c>
      <c r="H121" s="16"/>
      <c r="I121" s="16">
        <v>2020852</v>
      </c>
      <c r="J121" s="16"/>
      <c r="K121" s="16">
        <v>9241</v>
      </c>
      <c r="L121" s="16"/>
      <c r="M121" s="16">
        <f>6262585+1547634</f>
        <v>7810219</v>
      </c>
      <c r="N121" s="16"/>
      <c r="O121" s="16">
        <v>0</v>
      </c>
      <c r="P121" s="16"/>
      <c r="Q121" s="16">
        <v>0</v>
      </c>
      <c r="R121" s="16"/>
      <c r="S121" s="16">
        <v>26370</v>
      </c>
      <c r="T121" s="16"/>
      <c r="U121" s="16">
        <v>41</v>
      </c>
      <c r="V121" s="16"/>
      <c r="W121" s="23">
        <f t="shared" si="11"/>
        <v>9866723</v>
      </c>
      <c r="X121" s="16"/>
      <c r="Y121" s="16">
        <v>0</v>
      </c>
      <c r="Z121" s="16"/>
      <c r="AA121" s="16">
        <v>0</v>
      </c>
      <c r="AB121" s="16"/>
      <c r="AC121" s="16">
        <v>0</v>
      </c>
      <c r="AD121" s="16"/>
      <c r="AE121" s="16">
        <v>0</v>
      </c>
      <c r="AF121" s="16"/>
      <c r="AG121" s="16">
        <v>0</v>
      </c>
      <c r="AH121" s="3" t="s">
        <v>263</v>
      </c>
      <c r="AJ121" s="103" t="s">
        <v>192</v>
      </c>
      <c r="AK121" s="16"/>
      <c r="AL121" s="16">
        <v>0</v>
      </c>
      <c r="AM121" s="16"/>
      <c r="AN121" s="16">
        <v>0</v>
      </c>
      <c r="AO121" s="16"/>
      <c r="AP121" s="16">
        <v>0</v>
      </c>
      <c r="AQ121" s="16"/>
      <c r="AR121" s="16">
        <v>0</v>
      </c>
      <c r="AS121" s="16"/>
      <c r="AT121" s="23">
        <f t="shared" si="9"/>
        <v>0</v>
      </c>
      <c r="AU121" s="16"/>
      <c r="AV121" s="23">
        <f t="shared" si="10"/>
        <v>9866723</v>
      </c>
    </row>
    <row r="122" spans="1:48" s="103" customFormat="1">
      <c r="A122" s="3" t="s">
        <v>262</v>
      </c>
      <c r="B122" s="3"/>
      <c r="C122" s="3" t="s">
        <v>155</v>
      </c>
      <c r="E122" s="103">
        <v>46375</v>
      </c>
      <c r="G122" s="16">
        <v>0</v>
      </c>
      <c r="H122" s="16"/>
      <c r="I122" s="16">
        <v>1065497</v>
      </c>
      <c r="J122" s="16"/>
      <c r="K122" s="16">
        <v>42082</v>
      </c>
      <c r="L122" s="16"/>
      <c r="M122" s="16">
        <f>2429646+201382</f>
        <v>2631028</v>
      </c>
      <c r="N122" s="16"/>
      <c r="O122" s="16">
        <v>0</v>
      </c>
      <c r="P122" s="16"/>
      <c r="Q122" s="16">
        <v>0</v>
      </c>
      <c r="R122" s="16"/>
      <c r="S122" s="16">
        <v>0</v>
      </c>
      <c r="T122" s="16"/>
      <c r="U122" s="16">
        <v>73163</v>
      </c>
      <c r="V122" s="16"/>
      <c r="W122" s="23">
        <f t="shared" si="11"/>
        <v>3811770</v>
      </c>
      <c r="X122" s="16"/>
      <c r="Y122" s="16">
        <v>0</v>
      </c>
      <c r="Z122" s="16"/>
      <c r="AA122" s="16">
        <v>0</v>
      </c>
      <c r="AB122" s="16"/>
      <c r="AC122" s="16">
        <v>0</v>
      </c>
      <c r="AD122" s="16"/>
      <c r="AE122" s="16">
        <v>0</v>
      </c>
      <c r="AF122" s="16"/>
      <c r="AG122" s="16">
        <v>0</v>
      </c>
      <c r="AH122" s="3" t="s">
        <v>262</v>
      </c>
      <c r="AI122" s="3"/>
      <c r="AJ122" s="3" t="s">
        <v>155</v>
      </c>
      <c r="AK122" s="16"/>
      <c r="AL122" s="16">
        <v>1000</v>
      </c>
      <c r="AM122" s="16"/>
      <c r="AN122" s="16">
        <v>0</v>
      </c>
      <c r="AO122" s="16"/>
      <c r="AP122" s="16">
        <v>0</v>
      </c>
      <c r="AQ122" s="16"/>
      <c r="AR122" s="16">
        <v>0</v>
      </c>
      <c r="AS122" s="16"/>
      <c r="AT122" s="23">
        <f t="shared" si="9"/>
        <v>1000</v>
      </c>
      <c r="AU122" s="16"/>
      <c r="AV122" s="23">
        <f t="shared" si="10"/>
        <v>3812770</v>
      </c>
    </row>
    <row r="123" spans="1:48" s="103" customFormat="1">
      <c r="A123" s="103" t="s">
        <v>330</v>
      </c>
      <c r="C123" s="103" t="s">
        <v>195</v>
      </c>
      <c r="E123" s="103">
        <v>49825</v>
      </c>
      <c r="G123" s="16">
        <v>0</v>
      </c>
      <c r="H123" s="16"/>
      <c r="I123" s="16">
        <f>88666+3505420+2097458</f>
        <v>5691544</v>
      </c>
      <c r="J123" s="16"/>
      <c r="K123" s="16">
        <v>3166</v>
      </c>
      <c r="L123" s="16"/>
      <c r="M123" s="16">
        <f>8864696+15563+6304260+26400</f>
        <v>15210919</v>
      </c>
      <c r="N123" s="16"/>
      <c r="O123" s="16">
        <v>0</v>
      </c>
      <c r="P123" s="16"/>
      <c r="Q123" s="16">
        <v>0</v>
      </c>
      <c r="R123" s="16"/>
      <c r="S123" s="16">
        <v>14809</v>
      </c>
      <c r="T123" s="16"/>
      <c r="U123" s="16">
        <v>260783</v>
      </c>
      <c r="V123" s="16"/>
      <c r="W123" s="23">
        <f t="shared" si="11"/>
        <v>21181221</v>
      </c>
      <c r="X123" s="16"/>
      <c r="Y123" s="16">
        <v>0</v>
      </c>
      <c r="Z123" s="16"/>
      <c r="AA123" s="16">
        <v>0</v>
      </c>
      <c r="AB123" s="16"/>
      <c r="AC123" s="16">
        <v>0</v>
      </c>
      <c r="AD123" s="16"/>
      <c r="AE123" s="16">
        <v>0</v>
      </c>
      <c r="AF123" s="16"/>
      <c r="AG123" s="16">
        <v>0</v>
      </c>
      <c r="AH123" s="103" t="s">
        <v>330</v>
      </c>
      <c r="AJ123" s="103" t="s">
        <v>195</v>
      </c>
      <c r="AK123" s="16"/>
      <c r="AL123" s="16">
        <v>0</v>
      </c>
      <c r="AM123" s="16"/>
      <c r="AN123" s="16">
        <v>0</v>
      </c>
      <c r="AO123" s="16"/>
      <c r="AP123" s="16">
        <v>0</v>
      </c>
      <c r="AQ123" s="16"/>
      <c r="AR123" s="16">
        <v>0</v>
      </c>
      <c r="AS123" s="16"/>
      <c r="AT123" s="23">
        <f t="shared" si="9"/>
        <v>0</v>
      </c>
      <c r="AU123" s="16"/>
      <c r="AV123" s="23">
        <f t="shared" si="10"/>
        <v>21181221</v>
      </c>
    </row>
    <row r="124" spans="1:48" s="103" customFormat="1">
      <c r="A124" s="3" t="s">
        <v>331</v>
      </c>
      <c r="C124" s="103" t="s">
        <v>196</v>
      </c>
      <c r="E124" s="103">
        <v>49965</v>
      </c>
      <c r="G124" s="16">
        <v>0</v>
      </c>
      <c r="H124" s="16"/>
      <c r="I124" s="16">
        <v>5142393</v>
      </c>
      <c r="J124" s="16"/>
      <c r="K124" s="16">
        <v>5669</v>
      </c>
      <c r="L124" s="16"/>
      <c r="M124" s="16">
        <f>3925507+8491724</f>
        <v>12417231</v>
      </c>
      <c r="N124" s="16"/>
      <c r="O124" s="16">
        <v>0</v>
      </c>
      <c r="P124" s="16"/>
      <c r="Q124" s="16">
        <v>0</v>
      </c>
      <c r="R124" s="16"/>
      <c r="S124" s="16">
        <v>0</v>
      </c>
      <c r="T124" s="16"/>
      <c r="U124" s="16">
        <v>2566</v>
      </c>
      <c r="V124" s="16"/>
      <c r="W124" s="23">
        <f t="shared" si="11"/>
        <v>17567859</v>
      </c>
      <c r="X124" s="16"/>
      <c r="Y124" s="16">
        <v>0</v>
      </c>
      <c r="Z124" s="16"/>
      <c r="AA124" s="16">
        <v>0</v>
      </c>
      <c r="AB124" s="16"/>
      <c r="AC124" s="16">
        <v>0</v>
      </c>
      <c r="AD124" s="16"/>
      <c r="AE124" s="16">
        <v>0</v>
      </c>
      <c r="AF124" s="16"/>
      <c r="AG124" s="16">
        <v>0</v>
      </c>
      <c r="AH124" s="3" t="s">
        <v>331</v>
      </c>
      <c r="AJ124" s="103" t="s">
        <v>196</v>
      </c>
      <c r="AK124" s="16"/>
      <c r="AL124" s="16">
        <v>0</v>
      </c>
      <c r="AM124" s="16"/>
      <c r="AN124" s="16">
        <v>0</v>
      </c>
      <c r="AO124" s="16"/>
      <c r="AP124" s="16">
        <v>0</v>
      </c>
      <c r="AQ124" s="16"/>
      <c r="AR124" s="16">
        <v>0</v>
      </c>
      <c r="AS124" s="16"/>
      <c r="AT124" s="23">
        <f t="shared" si="9"/>
        <v>0</v>
      </c>
      <c r="AU124" s="16"/>
      <c r="AV124" s="23">
        <f t="shared" si="10"/>
        <v>17567859</v>
      </c>
    </row>
    <row r="125" spans="1:48" s="59" customFormat="1" hidden="1">
      <c r="A125" s="58" t="s">
        <v>353</v>
      </c>
      <c r="C125" s="59" t="s">
        <v>203</v>
      </c>
      <c r="E125" s="59">
        <v>50526</v>
      </c>
      <c r="G125" s="60">
        <v>0</v>
      </c>
      <c r="H125" s="60"/>
      <c r="I125" s="60">
        <v>0</v>
      </c>
      <c r="J125" s="60"/>
      <c r="K125" s="60">
        <v>0</v>
      </c>
      <c r="L125" s="60"/>
      <c r="M125" s="60">
        <v>0</v>
      </c>
      <c r="N125" s="60"/>
      <c r="O125" s="60">
        <v>0</v>
      </c>
      <c r="P125" s="60"/>
      <c r="Q125" s="60">
        <v>0</v>
      </c>
      <c r="R125" s="60"/>
      <c r="S125" s="60">
        <v>0</v>
      </c>
      <c r="T125" s="60"/>
      <c r="U125" s="60">
        <v>0</v>
      </c>
      <c r="V125" s="60"/>
      <c r="W125" s="62">
        <f t="shared" si="11"/>
        <v>0</v>
      </c>
      <c r="X125" s="60"/>
      <c r="Y125" s="60">
        <v>0</v>
      </c>
      <c r="Z125" s="60"/>
      <c r="AA125" s="60">
        <v>0</v>
      </c>
      <c r="AB125" s="60"/>
      <c r="AC125" s="60">
        <v>0</v>
      </c>
      <c r="AD125" s="60"/>
      <c r="AE125" s="60">
        <v>0</v>
      </c>
      <c r="AF125" s="60"/>
      <c r="AG125" s="60">
        <v>0</v>
      </c>
      <c r="AH125" s="58" t="s">
        <v>353</v>
      </c>
      <c r="AJ125" s="59" t="s">
        <v>203</v>
      </c>
      <c r="AK125" s="60"/>
      <c r="AL125" s="60">
        <v>0</v>
      </c>
      <c r="AM125" s="60"/>
      <c r="AN125" s="60">
        <v>0</v>
      </c>
      <c r="AO125" s="60"/>
      <c r="AP125" s="60">
        <v>0</v>
      </c>
      <c r="AQ125" s="60"/>
      <c r="AR125" s="60">
        <v>0</v>
      </c>
      <c r="AS125" s="60"/>
      <c r="AT125" s="62">
        <f t="shared" si="9"/>
        <v>0</v>
      </c>
      <c r="AU125" s="60"/>
      <c r="AV125" s="62">
        <f t="shared" si="10"/>
        <v>0</v>
      </c>
    </row>
    <row r="126" spans="1:48" s="103" customFormat="1">
      <c r="A126" s="3" t="s">
        <v>333</v>
      </c>
      <c r="C126" s="103" t="s">
        <v>197</v>
      </c>
      <c r="E126" s="103">
        <v>50088</v>
      </c>
      <c r="G126" s="16">
        <v>0</v>
      </c>
      <c r="H126" s="16"/>
      <c r="I126" s="16">
        <f>2065409+123728</f>
        <v>2189137</v>
      </c>
      <c r="J126" s="16"/>
      <c r="K126" s="16">
        <v>30634</v>
      </c>
      <c r="L126" s="16"/>
      <c r="M126" s="16">
        <f>13141713+30939</f>
        <v>13172652</v>
      </c>
      <c r="N126" s="16"/>
      <c r="O126" s="16">
        <v>0</v>
      </c>
      <c r="P126" s="16"/>
      <c r="Q126" s="16">
        <v>0</v>
      </c>
      <c r="R126" s="16"/>
      <c r="S126" s="16">
        <v>98424</v>
      </c>
      <c r="T126" s="16"/>
      <c r="U126" s="16">
        <v>2720</v>
      </c>
      <c r="V126" s="16"/>
      <c r="W126" s="23">
        <f t="shared" si="11"/>
        <v>15493567</v>
      </c>
      <c r="X126" s="16"/>
      <c r="Y126" s="16">
        <v>0</v>
      </c>
      <c r="Z126" s="16"/>
      <c r="AA126" s="16">
        <v>0</v>
      </c>
      <c r="AB126" s="16"/>
      <c r="AC126" s="16">
        <v>0</v>
      </c>
      <c r="AD126" s="16"/>
      <c r="AE126" s="16">
        <v>0</v>
      </c>
      <c r="AF126" s="16"/>
      <c r="AG126" s="16">
        <v>0</v>
      </c>
      <c r="AH126" s="3" t="s">
        <v>333</v>
      </c>
      <c r="AJ126" s="103" t="s">
        <v>197</v>
      </c>
      <c r="AK126" s="16"/>
      <c r="AL126" s="16">
        <v>0</v>
      </c>
      <c r="AM126" s="16"/>
      <c r="AN126" s="16">
        <v>0</v>
      </c>
      <c r="AO126" s="16"/>
      <c r="AP126" s="16">
        <v>0</v>
      </c>
      <c r="AQ126" s="16"/>
      <c r="AR126" s="16">
        <v>0</v>
      </c>
      <c r="AS126" s="16"/>
      <c r="AT126" s="23">
        <f t="shared" si="9"/>
        <v>0</v>
      </c>
      <c r="AU126" s="16"/>
      <c r="AV126" s="23">
        <f t="shared" si="10"/>
        <v>15493567</v>
      </c>
    </row>
    <row r="127" spans="1:48" s="89" customFormat="1" hidden="1">
      <c r="A127" s="88" t="s">
        <v>301</v>
      </c>
      <c r="C127" s="89" t="s">
        <v>198</v>
      </c>
      <c r="E127" s="89">
        <v>50260</v>
      </c>
      <c r="G127" s="90">
        <v>0</v>
      </c>
      <c r="H127" s="90"/>
      <c r="I127" s="90">
        <v>0</v>
      </c>
      <c r="J127" s="90"/>
      <c r="K127" s="90">
        <v>0</v>
      </c>
      <c r="L127" s="90"/>
      <c r="M127" s="90">
        <v>0</v>
      </c>
      <c r="N127" s="90"/>
      <c r="O127" s="90">
        <v>0</v>
      </c>
      <c r="P127" s="90"/>
      <c r="Q127" s="90">
        <v>0</v>
      </c>
      <c r="R127" s="90"/>
      <c r="S127" s="90">
        <v>0</v>
      </c>
      <c r="T127" s="90"/>
      <c r="U127" s="90">
        <v>0</v>
      </c>
      <c r="V127" s="90"/>
      <c r="W127" s="97">
        <f t="shared" si="11"/>
        <v>0</v>
      </c>
      <c r="X127" s="90"/>
      <c r="Y127" s="90">
        <v>0</v>
      </c>
      <c r="Z127" s="90"/>
      <c r="AA127" s="90">
        <v>0</v>
      </c>
      <c r="AB127" s="90"/>
      <c r="AC127" s="90">
        <v>0</v>
      </c>
      <c r="AD127" s="90"/>
      <c r="AE127" s="90">
        <v>0</v>
      </c>
      <c r="AF127" s="90"/>
      <c r="AG127" s="90"/>
      <c r="AH127" s="88" t="s">
        <v>301</v>
      </c>
      <c r="AJ127" s="89" t="s">
        <v>198</v>
      </c>
      <c r="AK127" s="90"/>
      <c r="AL127" s="90">
        <v>0</v>
      </c>
      <c r="AM127" s="90"/>
      <c r="AN127" s="90"/>
      <c r="AO127" s="90"/>
      <c r="AP127" s="90">
        <v>0</v>
      </c>
      <c r="AQ127" s="90"/>
      <c r="AR127" s="90">
        <v>0</v>
      </c>
      <c r="AS127" s="90"/>
      <c r="AT127" s="97">
        <f t="shared" si="9"/>
        <v>0</v>
      </c>
      <c r="AU127" s="90"/>
      <c r="AV127" s="97">
        <f t="shared" si="10"/>
        <v>0</v>
      </c>
    </row>
    <row r="128" spans="1:48" s="59" customFormat="1" hidden="1">
      <c r="A128" s="58" t="s">
        <v>335</v>
      </c>
      <c r="C128" s="59" t="s">
        <v>201</v>
      </c>
      <c r="E128" s="59">
        <v>50401</v>
      </c>
      <c r="G128" s="60">
        <v>0</v>
      </c>
      <c r="H128" s="60"/>
      <c r="I128" s="60">
        <v>0</v>
      </c>
      <c r="J128" s="60"/>
      <c r="K128" s="60">
        <v>0</v>
      </c>
      <c r="L128" s="60"/>
      <c r="M128" s="60">
        <v>0</v>
      </c>
      <c r="N128" s="60"/>
      <c r="O128" s="60">
        <v>0</v>
      </c>
      <c r="P128" s="60"/>
      <c r="Q128" s="60">
        <v>0</v>
      </c>
      <c r="R128" s="60"/>
      <c r="S128" s="60">
        <v>0</v>
      </c>
      <c r="T128" s="60"/>
      <c r="U128" s="60">
        <v>0</v>
      </c>
      <c r="V128" s="60"/>
      <c r="W128" s="62">
        <f t="shared" si="11"/>
        <v>0</v>
      </c>
      <c r="X128" s="60"/>
      <c r="Y128" s="60">
        <v>0</v>
      </c>
      <c r="Z128" s="60"/>
      <c r="AA128" s="60">
        <v>0</v>
      </c>
      <c r="AB128" s="60"/>
      <c r="AC128" s="60">
        <v>0</v>
      </c>
      <c r="AD128" s="60"/>
      <c r="AE128" s="60">
        <v>0</v>
      </c>
      <c r="AF128" s="60"/>
      <c r="AG128" s="60"/>
      <c r="AH128" s="58" t="s">
        <v>335</v>
      </c>
      <c r="AJ128" s="59" t="s">
        <v>201</v>
      </c>
      <c r="AK128" s="60"/>
      <c r="AL128" s="60">
        <v>0</v>
      </c>
      <c r="AM128" s="60"/>
      <c r="AN128" s="60"/>
      <c r="AO128" s="60"/>
      <c r="AP128" s="60">
        <v>0</v>
      </c>
      <c r="AQ128" s="60"/>
      <c r="AR128" s="60">
        <v>0</v>
      </c>
      <c r="AS128" s="60"/>
      <c r="AT128" s="62">
        <f t="shared" si="9"/>
        <v>0</v>
      </c>
      <c r="AU128" s="60"/>
      <c r="AV128" s="62">
        <f t="shared" si="10"/>
        <v>0</v>
      </c>
    </row>
    <row r="129" spans="1:48" s="89" customFormat="1" hidden="1">
      <c r="A129" s="88" t="s">
        <v>302</v>
      </c>
      <c r="C129" s="89" t="s">
        <v>202</v>
      </c>
      <c r="E129" s="89">
        <v>50476</v>
      </c>
      <c r="G129" s="90">
        <v>0</v>
      </c>
      <c r="H129" s="90"/>
      <c r="I129" s="90">
        <v>0</v>
      </c>
      <c r="J129" s="88"/>
      <c r="K129" s="90">
        <v>0</v>
      </c>
      <c r="L129" s="88"/>
      <c r="M129" s="90">
        <v>0</v>
      </c>
      <c r="N129" s="88"/>
      <c r="O129" s="90">
        <v>0</v>
      </c>
      <c r="P129" s="88"/>
      <c r="Q129" s="90">
        <v>0</v>
      </c>
      <c r="R129" s="88"/>
      <c r="S129" s="90">
        <v>0</v>
      </c>
      <c r="T129" s="88"/>
      <c r="U129" s="90">
        <v>0</v>
      </c>
      <c r="V129" s="88"/>
      <c r="W129" s="97">
        <f t="shared" si="11"/>
        <v>0</v>
      </c>
      <c r="X129" s="88"/>
      <c r="Y129" s="90">
        <v>0</v>
      </c>
      <c r="Z129" s="88"/>
      <c r="AA129" s="90">
        <v>0</v>
      </c>
      <c r="AB129" s="90"/>
      <c r="AC129" s="90">
        <v>0</v>
      </c>
      <c r="AE129" s="90">
        <v>0</v>
      </c>
      <c r="AF129" s="88"/>
      <c r="AG129" s="88"/>
      <c r="AH129" s="88" t="s">
        <v>302</v>
      </c>
      <c r="AJ129" s="89" t="s">
        <v>202</v>
      </c>
      <c r="AK129" s="88"/>
      <c r="AL129" s="90">
        <v>0</v>
      </c>
      <c r="AM129" s="88"/>
      <c r="AN129" s="88"/>
      <c r="AO129" s="88"/>
      <c r="AP129" s="90">
        <v>0</v>
      </c>
      <c r="AQ129" s="88"/>
      <c r="AR129" s="90">
        <v>0</v>
      </c>
      <c r="AS129" s="88"/>
      <c r="AT129" s="97">
        <f t="shared" si="9"/>
        <v>0</v>
      </c>
      <c r="AU129" s="90"/>
      <c r="AV129" s="97">
        <f t="shared" si="10"/>
        <v>0</v>
      </c>
    </row>
    <row r="130" spans="1:48" s="103" customFormat="1">
      <c r="A130" s="3" t="s">
        <v>199</v>
      </c>
      <c r="C130" s="103" t="s">
        <v>258</v>
      </c>
      <c r="E130" s="103">
        <v>134999</v>
      </c>
      <c r="G130" s="16">
        <v>0</v>
      </c>
      <c r="H130" s="16"/>
      <c r="I130" s="16">
        <v>1338956</v>
      </c>
      <c r="J130" s="16"/>
      <c r="K130" s="16">
        <v>608</v>
      </c>
      <c r="L130" s="16"/>
      <c r="M130" s="16">
        <f>293772+2689868</f>
        <v>2983640</v>
      </c>
      <c r="N130" s="16"/>
      <c r="O130" s="16">
        <v>0</v>
      </c>
      <c r="P130" s="16"/>
      <c r="Q130" s="16">
        <v>0</v>
      </c>
      <c r="R130" s="16"/>
      <c r="S130" s="16">
        <v>800</v>
      </c>
      <c r="T130" s="16"/>
      <c r="U130" s="16">
        <v>12166</v>
      </c>
      <c r="V130" s="16"/>
      <c r="W130" s="23">
        <f t="shared" si="11"/>
        <v>4336170</v>
      </c>
      <c r="X130" s="16"/>
      <c r="Y130" s="16">
        <v>0</v>
      </c>
      <c r="Z130" s="16"/>
      <c r="AA130" s="16">
        <v>0</v>
      </c>
      <c r="AB130" s="16"/>
      <c r="AC130" s="16">
        <v>0</v>
      </c>
      <c r="AD130" s="16"/>
      <c r="AE130" s="16">
        <v>0</v>
      </c>
      <c r="AF130" s="16"/>
      <c r="AG130" s="16">
        <v>0</v>
      </c>
      <c r="AH130" s="3" t="s">
        <v>199</v>
      </c>
      <c r="AJ130" s="103" t="s">
        <v>258</v>
      </c>
      <c r="AK130" s="16"/>
      <c r="AL130" s="16">
        <v>0</v>
      </c>
      <c r="AM130" s="16"/>
      <c r="AN130" s="16"/>
      <c r="AO130" s="16"/>
      <c r="AP130" s="16">
        <v>0</v>
      </c>
      <c r="AQ130" s="16"/>
      <c r="AR130" s="16">
        <v>0</v>
      </c>
      <c r="AS130" s="16"/>
      <c r="AT130" s="23">
        <f t="shared" si="9"/>
        <v>0</v>
      </c>
      <c r="AU130" s="16"/>
      <c r="AV130" s="23">
        <f t="shared" si="10"/>
        <v>4336170</v>
      </c>
    </row>
    <row r="131" spans="1:48" s="103" customFormat="1">
      <c r="A131" s="3" t="s">
        <v>334</v>
      </c>
      <c r="C131" s="103" t="s">
        <v>204</v>
      </c>
      <c r="E131" s="103">
        <v>50666</v>
      </c>
      <c r="G131" s="16">
        <v>0</v>
      </c>
      <c r="H131" s="16"/>
      <c r="I131" s="16">
        <v>4521469</v>
      </c>
      <c r="J131" s="16"/>
      <c r="K131" s="16">
        <v>22585</v>
      </c>
      <c r="L131" s="16"/>
      <c r="M131" s="16">
        <f>648826+9766060</f>
        <v>10414886</v>
      </c>
      <c r="N131" s="16"/>
      <c r="O131" s="16">
        <v>0</v>
      </c>
      <c r="P131" s="16"/>
      <c r="Q131" s="16">
        <v>0</v>
      </c>
      <c r="R131" s="16"/>
      <c r="S131" s="16">
        <v>74425</v>
      </c>
      <c r="T131" s="16"/>
      <c r="U131" s="16">
        <v>140118</v>
      </c>
      <c r="V131" s="16"/>
      <c r="W131" s="23">
        <f t="shared" si="11"/>
        <v>15173483</v>
      </c>
      <c r="X131" s="16"/>
      <c r="Y131" s="16">
        <v>0</v>
      </c>
      <c r="Z131" s="16"/>
      <c r="AA131" s="16">
        <v>0</v>
      </c>
      <c r="AB131" s="16"/>
      <c r="AC131" s="16">
        <v>0</v>
      </c>
      <c r="AD131" s="16"/>
      <c r="AE131" s="16">
        <v>0</v>
      </c>
      <c r="AF131" s="16"/>
      <c r="AG131" s="16">
        <v>0</v>
      </c>
      <c r="AH131" s="3" t="s">
        <v>334</v>
      </c>
      <c r="AJ131" s="103" t="s">
        <v>204</v>
      </c>
      <c r="AK131" s="16"/>
      <c r="AL131" s="16">
        <v>0</v>
      </c>
      <c r="AM131" s="16"/>
      <c r="AN131" s="16"/>
      <c r="AO131" s="16"/>
      <c r="AP131" s="16">
        <v>0</v>
      </c>
      <c r="AQ131" s="16"/>
      <c r="AR131" s="16">
        <v>0</v>
      </c>
      <c r="AS131" s="16"/>
      <c r="AT131" s="23">
        <f t="shared" si="9"/>
        <v>0</v>
      </c>
      <c r="AU131" s="16"/>
      <c r="AV131" s="23">
        <f t="shared" si="10"/>
        <v>15173483</v>
      </c>
    </row>
    <row r="132" spans="1:48" s="15" customFormat="1"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23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23"/>
      <c r="AU132" s="16"/>
      <c r="AV132" s="23"/>
    </row>
    <row r="133" spans="1:48" s="15" customFormat="1">
      <c r="AB133" s="103"/>
      <c r="AC133" s="103"/>
      <c r="AE133" s="3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1:48">
      <c r="A134" s="121"/>
      <c r="B134" s="121"/>
      <c r="C134" s="121"/>
      <c r="D134" s="121"/>
      <c r="E134" s="121"/>
      <c r="F134" s="121"/>
      <c r="G134" s="121"/>
    </row>
    <row r="135" spans="1:48">
      <c r="G135" s="8"/>
    </row>
    <row r="136" spans="1:48">
      <c r="G136" s="8"/>
    </row>
    <row r="137" spans="1:48">
      <c r="G137" s="8"/>
    </row>
    <row r="138" spans="1:48">
      <c r="G138" s="8"/>
    </row>
    <row r="139" spans="1:48">
      <c r="G139" s="8"/>
    </row>
    <row r="140" spans="1:48">
      <c r="G140" s="8"/>
    </row>
    <row r="141" spans="1:48">
      <c r="G141" s="8"/>
    </row>
    <row r="143" spans="1:48">
      <c r="G143" s="8"/>
    </row>
    <row r="144" spans="1:48">
      <c r="G144" s="8"/>
    </row>
    <row r="145" spans="7:7">
      <c r="G145" s="8"/>
    </row>
    <row r="146" spans="7:7">
      <c r="G146" s="8"/>
    </row>
    <row r="147" spans="7:7">
      <c r="G147" s="8"/>
    </row>
    <row r="148" spans="7:7">
      <c r="G148" s="8"/>
    </row>
    <row r="149" spans="7:7">
      <c r="G149" s="8"/>
    </row>
    <row r="150" spans="7:7">
      <c r="G150" s="8"/>
    </row>
    <row r="151" spans="7:7">
      <c r="G151" s="8"/>
    </row>
    <row r="152" spans="7:7">
      <c r="G152" s="8"/>
    </row>
    <row r="153" spans="7:7">
      <c r="G153" s="8"/>
    </row>
    <row r="154" spans="7:7">
      <c r="G154" s="8"/>
    </row>
    <row r="155" spans="7:7">
      <c r="G155" s="8"/>
    </row>
    <row r="156" spans="7:7">
      <c r="G156" s="8"/>
    </row>
    <row r="157" spans="7:7">
      <c r="G157" s="8"/>
    </row>
    <row r="158" spans="7:7">
      <c r="G158" s="8"/>
    </row>
    <row r="159" spans="7:7">
      <c r="G159" s="8"/>
    </row>
    <row r="160" spans="7:7">
      <c r="G160" s="8"/>
    </row>
    <row r="161" spans="7:7">
      <c r="G161" s="8"/>
    </row>
    <row r="162" spans="7:7">
      <c r="G162" s="8"/>
    </row>
    <row r="163" spans="7:7">
      <c r="G163" s="8"/>
    </row>
    <row r="164" spans="7:7">
      <c r="G164" s="8"/>
    </row>
    <row r="165" spans="7:7">
      <c r="G165" s="8"/>
    </row>
    <row r="166" spans="7:7">
      <c r="G166" s="8"/>
    </row>
    <row r="167" spans="7:7">
      <c r="G167" s="8"/>
    </row>
    <row r="168" spans="7:7">
      <c r="G168" s="8"/>
    </row>
    <row r="169" spans="7:7">
      <c r="G169" s="8"/>
    </row>
    <row r="170" spans="7:7">
      <c r="G170" s="8"/>
    </row>
    <row r="171" spans="7:7">
      <c r="G171" s="8"/>
    </row>
    <row r="172" spans="7:7">
      <c r="G172" s="8"/>
    </row>
    <row r="173" spans="7:7">
      <c r="G173" s="8"/>
    </row>
    <row r="174" spans="7:7">
      <c r="G174" s="8"/>
    </row>
    <row r="175" spans="7:7">
      <c r="G175" s="8"/>
    </row>
    <row r="176" spans="7:7">
      <c r="G176" s="8"/>
    </row>
    <row r="177" spans="7:7">
      <c r="G177" s="8"/>
    </row>
    <row r="178" spans="7:7">
      <c r="G178" s="8"/>
    </row>
    <row r="179" spans="7:7">
      <c r="G179" s="8"/>
    </row>
    <row r="180" spans="7:7">
      <c r="G180" s="8"/>
    </row>
    <row r="182" spans="7:7">
      <c r="G182" s="8"/>
    </row>
    <row r="183" spans="7:7">
      <c r="G183" s="8"/>
    </row>
    <row r="184" spans="7:7">
      <c r="G184" s="8"/>
    </row>
    <row r="185" spans="7:7">
      <c r="G185" s="8"/>
    </row>
    <row r="186" spans="7:7">
      <c r="G186" s="8"/>
    </row>
    <row r="187" spans="7:7">
      <c r="G187" s="8"/>
    </row>
    <row r="188" spans="7:7">
      <c r="G188" s="8"/>
    </row>
    <row r="189" spans="7:7">
      <c r="G189" s="8"/>
    </row>
    <row r="190" spans="7:7">
      <c r="G190" s="8"/>
    </row>
    <row r="191" spans="7:7">
      <c r="G191" s="8"/>
    </row>
    <row r="192" spans="7:7">
      <c r="G192" s="8"/>
    </row>
    <row r="193" spans="7:7">
      <c r="G193" s="8"/>
    </row>
    <row r="195" spans="7:7">
      <c r="G195" s="8"/>
    </row>
    <row r="196" spans="7:7">
      <c r="G196" s="8"/>
    </row>
    <row r="197" spans="7:7">
      <c r="G197" s="8"/>
    </row>
    <row r="198" spans="7:7">
      <c r="G198" s="8"/>
    </row>
    <row r="199" spans="7:7">
      <c r="G199" s="8"/>
    </row>
    <row r="200" spans="7:7">
      <c r="G200" s="8"/>
    </row>
    <row r="201" spans="7:7">
      <c r="G201" s="8"/>
    </row>
    <row r="202" spans="7:7">
      <c r="G202" s="8"/>
    </row>
    <row r="203" spans="7:7">
      <c r="G203" s="8"/>
    </row>
    <row r="204" spans="7:7">
      <c r="G204" s="8"/>
    </row>
  </sheetData>
  <mergeCells count="3">
    <mergeCell ref="A134:G134"/>
    <mergeCell ref="A67:G67"/>
    <mergeCell ref="AL8:AP8"/>
  </mergeCells>
  <phoneticPr fontId="3" type="noConversion"/>
  <pageMargins left="0.75" right="0.5" top="0.5" bottom="0.5" header="0.25" footer="0.25"/>
  <pageSetup scale="76" firstPageNumber="52" pageOrder="overThenDown" orientation="portrait" useFirstPageNumber="1" r:id="rId1"/>
  <headerFooter scaleWithDoc="0" alignWithMargins="0"/>
  <rowBreaks count="1" manualBreakCount="1">
    <brk id="6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96"/>
  <sheetViews>
    <sheetView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G12" sqref="G12"/>
    </sheetView>
  </sheetViews>
  <sheetFormatPr defaultRowHeight="12"/>
  <cols>
    <col min="1" max="1" width="45.7109375" style="27" customWidth="1"/>
    <col min="2" max="2" width="1.7109375" style="27" customWidth="1"/>
    <col min="3" max="3" width="11.7109375" style="27" customWidth="1"/>
    <col min="4" max="4" width="1.7109375" style="27" hidden="1" customWidth="1"/>
    <col min="5" max="5" width="6.7109375" style="27" hidden="1" customWidth="1"/>
    <col min="6" max="6" width="1.7109375" style="27" customWidth="1"/>
    <col min="7" max="7" width="11.7109375" style="27" customWidth="1"/>
    <col min="8" max="8" width="1.7109375" style="27" customWidth="1"/>
    <col min="9" max="9" width="11.7109375" style="27" customWidth="1"/>
    <col min="10" max="10" width="1.7109375" style="27" customWidth="1"/>
    <col min="11" max="11" width="11.7109375" style="27" customWidth="1"/>
    <col min="12" max="12" width="1.7109375" style="27" customWidth="1"/>
    <col min="13" max="13" width="13.140625" style="26" customWidth="1"/>
    <col min="14" max="14" width="1.7109375" style="27" customWidth="1"/>
    <col min="15" max="15" width="11.7109375" style="27" customWidth="1"/>
    <col min="16" max="16" width="1.7109375" style="27" customWidth="1"/>
    <col min="17" max="17" width="11.7109375" style="27" customWidth="1"/>
    <col min="18" max="18" width="1.7109375" style="27" customWidth="1"/>
    <col min="19" max="19" width="11.7109375" style="27" customWidth="1"/>
    <col min="20" max="20" width="1.7109375" style="27" customWidth="1"/>
    <col min="21" max="21" width="11.7109375" style="27" customWidth="1"/>
    <col min="22" max="22" width="1.7109375" style="27" customWidth="1"/>
    <col min="23" max="23" width="10.7109375" style="27" customWidth="1"/>
    <col min="24" max="24" width="1.7109375" style="27" customWidth="1"/>
    <col min="25" max="25" width="10.7109375" style="27" customWidth="1"/>
    <col min="26" max="26" width="1.7109375" style="27" customWidth="1"/>
    <col min="27" max="27" width="10.7109375" style="27" customWidth="1"/>
    <col min="28" max="28" width="1.7109375" style="27" customWidth="1"/>
    <col min="29" max="29" width="11.7109375" style="27" customWidth="1"/>
    <col min="30" max="30" width="1.7109375" style="27" customWidth="1"/>
    <col min="31" max="31" width="45.7109375" style="27" customWidth="1"/>
    <col min="32" max="32" width="1.7109375" style="27" customWidth="1"/>
    <col min="33" max="33" width="11.7109375" style="27" customWidth="1"/>
    <col min="34" max="34" width="1.7109375" style="27" customWidth="1"/>
    <col min="35" max="35" width="11.7109375" style="27" customWidth="1"/>
    <col min="36" max="36" width="1.7109375" style="27" customWidth="1"/>
    <col min="37" max="37" width="11.7109375" style="27" customWidth="1"/>
    <col min="38" max="38" width="1.7109375" style="27" hidden="1" customWidth="1"/>
    <col min="39" max="39" width="10.7109375" style="27" hidden="1" customWidth="1"/>
    <col min="40" max="40" width="1.7109375" style="27" customWidth="1"/>
    <col min="41" max="41" width="11.7109375" style="27" customWidth="1"/>
    <col min="42" max="42" width="1.7109375" style="27" customWidth="1"/>
    <col min="43" max="43" width="10.7109375" style="27" customWidth="1"/>
    <col min="44" max="44" width="1.7109375" style="27" customWidth="1"/>
    <col min="45" max="45" width="10.7109375" style="27" customWidth="1"/>
    <col min="46" max="46" width="1.7109375" style="27" customWidth="1"/>
    <col min="47" max="47" width="10.7109375" style="27" customWidth="1"/>
    <col min="48" max="48" width="1.7109375" style="27" customWidth="1"/>
    <col min="49" max="49" width="10.7109375" style="27" customWidth="1"/>
    <col min="50" max="50" width="1.7109375" style="27" customWidth="1"/>
    <col min="51" max="51" width="10.7109375" style="27" customWidth="1"/>
    <col min="52" max="52" width="1.7109375" style="27" customWidth="1"/>
    <col min="53" max="53" width="10.7109375" style="27" customWidth="1"/>
    <col min="54" max="54" width="1.7109375" style="27" hidden="1" customWidth="1"/>
    <col min="55" max="55" width="10.7109375" style="27" hidden="1" customWidth="1"/>
    <col min="56" max="56" width="1.7109375" style="27" customWidth="1"/>
    <col min="57" max="57" width="10.7109375" style="27" customWidth="1"/>
    <col min="58" max="58" width="1.7109375" style="27" customWidth="1"/>
    <col min="59" max="59" width="11.7109375" style="27" customWidth="1"/>
    <col min="60" max="60" width="1.7109375" style="27" hidden="1" customWidth="1"/>
    <col min="61" max="61" width="11.7109375" style="27" hidden="1" customWidth="1"/>
    <col min="62" max="62" width="1.7109375" style="27" hidden="1" customWidth="1"/>
    <col min="63" max="63" width="11.7109375" style="27" hidden="1" customWidth="1"/>
    <col min="64" max="64" width="1.7109375" style="27" customWidth="1"/>
    <col min="65" max="65" width="11.7109375" style="27" customWidth="1"/>
    <col min="66" max="66" width="1.7109375" style="27" customWidth="1"/>
    <col min="67" max="67" width="11.7109375" style="27" customWidth="1"/>
    <col min="68" max="68" width="45.7109375" style="102" customWidth="1"/>
    <col min="69" max="69" width="1.7109375" style="102" customWidth="1"/>
    <col min="70" max="70" width="11.7109375" style="27" customWidth="1"/>
    <col min="71" max="71" width="1.7109375" style="102" customWidth="1"/>
    <col min="72" max="72" width="11.7109375" style="27" customWidth="1"/>
    <col min="73" max="73" width="1.7109375" style="27" customWidth="1"/>
    <col min="74" max="74" width="11.7109375" style="27" customWidth="1"/>
    <col min="75" max="75" width="1.7109375" style="27" customWidth="1"/>
    <col min="76" max="76" width="11.7109375" style="27" customWidth="1"/>
    <col min="77" max="77" width="1.7109375" style="27" customWidth="1"/>
    <col min="78" max="78" width="11.7109375" style="27" customWidth="1"/>
    <col min="79" max="79" width="1.7109375" style="27" customWidth="1"/>
    <col min="80" max="80" width="11.7109375" style="27" customWidth="1"/>
    <col min="81" max="16384" width="9.140625" style="27"/>
  </cols>
  <sheetData>
    <row r="1" spans="1:80" s="7" customFormat="1">
      <c r="A1" s="31" t="s">
        <v>256</v>
      </c>
      <c r="B1" s="31"/>
      <c r="C1" s="31"/>
      <c r="D1" s="31"/>
      <c r="E1" s="31"/>
      <c r="F1" s="31"/>
      <c r="G1" s="31"/>
      <c r="H1" s="31"/>
      <c r="I1" s="35"/>
      <c r="J1" s="35"/>
      <c r="K1" s="35"/>
      <c r="L1" s="35"/>
      <c r="M1" s="35"/>
      <c r="N1" s="35"/>
      <c r="O1" s="35"/>
      <c r="P1" s="3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1" t="s">
        <v>256</v>
      </c>
      <c r="AF1" s="31"/>
      <c r="AG1" s="31"/>
      <c r="AH1" s="31"/>
      <c r="AI1" s="1"/>
      <c r="AJ1" s="1"/>
      <c r="AK1" s="1"/>
      <c r="AL1" s="1"/>
      <c r="AM1" s="1"/>
      <c r="AN1" s="31"/>
      <c r="AO1" s="1"/>
      <c r="AP1" s="1"/>
      <c r="AQ1" s="1"/>
      <c r="AR1" s="1"/>
      <c r="AS1" s="1"/>
      <c r="AT1" s="1"/>
      <c r="AU1" s="1"/>
      <c r="AV1" s="1"/>
      <c r="AW1" s="1"/>
      <c r="AX1" s="1"/>
      <c r="AY1" s="36"/>
      <c r="BP1" s="31" t="s">
        <v>256</v>
      </c>
      <c r="BQ1" s="31"/>
      <c r="BR1" s="31"/>
      <c r="BS1" s="31"/>
    </row>
    <row r="2" spans="1:80" s="7" customFormat="1">
      <c r="A2" s="31" t="s">
        <v>380</v>
      </c>
      <c r="B2" s="31"/>
      <c r="C2" s="31"/>
      <c r="D2" s="31"/>
      <c r="E2" s="31"/>
      <c r="F2" s="31"/>
      <c r="G2" s="31"/>
      <c r="H2" s="31"/>
      <c r="I2" s="35"/>
      <c r="J2" s="35"/>
      <c r="K2" s="1"/>
      <c r="L2" s="1"/>
      <c r="M2" s="4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31" t="s">
        <v>380</v>
      </c>
      <c r="AF2" s="31"/>
      <c r="AG2" s="31"/>
      <c r="AH2" s="31"/>
      <c r="AI2" s="1"/>
      <c r="AJ2" s="1"/>
      <c r="AK2" s="1"/>
      <c r="AL2" s="1"/>
      <c r="AM2" s="1"/>
      <c r="AN2" s="31"/>
      <c r="AO2" s="1"/>
      <c r="AP2" s="1"/>
      <c r="AQ2" s="1"/>
      <c r="AR2" s="1"/>
      <c r="AS2" s="1"/>
      <c r="AT2" s="1"/>
      <c r="AU2" s="1"/>
      <c r="AV2" s="1"/>
      <c r="AW2" s="1"/>
      <c r="AX2" s="1"/>
      <c r="AY2" s="36"/>
      <c r="BP2" s="31" t="s">
        <v>380</v>
      </c>
      <c r="BQ2" s="31"/>
      <c r="BR2" s="31"/>
      <c r="BS2" s="31"/>
    </row>
    <row r="3" spans="1:80" s="3" customFormat="1">
      <c r="A3" s="7"/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4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7" t="s">
        <v>254</v>
      </c>
      <c r="AF3" s="35"/>
      <c r="AG3" s="35"/>
      <c r="AH3" s="35"/>
      <c r="AI3" s="1"/>
      <c r="AJ3" s="1"/>
      <c r="AK3" s="1"/>
      <c r="AL3" s="1"/>
      <c r="AM3" s="1"/>
      <c r="AN3" s="35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BP3" s="7" t="s">
        <v>254</v>
      </c>
      <c r="BQ3" s="35"/>
      <c r="BR3" s="35"/>
      <c r="BS3" s="35"/>
    </row>
    <row r="4" spans="1:80" s="3" customFormat="1" ht="12.75" customHeight="1">
      <c r="A4" s="7" t="s">
        <v>257</v>
      </c>
      <c r="B4" s="4"/>
      <c r="C4" s="4"/>
      <c r="D4" s="4"/>
      <c r="E4" s="4"/>
      <c r="F4" s="4"/>
      <c r="G4" s="1"/>
      <c r="H4" s="1"/>
      <c r="I4" s="1"/>
      <c r="J4" s="1"/>
      <c r="K4" s="1"/>
      <c r="L4" s="1"/>
      <c r="M4" s="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7" t="s">
        <v>257</v>
      </c>
      <c r="AF4" s="4"/>
      <c r="AG4" s="4"/>
      <c r="AH4" s="4"/>
      <c r="AI4" s="1"/>
      <c r="AJ4" s="1"/>
      <c r="AK4" s="1"/>
      <c r="AL4" s="1"/>
      <c r="AM4" s="1"/>
      <c r="AN4" s="4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BP4" s="7" t="s">
        <v>257</v>
      </c>
      <c r="BQ4" s="4"/>
      <c r="BR4" s="4"/>
      <c r="BS4" s="4"/>
    </row>
    <row r="5" spans="1:80" s="3" customFormat="1" ht="12.75" customHeight="1">
      <c r="A5" s="7"/>
      <c r="B5" s="4"/>
      <c r="C5" s="4"/>
      <c r="D5" s="4"/>
      <c r="E5" s="4"/>
      <c r="F5" s="4"/>
      <c r="G5" s="1"/>
      <c r="H5" s="1"/>
      <c r="I5" s="1"/>
      <c r="J5" s="1"/>
      <c r="K5" s="1"/>
      <c r="L5" s="1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7"/>
      <c r="AF5" s="4"/>
      <c r="AG5" s="4"/>
      <c r="AH5" s="4"/>
      <c r="AI5" s="1"/>
      <c r="AJ5" s="1"/>
      <c r="AK5" s="1"/>
      <c r="AL5" s="1"/>
      <c r="AM5" s="1"/>
      <c r="AN5" s="4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BP5" s="7"/>
      <c r="BQ5" s="4"/>
      <c r="BR5" s="4"/>
      <c r="BS5" s="4"/>
    </row>
    <row r="6" spans="1:80" s="3" customFormat="1" ht="12.75" customHeight="1">
      <c r="A6" s="7"/>
      <c r="B6" s="4"/>
      <c r="C6" s="4"/>
      <c r="D6" s="4"/>
      <c r="E6" s="4"/>
      <c r="F6" s="4"/>
      <c r="G6" s="1"/>
      <c r="H6" s="1"/>
      <c r="I6" s="1"/>
      <c r="J6" s="1"/>
      <c r="K6" s="1"/>
      <c r="L6" s="1"/>
      <c r="M6" s="5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F6" s="4"/>
      <c r="AG6" s="4"/>
      <c r="AH6" s="4"/>
      <c r="AI6" s="1"/>
      <c r="AJ6" s="1"/>
      <c r="AK6" s="1"/>
      <c r="AL6" s="1"/>
      <c r="AM6" s="1"/>
      <c r="AN6" s="4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BQ6" s="4"/>
      <c r="BR6" s="4"/>
      <c r="BS6" s="4"/>
    </row>
    <row r="7" spans="1:80" s="3" customFormat="1" ht="12.75" customHeight="1">
      <c r="A7" s="29" t="s">
        <v>311</v>
      </c>
      <c r="B7" s="4"/>
      <c r="C7" s="4"/>
      <c r="D7" s="4"/>
      <c r="E7" s="4"/>
      <c r="F7" s="4"/>
      <c r="G7" s="1"/>
      <c r="H7" s="1"/>
      <c r="I7" s="1"/>
      <c r="J7" s="1"/>
      <c r="K7" s="1"/>
      <c r="L7" s="1"/>
      <c r="N7" s="1"/>
      <c r="O7" s="11" t="s">
        <v>54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29" t="s">
        <v>311</v>
      </c>
      <c r="AF7" s="4"/>
      <c r="AG7" s="4"/>
      <c r="AH7" s="4"/>
      <c r="AI7" s="1"/>
      <c r="AJ7" s="1"/>
      <c r="AK7" s="1"/>
      <c r="AL7" s="1"/>
      <c r="AM7" s="1"/>
      <c r="AN7" s="4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BP7" s="29" t="s">
        <v>311</v>
      </c>
      <c r="BQ7" s="4"/>
      <c r="BR7" s="4"/>
      <c r="BS7" s="4"/>
    </row>
    <row r="8" spans="1:80" s="3" customFormat="1">
      <c r="A8" s="70"/>
      <c r="B8" s="7"/>
      <c r="C8" s="7"/>
      <c r="D8" s="7"/>
      <c r="E8" s="7"/>
      <c r="F8" s="7"/>
      <c r="G8" s="119" t="s">
        <v>54</v>
      </c>
      <c r="H8" s="119"/>
      <c r="I8" s="119"/>
      <c r="J8" s="119"/>
      <c r="K8" s="119"/>
      <c r="L8" s="119"/>
      <c r="M8" s="119"/>
      <c r="N8" s="42"/>
      <c r="O8" s="37" t="s">
        <v>338</v>
      </c>
      <c r="Q8" s="119" t="s">
        <v>55</v>
      </c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5"/>
      <c r="AE8" s="70"/>
      <c r="AF8" s="7"/>
      <c r="AG8" s="7"/>
      <c r="AH8" s="7"/>
      <c r="AI8" s="119" t="s">
        <v>339</v>
      </c>
      <c r="AJ8" s="119"/>
      <c r="AK8" s="119"/>
      <c r="AL8" s="38"/>
      <c r="AM8" s="38"/>
      <c r="AN8" s="7"/>
      <c r="AO8" s="119" t="s">
        <v>278</v>
      </c>
      <c r="AP8" s="119"/>
      <c r="AQ8" s="119"/>
      <c r="AY8" s="37" t="s">
        <v>110</v>
      </c>
      <c r="AZ8" s="37"/>
      <c r="BA8" s="37"/>
      <c r="BG8" s="119" t="s">
        <v>111</v>
      </c>
      <c r="BH8" s="119"/>
      <c r="BI8" s="119"/>
      <c r="BJ8" s="119"/>
      <c r="BK8" s="119"/>
      <c r="BL8" s="119"/>
      <c r="BM8" s="119"/>
      <c r="BO8" s="11" t="s">
        <v>6</v>
      </c>
      <c r="BP8" s="70"/>
      <c r="BQ8" s="7"/>
      <c r="BR8" s="7"/>
      <c r="BS8" s="7"/>
      <c r="BT8" s="11" t="s">
        <v>112</v>
      </c>
      <c r="BU8" s="11"/>
      <c r="BV8" s="11" t="s">
        <v>91</v>
      </c>
      <c r="BW8" s="11"/>
      <c r="BX8" s="11" t="s">
        <v>236</v>
      </c>
      <c r="BY8" s="11"/>
      <c r="BZ8" s="11" t="s">
        <v>91</v>
      </c>
      <c r="CA8" s="11"/>
      <c r="CB8" s="11" t="s">
        <v>2</v>
      </c>
    </row>
    <row r="9" spans="1:80" s="11" customFormat="1">
      <c r="A9" s="29"/>
      <c r="M9" s="2"/>
      <c r="AC9" s="11" t="s">
        <v>56</v>
      </c>
      <c r="AE9" s="29"/>
      <c r="BK9" s="11" t="s">
        <v>226</v>
      </c>
      <c r="BM9" s="11" t="s">
        <v>113</v>
      </c>
      <c r="BO9" s="11" t="s">
        <v>114</v>
      </c>
      <c r="BP9" s="29"/>
      <c r="BQ9" s="105"/>
      <c r="BR9" s="105"/>
      <c r="BS9" s="105"/>
      <c r="BT9" s="11" t="s">
        <v>115</v>
      </c>
      <c r="BV9" s="11" t="s">
        <v>116</v>
      </c>
      <c r="BX9" s="11" t="s">
        <v>235</v>
      </c>
      <c r="BZ9" s="11" t="s">
        <v>116</v>
      </c>
      <c r="CB9" s="11" t="s">
        <v>9</v>
      </c>
    </row>
    <row r="10" spans="1:80" s="11" customFormat="1">
      <c r="A10" s="29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 t="s">
        <v>346</v>
      </c>
      <c r="N10" s="2"/>
      <c r="O10" s="2"/>
      <c r="P10" s="2"/>
      <c r="Q10" s="2"/>
      <c r="R10" s="2"/>
      <c r="S10" s="2" t="s">
        <v>59</v>
      </c>
      <c r="T10" s="2"/>
      <c r="U10" s="2" t="s">
        <v>60</v>
      </c>
      <c r="V10" s="2"/>
      <c r="W10" s="2"/>
      <c r="X10" s="2"/>
      <c r="Y10" s="2"/>
      <c r="Z10" s="2"/>
      <c r="AA10" s="2"/>
      <c r="AB10" s="2"/>
      <c r="AC10" s="2" t="s">
        <v>61</v>
      </c>
      <c r="AD10" s="2"/>
      <c r="AE10" s="29"/>
      <c r="AF10" s="2"/>
      <c r="AG10" s="2"/>
      <c r="AH10" s="2"/>
      <c r="AI10" s="2" t="s">
        <v>62</v>
      </c>
      <c r="AJ10" s="2"/>
      <c r="AK10" s="2"/>
      <c r="AL10" s="2"/>
      <c r="AM10" s="2"/>
      <c r="AN10" s="2"/>
      <c r="AO10" s="11" t="s">
        <v>63</v>
      </c>
      <c r="AS10" s="11" t="s">
        <v>64</v>
      </c>
      <c r="AU10" s="11" t="s">
        <v>4</v>
      </c>
      <c r="AW10" s="11" t="s">
        <v>98</v>
      </c>
      <c r="AY10" s="11" t="s">
        <v>117</v>
      </c>
      <c r="BE10" s="11" t="s">
        <v>6</v>
      </c>
      <c r="BG10" s="11" t="s">
        <v>65</v>
      </c>
      <c r="BI10" s="11" t="s">
        <v>118</v>
      </c>
      <c r="BK10" s="11" t="s">
        <v>227</v>
      </c>
      <c r="BM10" s="11" t="s">
        <v>82</v>
      </c>
      <c r="BO10" s="11" t="s">
        <v>38</v>
      </c>
      <c r="BP10" s="29"/>
      <c r="BQ10" s="2"/>
      <c r="BR10" s="2"/>
      <c r="BS10" s="2"/>
      <c r="BT10" s="11" t="s">
        <v>91</v>
      </c>
      <c r="BV10" s="2" t="s">
        <v>68</v>
      </c>
      <c r="BX10" s="11" t="s">
        <v>225</v>
      </c>
      <c r="BZ10" s="2" t="s">
        <v>119</v>
      </c>
      <c r="CB10" s="11" t="s">
        <v>120</v>
      </c>
    </row>
    <row r="11" spans="1:80" s="11" customFormat="1">
      <c r="A11" s="25" t="s">
        <v>277</v>
      </c>
      <c r="C11" s="25" t="s">
        <v>10</v>
      </c>
      <c r="E11" s="25" t="s">
        <v>11</v>
      </c>
      <c r="F11" s="2"/>
      <c r="G11" s="10" t="s">
        <v>342</v>
      </c>
      <c r="I11" s="10" t="s">
        <v>71</v>
      </c>
      <c r="K11" s="10" t="s">
        <v>72</v>
      </c>
      <c r="L11" s="2"/>
      <c r="M11" s="10" t="s">
        <v>345</v>
      </c>
      <c r="O11" s="10" t="s">
        <v>82</v>
      </c>
      <c r="Q11" s="10" t="s">
        <v>341</v>
      </c>
      <c r="S11" s="10" t="s">
        <v>73</v>
      </c>
      <c r="U11" s="10" t="s">
        <v>74</v>
      </c>
      <c r="W11" s="10" t="s">
        <v>75</v>
      </c>
      <c r="Y11" s="10" t="s">
        <v>76</v>
      </c>
      <c r="Z11" s="2"/>
      <c r="AA11" s="25" t="s">
        <v>77</v>
      </c>
      <c r="AC11" s="10" t="s">
        <v>78</v>
      </c>
      <c r="AD11" s="2"/>
      <c r="AE11" s="25" t="s">
        <v>277</v>
      </c>
      <c r="AG11" s="25" t="s">
        <v>10</v>
      </c>
      <c r="AI11" s="25" t="s">
        <v>79</v>
      </c>
      <c r="AJ11" s="2"/>
      <c r="AK11" s="25" t="s">
        <v>80</v>
      </c>
      <c r="AM11" s="25" t="s">
        <v>82</v>
      </c>
      <c r="AO11" s="25" t="s">
        <v>81</v>
      </c>
      <c r="AQ11" s="55" t="s">
        <v>82</v>
      </c>
      <c r="AR11" s="2"/>
      <c r="AS11" s="25" t="s">
        <v>48</v>
      </c>
      <c r="AT11" s="2"/>
      <c r="AU11" s="25" t="s">
        <v>121</v>
      </c>
      <c r="AV11" s="2"/>
      <c r="AW11" s="25" t="s">
        <v>103</v>
      </c>
      <c r="AX11" s="2"/>
      <c r="AY11" s="55" t="s">
        <v>343</v>
      </c>
      <c r="AZ11" s="2"/>
      <c r="BA11" s="25" t="s">
        <v>83</v>
      </c>
      <c r="BB11" s="2"/>
      <c r="BC11" s="25" t="s">
        <v>126</v>
      </c>
      <c r="BD11" s="2"/>
      <c r="BE11" s="25" t="s">
        <v>114</v>
      </c>
      <c r="BF11" s="2"/>
      <c r="BG11" s="25" t="s">
        <v>84</v>
      </c>
      <c r="BH11" s="2"/>
      <c r="BI11" s="25" t="s">
        <v>84</v>
      </c>
      <c r="BJ11" s="2"/>
      <c r="BK11" s="25" t="s">
        <v>234</v>
      </c>
      <c r="BL11" s="2"/>
      <c r="BM11" s="25" t="s">
        <v>122</v>
      </c>
      <c r="BN11" s="2"/>
      <c r="BO11" s="25" t="s">
        <v>123</v>
      </c>
      <c r="BP11" s="106" t="s">
        <v>277</v>
      </c>
      <c r="BQ11" s="105"/>
      <c r="BR11" s="106" t="s">
        <v>10</v>
      </c>
      <c r="BS11" s="106"/>
      <c r="BT11" s="25" t="s">
        <v>116</v>
      </c>
      <c r="BV11" s="25" t="s">
        <v>87</v>
      </c>
      <c r="BX11" s="25" t="s">
        <v>224</v>
      </c>
      <c r="BZ11" s="25" t="s">
        <v>87</v>
      </c>
      <c r="CB11" s="25" t="s">
        <v>18</v>
      </c>
    </row>
    <row r="12" spans="1:80" s="11" customFormat="1">
      <c r="A12" s="2"/>
      <c r="C12" s="2"/>
      <c r="E12" s="2"/>
      <c r="F12" s="2"/>
      <c r="G12" s="2"/>
      <c r="I12" s="2"/>
      <c r="K12" s="2"/>
      <c r="L12" s="2"/>
      <c r="M12" s="71"/>
      <c r="O12" s="2"/>
      <c r="Q12" s="2"/>
      <c r="S12" s="2"/>
      <c r="U12" s="2"/>
      <c r="W12" s="2"/>
      <c r="Y12" s="2"/>
      <c r="Z12" s="2"/>
      <c r="AA12" s="2"/>
      <c r="AC12" s="2"/>
      <c r="AD12" s="2"/>
      <c r="AE12" s="2"/>
      <c r="AG12" s="2"/>
      <c r="AI12" s="2"/>
      <c r="AJ12" s="2"/>
      <c r="AK12" s="2"/>
      <c r="AM12" s="2"/>
      <c r="AO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105"/>
      <c r="BR12" s="2"/>
      <c r="BS12" s="2"/>
      <c r="BT12" s="2"/>
      <c r="BV12" s="2"/>
      <c r="BX12" s="2"/>
      <c r="BZ12" s="2"/>
      <c r="CB12" s="2"/>
    </row>
    <row r="13" spans="1:80">
      <c r="A13" s="32" t="s">
        <v>252</v>
      </c>
      <c r="AE13" s="32" t="s">
        <v>252</v>
      </c>
      <c r="BP13" s="32" t="s">
        <v>252</v>
      </c>
      <c r="BR13" s="102"/>
    </row>
    <row r="14" spans="1:80">
      <c r="A14" s="32"/>
      <c r="AE14" s="32"/>
      <c r="BP14" s="32"/>
      <c r="BR14" s="102"/>
    </row>
    <row r="15" spans="1:80" s="102" customFormat="1">
      <c r="A15" s="3" t="s">
        <v>283</v>
      </c>
      <c r="B15" s="3"/>
      <c r="C15" s="3" t="s">
        <v>260</v>
      </c>
      <c r="E15" s="103">
        <v>50773</v>
      </c>
      <c r="G15" s="19">
        <v>525598</v>
      </c>
      <c r="H15" s="19"/>
      <c r="I15" s="19">
        <v>238096</v>
      </c>
      <c r="J15" s="19"/>
      <c r="K15" s="19">
        <v>5644399</v>
      </c>
      <c r="L15" s="19"/>
      <c r="M15" s="71">
        <v>50627</v>
      </c>
      <c r="N15" s="19"/>
      <c r="O15" s="19">
        <v>0</v>
      </c>
      <c r="P15" s="19"/>
      <c r="Q15" s="19">
        <v>440944</v>
      </c>
      <c r="R15" s="19"/>
      <c r="S15" s="19">
        <v>657565</v>
      </c>
      <c r="T15" s="19"/>
      <c r="U15" s="19">
        <v>56445</v>
      </c>
      <c r="V15" s="19"/>
      <c r="W15" s="19">
        <v>753357</v>
      </c>
      <c r="X15" s="19"/>
      <c r="Y15" s="19">
        <v>472248</v>
      </c>
      <c r="Z15" s="19"/>
      <c r="AA15" s="19">
        <v>0</v>
      </c>
      <c r="AB15" s="19"/>
      <c r="AC15" s="19">
        <v>1076851</v>
      </c>
      <c r="AD15" s="19"/>
      <c r="AE15" s="3" t="s">
        <v>283</v>
      </c>
      <c r="AF15" s="3"/>
      <c r="AG15" s="3" t="s">
        <v>260</v>
      </c>
      <c r="AI15" s="19">
        <v>18175</v>
      </c>
      <c r="AJ15" s="19"/>
      <c r="AK15" s="19">
        <v>496899</v>
      </c>
      <c r="AL15" s="19"/>
      <c r="AM15" s="19"/>
      <c r="AN15" s="109"/>
      <c r="AO15" s="19">
        <v>0</v>
      </c>
      <c r="AP15" s="19"/>
      <c r="AQ15" s="19">
        <v>265934</v>
      </c>
      <c r="AR15" s="19"/>
      <c r="AS15" s="19">
        <v>22004</v>
      </c>
      <c r="AT15" s="19"/>
      <c r="AU15" s="19">
        <v>384650</v>
      </c>
      <c r="AV15" s="19"/>
      <c r="AW15" s="19">
        <v>0</v>
      </c>
      <c r="AX15" s="19"/>
      <c r="AY15" s="19">
        <v>26667</v>
      </c>
      <c r="AZ15" s="19"/>
      <c r="BA15" s="19">
        <v>0</v>
      </c>
      <c r="BB15" s="19"/>
      <c r="BC15" s="19">
        <v>0</v>
      </c>
      <c r="BD15" s="19"/>
      <c r="BE15" s="115">
        <f>SUM(G15:BC15)</f>
        <v>11130459</v>
      </c>
      <c r="BF15" s="19"/>
      <c r="BG15" s="19">
        <v>0</v>
      </c>
      <c r="BH15" s="19"/>
      <c r="BI15" s="19">
        <v>0</v>
      </c>
      <c r="BJ15" s="19"/>
      <c r="BK15" s="19">
        <v>0</v>
      </c>
      <c r="BL15" s="19"/>
      <c r="BM15" s="19">
        <v>0</v>
      </c>
      <c r="BN15" s="19"/>
      <c r="BO15" s="115">
        <f t="shared" ref="BO15:BO34" si="0">+BE15+BG15+BI15+BM15+BK15</f>
        <v>11130459</v>
      </c>
      <c r="BP15" s="3" t="s">
        <v>283</v>
      </c>
      <c r="BQ15" s="3"/>
      <c r="BR15" s="3" t="s">
        <v>260</v>
      </c>
      <c r="BS15" s="3"/>
      <c r="BT15" s="115">
        <f>GovRev!AV15-BO15</f>
        <v>872616</v>
      </c>
      <c r="BU15" s="19"/>
      <c r="BV15" s="19">
        <v>6424355</v>
      </c>
      <c r="BW15" s="19"/>
      <c r="BX15" s="19">
        <v>0</v>
      </c>
      <c r="BY15" s="19"/>
      <c r="BZ15" s="115">
        <f>+BV15+BT15+BX15</f>
        <v>7296971</v>
      </c>
      <c r="CA15" s="16"/>
      <c r="CB15" s="16">
        <f>-BZ15+GovBS!AE15</f>
        <v>0</v>
      </c>
    </row>
    <row r="16" spans="1:80" s="19" customFormat="1">
      <c r="A16" s="3" t="s">
        <v>239</v>
      </c>
      <c r="C16" s="19" t="s">
        <v>143</v>
      </c>
      <c r="E16" s="114">
        <v>62042</v>
      </c>
      <c r="G16" s="3">
        <v>504468</v>
      </c>
      <c r="H16" s="3"/>
      <c r="I16" s="3">
        <v>369680</v>
      </c>
      <c r="J16" s="3"/>
      <c r="K16" s="3">
        <v>2570698</v>
      </c>
      <c r="L16" s="3"/>
      <c r="M16" s="26">
        <v>1433034</v>
      </c>
      <c r="N16" s="3"/>
      <c r="O16" s="3">
        <v>559</v>
      </c>
      <c r="P16" s="3"/>
      <c r="Q16" s="3">
        <v>139387</v>
      </c>
      <c r="R16" s="3"/>
      <c r="S16" s="3">
        <v>103606</v>
      </c>
      <c r="T16" s="3"/>
      <c r="U16" s="3">
        <v>100036</v>
      </c>
      <c r="V16" s="3"/>
      <c r="W16" s="3">
        <v>704425</v>
      </c>
      <c r="X16" s="3"/>
      <c r="Y16" s="3">
        <v>372244</v>
      </c>
      <c r="Z16" s="3"/>
      <c r="AA16" s="3">
        <v>2779</v>
      </c>
      <c r="AB16" s="3"/>
      <c r="AC16" s="3">
        <v>515052</v>
      </c>
      <c r="AE16" s="3" t="s">
        <v>239</v>
      </c>
      <c r="AF16" s="3"/>
      <c r="AG16" s="3" t="s">
        <v>143</v>
      </c>
      <c r="AH16" s="102"/>
      <c r="AI16" s="3">
        <v>12832</v>
      </c>
      <c r="AJ16" s="3"/>
      <c r="AK16" s="3">
        <v>112297</v>
      </c>
      <c r="AL16" s="3"/>
      <c r="AM16" s="3"/>
      <c r="AN16" s="30"/>
      <c r="AO16" s="3">
        <v>121458</v>
      </c>
      <c r="AP16" s="3"/>
      <c r="AQ16" s="3">
        <v>104334</v>
      </c>
      <c r="AR16" s="3"/>
      <c r="AS16" s="3">
        <v>25566</v>
      </c>
      <c r="AT16" s="3"/>
      <c r="AU16" s="3">
        <v>74055</v>
      </c>
      <c r="AV16" s="3"/>
      <c r="AW16" s="3">
        <v>0</v>
      </c>
      <c r="AX16" s="3"/>
      <c r="AY16" s="3">
        <v>82507</v>
      </c>
      <c r="AZ16" s="3"/>
      <c r="BA16" s="3">
        <v>33142</v>
      </c>
      <c r="BB16" s="3"/>
      <c r="BC16" s="3">
        <v>0</v>
      </c>
      <c r="BD16" s="3"/>
      <c r="BE16" s="16">
        <f>SUM(G16:BC16)</f>
        <v>7382159</v>
      </c>
      <c r="BG16" s="3">
        <v>28220</v>
      </c>
      <c r="BH16" s="3"/>
      <c r="BI16" s="3">
        <v>0</v>
      </c>
      <c r="BJ16" s="3"/>
      <c r="BK16" s="3">
        <v>0</v>
      </c>
      <c r="BL16" s="3"/>
      <c r="BM16" s="3">
        <v>0</v>
      </c>
      <c r="BN16" s="3"/>
      <c r="BO16" s="16">
        <f t="shared" si="0"/>
        <v>7410379</v>
      </c>
      <c r="BP16" s="3" t="s">
        <v>239</v>
      </c>
      <c r="BQ16" s="3"/>
      <c r="BR16" s="3" t="s">
        <v>143</v>
      </c>
      <c r="BS16" s="3"/>
      <c r="BT16" s="16">
        <f>GovRev!AV16-BO16</f>
        <v>463764</v>
      </c>
      <c r="BU16" s="3"/>
      <c r="BV16" s="3">
        <v>5136628</v>
      </c>
      <c r="BW16" s="3"/>
      <c r="BX16" s="3">
        <v>0</v>
      </c>
      <c r="BY16" s="3"/>
      <c r="BZ16" s="16">
        <f>+BV16+BT16+BX16</f>
        <v>5600392</v>
      </c>
      <c r="CA16" s="16"/>
      <c r="CB16" s="16">
        <f>-BZ16+GovBS!AE16</f>
        <v>0</v>
      </c>
    </row>
    <row r="17" spans="1:80" s="103" customFormat="1">
      <c r="A17" s="3" t="s">
        <v>348</v>
      </c>
      <c r="C17" s="103" t="s">
        <v>144</v>
      </c>
      <c r="E17" s="103">
        <v>50815</v>
      </c>
      <c r="G17" s="3">
        <v>805989</v>
      </c>
      <c r="H17" s="3"/>
      <c r="I17" s="3">
        <v>784565</v>
      </c>
      <c r="J17" s="3"/>
      <c r="K17" s="3">
        <v>4871053</v>
      </c>
      <c r="L17" s="3"/>
      <c r="M17" s="26">
        <v>2070320</v>
      </c>
      <c r="N17" s="3"/>
      <c r="O17" s="3">
        <v>295150</v>
      </c>
      <c r="P17" s="3"/>
      <c r="Q17" s="3">
        <v>583371</v>
      </c>
      <c r="R17" s="3"/>
      <c r="S17" s="3">
        <v>1456810</v>
      </c>
      <c r="T17" s="3"/>
      <c r="U17" s="3">
        <v>62977</v>
      </c>
      <c r="V17" s="3"/>
      <c r="W17" s="3">
        <v>1057029</v>
      </c>
      <c r="X17" s="3"/>
      <c r="Y17" s="3">
        <v>406843</v>
      </c>
      <c r="Z17" s="3"/>
      <c r="AA17" s="3">
        <v>86874</v>
      </c>
      <c r="AB17" s="3"/>
      <c r="AC17" s="3">
        <v>1071755</v>
      </c>
      <c r="AD17" s="3"/>
      <c r="AE17" s="3" t="s">
        <v>348</v>
      </c>
      <c r="AG17" s="103" t="s">
        <v>144</v>
      </c>
      <c r="AI17" s="3">
        <v>15119</v>
      </c>
      <c r="AJ17" s="3"/>
      <c r="AK17" s="3">
        <v>21956</v>
      </c>
      <c r="AL17" s="3"/>
      <c r="AM17" s="3"/>
      <c r="AN17" s="3"/>
      <c r="AO17" s="3">
        <v>259588</v>
      </c>
      <c r="AP17" s="3"/>
      <c r="AQ17" s="3">
        <v>3813</v>
      </c>
      <c r="AR17" s="3"/>
      <c r="AS17" s="3">
        <v>18974</v>
      </c>
      <c r="AT17" s="3"/>
      <c r="AU17" s="3">
        <v>1506963</v>
      </c>
      <c r="AV17" s="3"/>
      <c r="AW17" s="3">
        <v>0</v>
      </c>
      <c r="AX17" s="3"/>
      <c r="AY17" s="3">
        <v>0</v>
      </c>
      <c r="AZ17" s="3"/>
      <c r="BA17" s="3">
        <v>0</v>
      </c>
      <c r="BB17" s="3"/>
      <c r="BC17" s="3">
        <v>0</v>
      </c>
      <c r="BD17" s="3"/>
      <c r="BE17" s="16">
        <f>SUM(G17:BC17)</f>
        <v>15379149</v>
      </c>
      <c r="BF17" s="3"/>
      <c r="BG17" s="3">
        <v>320000</v>
      </c>
      <c r="BH17" s="3"/>
      <c r="BI17" s="3">
        <v>0</v>
      </c>
      <c r="BJ17" s="3"/>
      <c r="BK17" s="3">
        <v>0</v>
      </c>
      <c r="BL17" s="3"/>
      <c r="BM17" s="3">
        <v>0</v>
      </c>
      <c r="BN17" s="3"/>
      <c r="BO17" s="16">
        <f t="shared" si="0"/>
        <v>15699149</v>
      </c>
      <c r="BP17" s="3" t="s">
        <v>348</v>
      </c>
      <c r="BR17" s="103" t="s">
        <v>144</v>
      </c>
      <c r="BT17" s="16">
        <f>GovRev!AV17-BO17</f>
        <v>-1007590</v>
      </c>
      <c r="BU17" s="3"/>
      <c r="BV17" s="3">
        <v>10349314</v>
      </c>
      <c r="BW17" s="3"/>
      <c r="BX17" s="3">
        <v>0</v>
      </c>
      <c r="BY17" s="3"/>
      <c r="BZ17" s="16">
        <f>+BV17+BT17+BX17</f>
        <v>9341724</v>
      </c>
      <c r="CA17" s="16"/>
      <c r="CB17" s="16">
        <f>-BZ17+GovBS!AE17</f>
        <v>0</v>
      </c>
    </row>
    <row r="18" spans="1:80" s="103" customFormat="1">
      <c r="A18" s="3" t="s">
        <v>289</v>
      </c>
      <c r="C18" s="103" t="s">
        <v>146</v>
      </c>
      <c r="E18" s="103">
        <v>51169</v>
      </c>
      <c r="G18" s="3">
        <v>0</v>
      </c>
      <c r="H18" s="3"/>
      <c r="I18" s="3">
        <v>648759</v>
      </c>
      <c r="J18" s="3"/>
      <c r="K18" s="3">
        <v>3376184</v>
      </c>
      <c r="L18" s="3"/>
      <c r="M18" s="26">
        <v>1250430</v>
      </c>
      <c r="N18" s="3"/>
      <c r="O18" s="3">
        <v>0</v>
      </c>
      <c r="P18" s="3"/>
      <c r="Q18" s="3">
        <v>1089380</v>
      </c>
      <c r="R18" s="3"/>
      <c r="S18" s="3">
        <v>74097</v>
      </c>
      <c r="T18" s="3"/>
      <c r="U18" s="3">
        <v>252071</v>
      </c>
      <c r="V18" s="3"/>
      <c r="W18" s="3">
        <v>1292049</v>
      </c>
      <c r="X18" s="3"/>
      <c r="Y18" s="3">
        <v>473059</v>
      </c>
      <c r="Z18" s="3"/>
      <c r="AA18" s="3">
        <v>78</v>
      </c>
      <c r="AB18" s="3"/>
      <c r="AC18" s="3">
        <v>1306747</v>
      </c>
      <c r="AD18" s="3"/>
      <c r="AE18" s="3" t="s">
        <v>289</v>
      </c>
      <c r="AG18" s="103" t="s">
        <v>146</v>
      </c>
      <c r="AI18" s="3">
        <v>15512</v>
      </c>
      <c r="AJ18" s="3"/>
      <c r="AK18" s="3">
        <v>406491</v>
      </c>
      <c r="AL18" s="3"/>
      <c r="AM18" s="3"/>
      <c r="AN18" s="3"/>
      <c r="AO18" s="3">
        <v>0</v>
      </c>
      <c r="AP18" s="3"/>
      <c r="AQ18" s="3">
        <v>296386</v>
      </c>
      <c r="AR18" s="3"/>
      <c r="AS18" s="3">
        <v>1798</v>
      </c>
      <c r="AT18" s="3"/>
      <c r="AU18" s="3">
        <v>3049182</v>
      </c>
      <c r="AV18" s="3"/>
      <c r="AW18" s="3">
        <v>0</v>
      </c>
      <c r="AX18" s="3"/>
      <c r="AY18" s="3">
        <v>305000</v>
      </c>
      <c r="AZ18" s="3"/>
      <c r="BA18" s="3">
        <v>143531</v>
      </c>
      <c r="BB18" s="3"/>
      <c r="BC18" s="3">
        <v>0</v>
      </c>
      <c r="BD18" s="3"/>
      <c r="BE18" s="16">
        <f t="shared" ref="BE18:BE65" si="1">SUM(G18:BC18)</f>
        <v>13980754</v>
      </c>
      <c r="BF18" s="3"/>
      <c r="BG18" s="3">
        <v>80000</v>
      </c>
      <c r="BH18" s="3"/>
      <c r="BI18" s="3">
        <v>0</v>
      </c>
      <c r="BJ18" s="3"/>
      <c r="BK18" s="3">
        <v>0</v>
      </c>
      <c r="BL18" s="3"/>
      <c r="BM18" s="3">
        <v>0</v>
      </c>
      <c r="BN18" s="3"/>
      <c r="BO18" s="16">
        <f t="shared" si="0"/>
        <v>14060754</v>
      </c>
      <c r="BP18" s="3" t="s">
        <v>289</v>
      </c>
      <c r="BR18" s="103" t="s">
        <v>146</v>
      </c>
      <c r="BT18" s="16">
        <f>GovRev!AV18-BO18</f>
        <v>-325408</v>
      </c>
      <c r="BU18" s="3"/>
      <c r="BV18" s="3">
        <v>6775282</v>
      </c>
      <c r="BW18" s="3"/>
      <c r="BX18" s="3">
        <v>0</v>
      </c>
      <c r="BY18" s="3"/>
      <c r="BZ18" s="16">
        <f t="shared" ref="BZ18:BZ82" si="2">+BV18+BT18+BX18</f>
        <v>6449874</v>
      </c>
      <c r="CA18" s="16"/>
      <c r="CB18" s="16">
        <f>-BZ18+GovBS!AE18</f>
        <v>0</v>
      </c>
    </row>
    <row r="19" spans="1:80" s="103" customFormat="1">
      <c r="A19" s="3" t="s">
        <v>290</v>
      </c>
      <c r="C19" s="103" t="s">
        <v>149</v>
      </c>
      <c r="E19" s="103">
        <v>50856</v>
      </c>
      <c r="G19" s="3">
        <v>200333</v>
      </c>
      <c r="H19" s="3"/>
      <c r="I19" s="3">
        <v>0</v>
      </c>
      <c r="J19" s="3"/>
      <c r="K19" s="3">
        <v>3994346</v>
      </c>
      <c r="L19" s="3"/>
      <c r="M19" s="26">
        <v>0</v>
      </c>
      <c r="N19" s="3"/>
      <c r="O19" s="3">
        <v>54274</v>
      </c>
      <c r="P19" s="3"/>
      <c r="Q19" s="3">
        <v>353867</v>
      </c>
      <c r="R19" s="3"/>
      <c r="S19" s="3">
        <v>68029</v>
      </c>
      <c r="T19" s="3"/>
      <c r="U19" s="3">
        <v>25104</v>
      </c>
      <c r="V19" s="3"/>
      <c r="W19" s="3">
        <v>586758</v>
      </c>
      <c r="X19" s="3"/>
      <c r="Y19" s="3">
        <v>269906</v>
      </c>
      <c r="Z19" s="3"/>
      <c r="AA19" s="3">
        <v>0</v>
      </c>
      <c r="AB19" s="3"/>
      <c r="AC19" s="3">
        <v>537598</v>
      </c>
      <c r="AD19" s="3"/>
      <c r="AE19" s="3" t="s">
        <v>290</v>
      </c>
      <c r="AG19" s="103" t="s">
        <v>149</v>
      </c>
      <c r="AI19" s="3">
        <v>0</v>
      </c>
      <c r="AJ19" s="3"/>
      <c r="AK19" s="3">
        <v>185322</v>
      </c>
      <c r="AL19" s="3"/>
      <c r="AM19" s="3"/>
      <c r="AN19" s="3"/>
      <c r="AO19" s="3">
        <v>193701</v>
      </c>
      <c r="AP19" s="3"/>
      <c r="AQ19" s="3">
        <v>0</v>
      </c>
      <c r="AR19" s="3"/>
      <c r="AS19" s="3">
        <v>24004</v>
      </c>
      <c r="AT19" s="3"/>
      <c r="AU19" s="3">
        <v>546528</v>
      </c>
      <c r="AV19" s="3"/>
      <c r="AW19" s="3">
        <v>0</v>
      </c>
      <c r="AX19" s="3"/>
      <c r="AY19" s="3">
        <f>33333+27404</f>
        <v>60737</v>
      </c>
      <c r="AZ19" s="3"/>
      <c r="BA19" s="3">
        <v>3929</v>
      </c>
      <c r="BB19" s="3"/>
      <c r="BC19" s="3">
        <v>0</v>
      </c>
      <c r="BD19" s="3"/>
      <c r="BE19" s="16">
        <f t="shared" si="1"/>
        <v>7104436</v>
      </c>
      <c r="BF19" s="3"/>
      <c r="BG19" s="3">
        <v>15929</v>
      </c>
      <c r="BH19" s="3"/>
      <c r="BI19" s="3">
        <v>0</v>
      </c>
      <c r="BJ19" s="3"/>
      <c r="BK19" s="3">
        <v>0</v>
      </c>
      <c r="BL19" s="3"/>
      <c r="BM19" s="3">
        <v>0</v>
      </c>
      <c r="BN19" s="3"/>
      <c r="BO19" s="16">
        <f t="shared" si="0"/>
        <v>7120365</v>
      </c>
      <c r="BP19" s="3" t="s">
        <v>290</v>
      </c>
      <c r="BR19" s="103" t="s">
        <v>149</v>
      </c>
      <c r="BT19" s="16">
        <f>GovRev!AV19-BO19</f>
        <v>470966</v>
      </c>
      <c r="BU19" s="3"/>
      <c r="BV19" s="3">
        <v>995024</v>
      </c>
      <c r="BW19" s="3"/>
      <c r="BX19" s="3">
        <v>0</v>
      </c>
      <c r="BY19" s="3"/>
      <c r="BZ19" s="16">
        <f t="shared" si="2"/>
        <v>1465990</v>
      </c>
      <c r="CA19" s="16"/>
      <c r="CB19" s="16">
        <f>-BZ19+GovBS!AE19</f>
        <v>0</v>
      </c>
    </row>
    <row r="20" spans="1:80" s="103" customFormat="1">
      <c r="A20" s="3" t="s">
        <v>220</v>
      </c>
      <c r="C20" s="103" t="s">
        <v>198</v>
      </c>
      <c r="E20" s="103">
        <v>51656</v>
      </c>
      <c r="G20" s="3">
        <v>1321446</v>
      </c>
      <c r="H20" s="3"/>
      <c r="I20" s="3">
        <v>777976</v>
      </c>
      <c r="J20" s="3"/>
      <c r="K20" s="3">
        <v>5951333</v>
      </c>
      <c r="L20" s="3"/>
      <c r="M20" s="26">
        <v>1305765</v>
      </c>
      <c r="N20" s="3"/>
      <c r="O20" s="3">
        <v>4452</v>
      </c>
      <c r="P20" s="3"/>
      <c r="Q20" s="3">
        <v>949211</v>
      </c>
      <c r="R20" s="3"/>
      <c r="S20" s="3">
        <v>713240</v>
      </c>
      <c r="T20" s="3"/>
      <c r="U20" s="3">
        <v>104105</v>
      </c>
      <c r="V20" s="3"/>
      <c r="W20" s="3">
        <v>694761</v>
      </c>
      <c r="X20" s="3"/>
      <c r="Y20" s="3">
        <v>423637</v>
      </c>
      <c r="Z20" s="3"/>
      <c r="AA20" s="3">
        <v>0</v>
      </c>
      <c r="AB20" s="3"/>
      <c r="AC20" s="3">
        <v>1421590</v>
      </c>
      <c r="AD20" s="3"/>
      <c r="AE20" s="3" t="s">
        <v>220</v>
      </c>
      <c r="AG20" s="103" t="s">
        <v>198</v>
      </c>
      <c r="AI20" s="3">
        <v>452</v>
      </c>
      <c r="AJ20" s="3"/>
      <c r="AK20" s="3">
        <v>195174</v>
      </c>
      <c r="AL20" s="3"/>
      <c r="AM20" s="3"/>
      <c r="AN20" s="3"/>
      <c r="AO20" s="3">
        <v>473397</v>
      </c>
      <c r="AP20" s="3"/>
      <c r="AQ20" s="3">
        <v>7</v>
      </c>
      <c r="AR20" s="3"/>
      <c r="AS20" s="3">
        <v>11173</v>
      </c>
      <c r="AT20" s="3"/>
      <c r="AU20" s="3">
        <v>338475</v>
      </c>
      <c r="AV20" s="3"/>
      <c r="AW20" s="3">
        <v>0</v>
      </c>
      <c r="AX20" s="3"/>
      <c r="AY20" s="3">
        <v>51687</v>
      </c>
      <c r="AZ20" s="3"/>
      <c r="BA20" s="3">
        <v>5557</v>
      </c>
      <c r="BB20" s="3"/>
      <c r="BC20" s="3">
        <v>0</v>
      </c>
      <c r="BD20" s="3"/>
      <c r="BE20" s="16">
        <f t="shared" si="1"/>
        <v>14743438</v>
      </c>
      <c r="BF20" s="3"/>
      <c r="BG20" s="3">
        <v>45000</v>
      </c>
      <c r="BH20" s="3"/>
      <c r="BI20" s="3">
        <v>0</v>
      </c>
      <c r="BJ20" s="3"/>
      <c r="BK20" s="3">
        <v>0</v>
      </c>
      <c r="BL20" s="3"/>
      <c r="BM20" s="3">
        <v>0</v>
      </c>
      <c r="BN20" s="3"/>
      <c r="BO20" s="16">
        <f t="shared" si="0"/>
        <v>14788438</v>
      </c>
      <c r="BP20" s="3" t="s">
        <v>220</v>
      </c>
      <c r="BR20" s="103" t="s">
        <v>198</v>
      </c>
      <c r="BT20" s="16">
        <f>GovRev!AV20-BO20</f>
        <v>308212</v>
      </c>
      <c r="BU20" s="3"/>
      <c r="BV20" s="3">
        <v>18790960</v>
      </c>
      <c r="BW20" s="3"/>
      <c r="BX20" s="3">
        <v>0</v>
      </c>
      <c r="BY20" s="3"/>
      <c r="BZ20" s="16">
        <f t="shared" si="2"/>
        <v>19099172</v>
      </c>
      <c r="CA20" s="16"/>
      <c r="CB20" s="16">
        <f>-BZ20+GovBS!AE20</f>
        <v>0</v>
      </c>
    </row>
    <row r="21" spans="1:80" s="103" customFormat="1">
      <c r="A21" s="3" t="s">
        <v>357</v>
      </c>
      <c r="C21" s="103" t="s">
        <v>147</v>
      </c>
      <c r="E21" s="103">
        <v>50880</v>
      </c>
      <c r="G21" s="3">
        <v>499131</v>
      </c>
      <c r="H21" s="3"/>
      <c r="I21" s="3">
        <v>0</v>
      </c>
      <c r="J21" s="3"/>
      <c r="K21" s="3">
        <v>21862859</v>
      </c>
      <c r="L21" s="3"/>
      <c r="M21" s="26">
        <v>0</v>
      </c>
      <c r="N21" s="3"/>
      <c r="O21" s="3">
        <v>53926</v>
      </c>
      <c r="P21" s="3"/>
      <c r="Q21" s="3">
        <v>1609482</v>
      </c>
      <c r="R21" s="3"/>
      <c r="S21" s="3">
        <v>3557891</v>
      </c>
      <c r="T21" s="3"/>
      <c r="U21" s="3">
        <v>0</v>
      </c>
      <c r="V21" s="3"/>
      <c r="W21" s="3">
        <f>91240+2471519</f>
        <v>2562759</v>
      </c>
      <c r="X21" s="3"/>
      <c r="Y21" s="3">
        <v>1207433</v>
      </c>
      <c r="Z21" s="3"/>
      <c r="AA21" s="3">
        <v>66501</v>
      </c>
      <c r="AB21" s="3"/>
      <c r="AC21" s="3">
        <v>3297084</v>
      </c>
      <c r="AD21" s="3"/>
      <c r="AE21" s="3" t="s">
        <v>357</v>
      </c>
      <c r="AG21" s="103" t="s">
        <v>147</v>
      </c>
      <c r="AI21" s="3">
        <v>81787</v>
      </c>
      <c r="AJ21" s="3"/>
      <c r="AK21" s="3">
        <v>3185186</v>
      </c>
      <c r="AL21" s="3"/>
      <c r="AM21" s="3"/>
      <c r="AN21" s="3"/>
      <c r="AO21" s="3">
        <v>0</v>
      </c>
      <c r="AP21" s="3"/>
      <c r="AQ21" s="3">
        <v>13354</v>
      </c>
      <c r="AR21" s="3"/>
      <c r="AS21" s="3">
        <v>425197</v>
      </c>
      <c r="AT21" s="3"/>
      <c r="AU21" s="3">
        <v>408417</v>
      </c>
      <c r="AV21" s="3"/>
      <c r="AW21" s="3">
        <v>0</v>
      </c>
      <c r="AX21" s="3"/>
      <c r="AY21" s="3">
        <v>0</v>
      </c>
      <c r="AZ21" s="3"/>
      <c r="BA21" s="3">
        <v>50200</v>
      </c>
      <c r="BB21" s="3"/>
      <c r="BC21" s="3">
        <v>0</v>
      </c>
      <c r="BD21" s="3"/>
      <c r="BE21" s="16">
        <f t="shared" si="1"/>
        <v>38881207</v>
      </c>
      <c r="BF21" s="3"/>
      <c r="BG21" s="3">
        <v>1506843</v>
      </c>
      <c r="BH21" s="3"/>
      <c r="BI21" s="3">
        <v>0</v>
      </c>
      <c r="BJ21" s="3"/>
      <c r="BK21" s="3">
        <v>0</v>
      </c>
      <c r="BL21" s="3"/>
      <c r="BM21" s="3">
        <v>0</v>
      </c>
      <c r="BN21" s="3"/>
      <c r="BO21" s="16">
        <f t="shared" si="0"/>
        <v>40388050</v>
      </c>
      <c r="BP21" s="3" t="s">
        <v>357</v>
      </c>
      <c r="BR21" s="103" t="s">
        <v>147</v>
      </c>
      <c r="BT21" s="16">
        <f>GovRev!AV21-BO21</f>
        <v>3244827</v>
      </c>
      <c r="BU21" s="3"/>
      <c r="BV21" s="3">
        <v>10306938</v>
      </c>
      <c r="BW21" s="3"/>
      <c r="BX21" s="3">
        <v>0</v>
      </c>
      <c r="BY21" s="3"/>
      <c r="BZ21" s="16">
        <f t="shared" si="2"/>
        <v>13551765</v>
      </c>
      <c r="CA21" s="16"/>
      <c r="CB21" s="16">
        <f>-BZ21+GovBS!AE21</f>
        <v>0</v>
      </c>
    </row>
    <row r="22" spans="1:80" s="103" customFormat="1">
      <c r="A22" s="3" t="s">
        <v>273</v>
      </c>
      <c r="C22" s="103" t="s">
        <v>173</v>
      </c>
      <c r="E22" s="103">
        <v>51201</v>
      </c>
      <c r="G22" s="3">
        <v>202881</v>
      </c>
      <c r="H22" s="3"/>
      <c r="I22" s="3">
        <v>563034</v>
      </c>
      <c r="J22" s="3"/>
      <c r="K22" s="3">
        <v>4817467</v>
      </c>
      <c r="L22" s="3"/>
      <c r="M22" s="26">
        <v>2204103</v>
      </c>
      <c r="N22" s="3"/>
      <c r="O22" s="3">
        <v>0</v>
      </c>
      <c r="P22" s="3"/>
      <c r="Q22" s="3">
        <v>549482</v>
      </c>
      <c r="R22" s="3"/>
      <c r="S22" s="3">
        <v>799964</v>
      </c>
      <c r="T22" s="3"/>
      <c r="U22" s="3">
        <v>17603</v>
      </c>
      <c r="V22" s="3"/>
      <c r="W22" s="3">
        <v>1085973</v>
      </c>
      <c r="X22" s="3"/>
      <c r="Y22" s="3">
        <v>414420</v>
      </c>
      <c r="Z22" s="3"/>
      <c r="AA22" s="3">
        <v>299104</v>
      </c>
      <c r="AB22" s="3"/>
      <c r="AC22" s="3">
        <v>1593104</v>
      </c>
      <c r="AD22" s="3"/>
      <c r="AE22" s="3" t="s">
        <v>273</v>
      </c>
      <c r="AG22" s="103" t="s">
        <v>173</v>
      </c>
      <c r="AI22" s="3">
        <v>5905</v>
      </c>
      <c r="AJ22" s="3"/>
      <c r="AK22" s="3">
        <v>775655</v>
      </c>
      <c r="AL22" s="3"/>
      <c r="AM22" s="3"/>
      <c r="AN22" s="3"/>
      <c r="AO22" s="3">
        <v>257088</v>
      </c>
      <c r="AP22" s="3"/>
      <c r="AQ22" s="3">
        <v>134</v>
      </c>
      <c r="AR22" s="3"/>
      <c r="AS22" s="3">
        <v>88972</v>
      </c>
      <c r="AT22" s="3"/>
      <c r="AU22" s="3">
        <v>0</v>
      </c>
      <c r="AV22" s="3"/>
      <c r="AW22" s="3">
        <v>0</v>
      </c>
      <c r="AX22" s="3"/>
      <c r="AY22" s="3">
        <v>1300690</v>
      </c>
      <c r="AZ22" s="3"/>
      <c r="BA22" s="3">
        <v>961973</v>
      </c>
      <c r="BB22" s="3"/>
      <c r="BC22" s="3">
        <v>0</v>
      </c>
      <c r="BD22" s="3"/>
      <c r="BE22" s="16">
        <f>SUM(G22:BC22)</f>
        <v>15937552</v>
      </c>
      <c r="BF22" s="3"/>
      <c r="BG22" s="3">
        <v>209220</v>
      </c>
      <c r="BH22" s="3"/>
      <c r="BI22" s="3">
        <v>0</v>
      </c>
      <c r="BJ22" s="3"/>
      <c r="BK22" s="3">
        <v>0</v>
      </c>
      <c r="BL22" s="3"/>
      <c r="BM22" s="3">
        <v>0</v>
      </c>
      <c r="BN22" s="3"/>
      <c r="BO22" s="16">
        <f t="shared" si="0"/>
        <v>16146772</v>
      </c>
      <c r="BP22" s="3" t="s">
        <v>273</v>
      </c>
      <c r="BR22" s="103" t="s">
        <v>173</v>
      </c>
      <c r="BT22" s="16">
        <f>GovRev!AV22-BO22</f>
        <v>1476067</v>
      </c>
      <c r="BU22" s="3"/>
      <c r="BV22" s="3">
        <v>7595960</v>
      </c>
      <c r="BW22" s="3"/>
      <c r="BX22" s="3">
        <v>0</v>
      </c>
      <c r="BY22" s="3"/>
      <c r="BZ22" s="16">
        <f>+BV22+BT22+BX22</f>
        <v>9072027</v>
      </c>
      <c r="CA22" s="16"/>
      <c r="CB22" s="16">
        <f>-BZ22+GovBS!AE22</f>
        <v>0</v>
      </c>
    </row>
    <row r="23" spans="1:80" s="89" customFormat="1" hidden="1">
      <c r="A23" s="88" t="s">
        <v>271</v>
      </c>
      <c r="C23" s="89" t="s">
        <v>214</v>
      </c>
      <c r="E23" s="89">
        <v>63511</v>
      </c>
      <c r="G23" s="88">
        <v>0</v>
      </c>
      <c r="H23" s="88"/>
      <c r="I23" s="88">
        <v>0</v>
      </c>
      <c r="J23" s="88"/>
      <c r="K23" s="88">
        <v>0</v>
      </c>
      <c r="L23" s="88"/>
      <c r="M23" s="88">
        <v>0</v>
      </c>
      <c r="N23" s="88"/>
      <c r="O23" s="88">
        <v>0</v>
      </c>
      <c r="P23" s="88"/>
      <c r="Q23" s="88">
        <v>0</v>
      </c>
      <c r="R23" s="88"/>
      <c r="S23" s="88">
        <v>0</v>
      </c>
      <c r="T23" s="88"/>
      <c r="U23" s="88">
        <v>0</v>
      </c>
      <c r="V23" s="88"/>
      <c r="W23" s="88">
        <v>0</v>
      </c>
      <c r="X23" s="88"/>
      <c r="Y23" s="88">
        <v>0</v>
      </c>
      <c r="Z23" s="88"/>
      <c r="AA23" s="88">
        <v>0</v>
      </c>
      <c r="AB23" s="88"/>
      <c r="AC23" s="88">
        <v>0</v>
      </c>
      <c r="AD23" s="88"/>
      <c r="AE23" s="88" t="s">
        <v>271</v>
      </c>
      <c r="AG23" s="89" t="s">
        <v>214</v>
      </c>
      <c r="AI23" s="88">
        <v>0</v>
      </c>
      <c r="AJ23" s="88"/>
      <c r="AK23" s="88">
        <v>0</v>
      </c>
      <c r="AL23" s="88"/>
      <c r="AM23" s="88"/>
      <c r="AN23" s="88"/>
      <c r="AO23" s="88">
        <v>0</v>
      </c>
      <c r="AP23" s="88"/>
      <c r="AQ23" s="88">
        <v>0</v>
      </c>
      <c r="AR23" s="88"/>
      <c r="AS23" s="88">
        <v>0</v>
      </c>
      <c r="AT23" s="88"/>
      <c r="AU23" s="88">
        <v>0</v>
      </c>
      <c r="AV23" s="88"/>
      <c r="AW23" s="88">
        <v>0</v>
      </c>
      <c r="AX23" s="88"/>
      <c r="AY23" s="88">
        <v>0</v>
      </c>
      <c r="AZ23" s="88"/>
      <c r="BA23" s="88">
        <v>0</v>
      </c>
      <c r="BB23" s="88"/>
      <c r="BC23" s="88"/>
      <c r="BD23" s="88"/>
      <c r="BE23" s="90">
        <f t="shared" si="1"/>
        <v>0</v>
      </c>
      <c r="BF23" s="88"/>
      <c r="BG23" s="88">
        <v>0</v>
      </c>
      <c r="BH23" s="88"/>
      <c r="BI23" s="88"/>
      <c r="BJ23" s="88"/>
      <c r="BK23" s="88"/>
      <c r="BL23" s="88"/>
      <c r="BM23" s="88">
        <v>0</v>
      </c>
      <c r="BN23" s="88"/>
      <c r="BO23" s="90">
        <f t="shared" si="0"/>
        <v>0</v>
      </c>
      <c r="BP23" s="88" t="s">
        <v>271</v>
      </c>
      <c r="BR23" s="89" t="s">
        <v>214</v>
      </c>
      <c r="BT23" s="90">
        <f>GovRev!AV23-BO23</f>
        <v>0</v>
      </c>
      <c r="BU23" s="88"/>
      <c r="BV23" s="88">
        <v>0</v>
      </c>
      <c r="BW23" s="88"/>
      <c r="BX23" s="88"/>
      <c r="BY23" s="88"/>
      <c r="BZ23" s="90">
        <f t="shared" si="2"/>
        <v>0</v>
      </c>
      <c r="CA23" s="90"/>
      <c r="CB23" s="90">
        <f>-BZ23+GovBS!AE23</f>
        <v>0</v>
      </c>
    </row>
    <row r="24" spans="1:80" s="103" customFormat="1">
      <c r="A24" s="3" t="s">
        <v>356</v>
      </c>
      <c r="C24" s="103" t="s">
        <v>156</v>
      </c>
      <c r="E24" s="103">
        <v>50906</v>
      </c>
      <c r="G24" s="3">
        <v>0</v>
      </c>
      <c r="H24" s="3"/>
      <c r="I24" s="3">
        <v>0</v>
      </c>
      <c r="J24" s="3"/>
      <c r="K24" s="3">
        <v>2899305</v>
      </c>
      <c r="L24" s="3"/>
      <c r="M24" s="3">
        <v>1008411</v>
      </c>
      <c r="N24" s="3"/>
      <c r="O24" s="3">
        <v>0</v>
      </c>
      <c r="P24" s="3"/>
      <c r="Q24" s="3">
        <v>651293</v>
      </c>
      <c r="R24" s="3"/>
      <c r="S24" s="3">
        <v>673736</v>
      </c>
      <c r="T24" s="3"/>
      <c r="U24" s="3">
        <v>28934</v>
      </c>
      <c r="V24" s="3"/>
      <c r="W24" s="3">
        <v>384224</v>
      </c>
      <c r="X24" s="3"/>
      <c r="Y24" s="3">
        <v>334814</v>
      </c>
      <c r="Z24" s="3"/>
      <c r="AA24" s="3">
        <v>0</v>
      </c>
      <c r="AB24" s="3"/>
      <c r="AC24" s="3">
        <v>706237</v>
      </c>
      <c r="AD24" s="3"/>
      <c r="AE24" s="3" t="s">
        <v>356</v>
      </c>
      <c r="AG24" s="103" t="s">
        <v>156</v>
      </c>
      <c r="AI24" s="3">
        <v>0</v>
      </c>
      <c r="AJ24" s="3"/>
      <c r="AK24" s="3">
        <v>0</v>
      </c>
      <c r="AL24" s="3"/>
      <c r="AM24" s="3"/>
      <c r="AN24" s="3"/>
      <c r="AO24" s="3">
        <v>195283</v>
      </c>
      <c r="AP24" s="3"/>
      <c r="AQ24" s="3">
        <v>0</v>
      </c>
      <c r="AR24" s="3"/>
      <c r="AS24" s="3">
        <v>43638</v>
      </c>
      <c r="AT24" s="3"/>
      <c r="AU24" s="3">
        <v>680023</v>
      </c>
      <c r="AV24" s="3"/>
      <c r="AW24" s="3">
        <v>0</v>
      </c>
      <c r="AX24" s="3"/>
      <c r="AY24" s="3">
        <v>0</v>
      </c>
      <c r="AZ24" s="3"/>
      <c r="BA24" s="3">
        <v>0</v>
      </c>
      <c r="BB24" s="3"/>
      <c r="BC24" s="3">
        <v>0</v>
      </c>
      <c r="BD24" s="3"/>
      <c r="BE24" s="16">
        <f t="shared" si="1"/>
        <v>7605898</v>
      </c>
      <c r="BF24" s="3"/>
      <c r="BG24" s="3">
        <v>1004363</v>
      </c>
      <c r="BH24" s="3"/>
      <c r="BI24" s="3">
        <v>0</v>
      </c>
      <c r="BJ24" s="3"/>
      <c r="BK24" s="3">
        <v>0</v>
      </c>
      <c r="BL24" s="3"/>
      <c r="BM24" s="3">
        <v>0</v>
      </c>
      <c r="BN24" s="3"/>
      <c r="BO24" s="16">
        <f t="shared" si="0"/>
        <v>8610261</v>
      </c>
      <c r="BP24" s="3" t="s">
        <v>356</v>
      </c>
      <c r="BR24" s="103" t="s">
        <v>156</v>
      </c>
      <c r="BT24" s="16">
        <f>GovRev!AV24-BO24</f>
        <v>604877</v>
      </c>
      <c r="BU24" s="3"/>
      <c r="BV24" s="3">
        <v>6360697</v>
      </c>
      <c r="BW24" s="3"/>
      <c r="BX24" s="3">
        <v>0</v>
      </c>
      <c r="BY24" s="3"/>
      <c r="BZ24" s="16">
        <f t="shared" si="2"/>
        <v>6965574</v>
      </c>
      <c r="CA24" s="16"/>
      <c r="CB24" s="16">
        <f>-BZ24+GovBS!AE24</f>
        <v>0</v>
      </c>
    </row>
    <row r="25" spans="1:80" s="103" customFormat="1">
      <c r="A25" s="3" t="s">
        <v>243</v>
      </c>
      <c r="C25" s="103" t="s">
        <v>207</v>
      </c>
      <c r="E25" s="103">
        <v>65227</v>
      </c>
      <c r="G25" s="3">
        <v>531948</v>
      </c>
      <c r="H25" s="3"/>
      <c r="I25" s="3">
        <v>91332</v>
      </c>
      <c r="J25" s="3"/>
      <c r="K25" s="3">
        <v>1617346</v>
      </c>
      <c r="L25" s="3"/>
      <c r="M25" s="3">
        <v>0</v>
      </c>
      <c r="N25" s="3"/>
      <c r="O25" s="3">
        <v>0</v>
      </c>
      <c r="P25" s="3"/>
      <c r="Q25" s="3">
        <v>207298</v>
      </c>
      <c r="R25" s="3"/>
      <c r="S25" s="3">
        <v>284133</v>
      </c>
      <c r="T25" s="3"/>
      <c r="U25" s="3">
        <v>33825</v>
      </c>
      <c r="V25" s="3"/>
      <c r="W25" s="3">
        <v>245020</v>
      </c>
      <c r="X25" s="3"/>
      <c r="Y25" s="3">
        <v>213827</v>
      </c>
      <c r="Z25" s="3"/>
      <c r="AA25" s="3">
        <v>17940</v>
      </c>
      <c r="AB25" s="3"/>
      <c r="AC25" s="3">
        <v>498473</v>
      </c>
      <c r="AD25" s="3"/>
      <c r="AE25" s="3" t="s">
        <v>243</v>
      </c>
      <c r="AG25" s="103" t="s">
        <v>207</v>
      </c>
      <c r="AI25" s="3">
        <v>13580</v>
      </c>
      <c r="AJ25" s="3"/>
      <c r="AK25" s="3">
        <v>25370</v>
      </c>
      <c r="AL25" s="3"/>
      <c r="AM25" s="3"/>
      <c r="AN25" s="3"/>
      <c r="AO25" s="3">
        <v>123961</v>
      </c>
      <c r="AP25" s="3"/>
      <c r="AQ25" s="3">
        <v>0</v>
      </c>
      <c r="AR25" s="3"/>
      <c r="AS25" s="3">
        <v>18068</v>
      </c>
      <c r="AT25" s="3"/>
      <c r="AU25" s="3">
        <v>0</v>
      </c>
      <c r="AV25" s="3"/>
      <c r="AW25" s="3">
        <v>0</v>
      </c>
      <c r="AX25" s="3"/>
      <c r="AY25" s="3">
        <v>81354</v>
      </c>
      <c r="AZ25" s="3"/>
      <c r="BA25" s="3">
        <v>15110</v>
      </c>
      <c r="BB25" s="3"/>
      <c r="BC25" s="3">
        <v>0</v>
      </c>
      <c r="BD25" s="3"/>
      <c r="BE25" s="16">
        <f t="shared" si="1"/>
        <v>4018585</v>
      </c>
      <c r="BF25" s="3"/>
      <c r="BG25" s="3">
        <v>0</v>
      </c>
      <c r="BH25" s="3"/>
      <c r="BI25" s="3">
        <v>0</v>
      </c>
      <c r="BJ25" s="3"/>
      <c r="BK25" s="3">
        <v>0</v>
      </c>
      <c r="BL25" s="3"/>
      <c r="BM25" s="3">
        <v>0</v>
      </c>
      <c r="BN25" s="3"/>
      <c r="BO25" s="16">
        <f t="shared" si="0"/>
        <v>4018585</v>
      </c>
      <c r="BP25" s="3" t="s">
        <v>243</v>
      </c>
      <c r="BR25" s="103" t="s">
        <v>207</v>
      </c>
      <c r="BT25" s="16">
        <f>GovRev!AV25-BO25</f>
        <v>-220774</v>
      </c>
      <c r="BU25" s="3"/>
      <c r="BV25" s="3">
        <v>892140</v>
      </c>
      <c r="BW25" s="3"/>
      <c r="BX25" s="3">
        <v>0</v>
      </c>
      <c r="BY25" s="3"/>
      <c r="BZ25" s="16">
        <f t="shared" si="2"/>
        <v>671366</v>
      </c>
      <c r="CA25" s="16"/>
      <c r="CB25" s="16">
        <f>-BZ25+GovBS!AE25</f>
        <v>0</v>
      </c>
    </row>
    <row r="26" spans="1:80" s="103" customFormat="1">
      <c r="A26" s="3" t="s">
        <v>241</v>
      </c>
      <c r="C26" s="103" t="s">
        <v>157</v>
      </c>
      <c r="E26" s="103">
        <v>50922</v>
      </c>
      <c r="G26" s="3">
        <v>715185</v>
      </c>
      <c r="H26" s="3"/>
      <c r="I26" s="3">
        <v>0</v>
      </c>
      <c r="J26" s="3"/>
      <c r="K26" s="3">
        <v>4793249</v>
      </c>
      <c r="L26" s="3"/>
      <c r="M26" s="3">
        <v>1395015</v>
      </c>
      <c r="N26" s="3"/>
      <c r="O26" s="3">
        <v>0</v>
      </c>
      <c r="P26" s="3"/>
      <c r="Q26" s="3">
        <v>723794</v>
      </c>
      <c r="R26" s="3"/>
      <c r="S26" s="3">
        <v>1285508</v>
      </c>
      <c r="T26" s="3"/>
      <c r="U26" s="3">
        <v>31279</v>
      </c>
      <c r="V26" s="3"/>
      <c r="W26" s="3">
        <v>1892902</v>
      </c>
      <c r="X26" s="3"/>
      <c r="Y26" s="3">
        <v>909139</v>
      </c>
      <c r="Z26" s="3"/>
      <c r="AA26" s="3">
        <v>630728</v>
      </c>
      <c r="AB26" s="3"/>
      <c r="AC26" s="3">
        <v>1112999</v>
      </c>
      <c r="AD26" s="3"/>
      <c r="AE26" s="3" t="s">
        <v>241</v>
      </c>
      <c r="AG26" s="103" t="s">
        <v>157</v>
      </c>
      <c r="AI26" s="3">
        <v>13870</v>
      </c>
      <c r="AJ26" s="3"/>
      <c r="AK26" s="3">
        <v>372867</v>
      </c>
      <c r="AL26" s="3"/>
      <c r="AM26" s="3"/>
      <c r="AN26" s="3"/>
      <c r="AO26" s="3">
        <v>121054</v>
      </c>
      <c r="AP26" s="3"/>
      <c r="AQ26" s="3">
        <f>16296+120417+1843839</f>
        <v>1980552</v>
      </c>
      <c r="AR26" s="3"/>
      <c r="AS26" s="3">
        <v>88922</v>
      </c>
      <c r="AT26" s="3"/>
      <c r="AU26" s="3">
        <v>260271</v>
      </c>
      <c r="AV26" s="3"/>
      <c r="AW26" s="3">
        <v>0</v>
      </c>
      <c r="AX26" s="3"/>
      <c r="AY26" s="3">
        <v>56224</v>
      </c>
      <c r="AZ26" s="3"/>
      <c r="BA26" s="3">
        <v>7477</v>
      </c>
      <c r="BB26" s="3"/>
      <c r="BC26" s="3">
        <v>0</v>
      </c>
      <c r="BD26" s="3"/>
      <c r="BE26" s="16">
        <f t="shared" si="1"/>
        <v>16391035</v>
      </c>
      <c r="BF26" s="3"/>
      <c r="BG26" s="3">
        <v>225000</v>
      </c>
      <c r="BH26" s="3"/>
      <c r="BI26" s="3">
        <v>0</v>
      </c>
      <c r="BJ26" s="3"/>
      <c r="BK26" s="3">
        <v>0</v>
      </c>
      <c r="BL26" s="3"/>
      <c r="BM26" s="3">
        <v>0</v>
      </c>
      <c r="BN26" s="3"/>
      <c r="BO26" s="16">
        <f t="shared" si="0"/>
        <v>16616035</v>
      </c>
      <c r="BP26" s="3" t="s">
        <v>241</v>
      </c>
      <c r="BR26" s="103" t="s">
        <v>157</v>
      </c>
      <c r="BT26" s="16">
        <f>GovRev!AV26-BO26</f>
        <v>-726162</v>
      </c>
      <c r="BU26" s="3"/>
      <c r="BV26" s="3">
        <v>13172017</v>
      </c>
      <c r="BW26" s="3"/>
      <c r="BX26" s="3">
        <v>-4320</v>
      </c>
      <c r="BY26" s="3"/>
      <c r="BZ26" s="16">
        <f t="shared" si="2"/>
        <v>12441535</v>
      </c>
      <c r="CA26" s="16"/>
      <c r="CB26" s="16">
        <f>-BZ26+GovBS!AE26</f>
        <v>0</v>
      </c>
    </row>
    <row r="27" spans="1:80" s="103" customFormat="1">
      <c r="A27" s="3" t="s">
        <v>240</v>
      </c>
      <c r="C27" s="103" t="s">
        <v>159</v>
      </c>
      <c r="E27" s="103">
        <v>50989</v>
      </c>
      <c r="G27" s="3">
        <v>1051164</v>
      </c>
      <c r="H27" s="3"/>
      <c r="I27" s="3">
        <v>254315</v>
      </c>
      <c r="J27" s="3"/>
      <c r="K27" s="3">
        <v>5414541</v>
      </c>
      <c r="L27" s="3"/>
      <c r="M27" s="3">
        <v>1085349</v>
      </c>
      <c r="N27" s="3"/>
      <c r="O27" s="3">
        <v>106955</v>
      </c>
      <c r="P27" s="3"/>
      <c r="Q27" s="3">
        <v>1306372</v>
      </c>
      <c r="R27" s="3"/>
      <c r="S27" s="3">
        <v>1126240</v>
      </c>
      <c r="T27" s="3"/>
      <c r="U27" s="3">
        <v>127876</v>
      </c>
      <c r="V27" s="3"/>
      <c r="W27" s="3">
        <v>1149429</v>
      </c>
      <c r="X27" s="3"/>
      <c r="Y27" s="3">
        <v>720006</v>
      </c>
      <c r="Z27" s="3"/>
      <c r="AA27" s="3">
        <v>0</v>
      </c>
      <c r="AB27" s="3"/>
      <c r="AC27" s="3">
        <v>1590644</v>
      </c>
      <c r="AD27" s="3"/>
      <c r="AE27" s="3" t="s">
        <v>240</v>
      </c>
      <c r="AG27" s="103" t="s">
        <v>159</v>
      </c>
      <c r="AI27" s="3">
        <v>30601</v>
      </c>
      <c r="AJ27" s="3"/>
      <c r="AK27" s="3">
        <v>267029</v>
      </c>
      <c r="AL27" s="3"/>
      <c r="AM27" s="3"/>
      <c r="AN27" s="3"/>
      <c r="AO27" s="3">
        <v>216961</v>
      </c>
      <c r="AP27" s="3"/>
      <c r="AQ27" s="3">
        <f>9228+37309</f>
        <v>46537</v>
      </c>
      <c r="AR27" s="3"/>
      <c r="AS27" s="3">
        <v>14609</v>
      </c>
      <c r="AT27" s="3"/>
      <c r="AU27" s="3">
        <v>864346</v>
      </c>
      <c r="AV27" s="3"/>
      <c r="AW27" s="3">
        <v>0</v>
      </c>
      <c r="AX27" s="3"/>
      <c r="AY27" s="3">
        <v>45511</v>
      </c>
      <c r="AZ27" s="3"/>
      <c r="BA27" s="3">
        <v>5384</v>
      </c>
      <c r="BB27" s="3"/>
      <c r="BC27" s="3">
        <v>0</v>
      </c>
      <c r="BD27" s="3"/>
      <c r="BE27" s="16">
        <f t="shared" si="1"/>
        <v>15423869</v>
      </c>
      <c r="BF27" s="3"/>
      <c r="BG27" s="3">
        <v>736697</v>
      </c>
      <c r="BH27" s="3"/>
      <c r="BI27" s="3">
        <v>0</v>
      </c>
      <c r="BJ27" s="3"/>
      <c r="BK27" s="3">
        <v>0</v>
      </c>
      <c r="BL27" s="3"/>
      <c r="BM27" s="3">
        <v>0</v>
      </c>
      <c r="BN27" s="3"/>
      <c r="BO27" s="16">
        <f t="shared" si="0"/>
        <v>16160566</v>
      </c>
      <c r="BP27" s="3" t="s">
        <v>240</v>
      </c>
      <c r="BR27" s="103" t="s">
        <v>159</v>
      </c>
      <c r="BT27" s="16">
        <f>GovRev!AV27-BO27</f>
        <v>2846716</v>
      </c>
      <c r="BU27" s="3"/>
      <c r="BV27" s="3">
        <v>27339151</v>
      </c>
      <c r="BW27" s="3"/>
      <c r="BX27" s="3">
        <v>0</v>
      </c>
      <c r="BY27" s="3"/>
      <c r="BZ27" s="16">
        <f t="shared" si="2"/>
        <v>30185867</v>
      </c>
      <c r="CA27" s="16"/>
      <c r="CB27" s="16">
        <f>-BZ27+GovBS!AE27</f>
        <v>0</v>
      </c>
    </row>
    <row r="28" spans="1:80" s="103" customFormat="1">
      <c r="A28" s="3" t="s">
        <v>358</v>
      </c>
      <c r="C28" s="103" t="s">
        <v>162</v>
      </c>
      <c r="E28" s="103">
        <v>51003</v>
      </c>
      <c r="G28" s="3">
        <v>3553201</v>
      </c>
      <c r="H28" s="3"/>
      <c r="I28" s="3">
        <v>1406310</v>
      </c>
      <c r="J28" s="3"/>
      <c r="K28" s="3">
        <v>5768185</v>
      </c>
      <c r="L28" s="3"/>
      <c r="M28" s="3">
        <v>206315</v>
      </c>
      <c r="N28" s="3"/>
      <c r="O28" s="3">
        <v>533317</v>
      </c>
      <c r="P28" s="3"/>
      <c r="Q28" s="3">
        <v>1038628</v>
      </c>
      <c r="R28" s="3"/>
      <c r="S28" s="3">
        <v>409303</v>
      </c>
      <c r="T28" s="3"/>
      <c r="U28" s="3">
        <v>29286</v>
      </c>
      <c r="V28" s="3"/>
      <c r="W28" s="3">
        <v>2148781</v>
      </c>
      <c r="X28" s="3"/>
      <c r="Y28" s="3">
        <v>791837</v>
      </c>
      <c r="Z28" s="3"/>
      <c r="AA28" s="3">
        <v>0</v>
      </c>
      <c r="AB28" s="3"/>
      <c r="AC28" s="3">
        <v>2257923</v>
      </c>
      <c r="AD28" s="3"/>
      <c r="AE28" s="3" t="s">
        <v>358</v>
      </c>
      <c r="AG28" s="103" t="s">
        <v>162</v>
      </c>
      <c r="AI28" s="3">
        <v>57900</v>
      </c>
      <c r="AJ28" s="3"/>
      <c r="AK28" s="3">
        <v>920970</v>
      </c>
      <c r="AL28" s="3"/>
      <c r="AM28" s="3"/>
      <c r="AN28" s="3"/>
      <c r="AO28" s="3">
        <v>0</v>
      </c>
      <c r="AP28" s="3"/>
      <c r="AQ28" s="3">
        <v>427000</v>
      </c>
      <c r="AR28" s="3"/>
      <c r="AS28" s="3">
        <v>86419</v>
      </c>
      <c r="AT28" s="3"/>
      <c r="AU28" s="3">
        <v>818174</v>
      </c>
      <c r="AV28" s="3"/>
      <c r="AW28" s="3">
        <v>0</v>
      </c>
      <c r="AX28" s="3"/>
      <c r="AY28" s="3">
        <v>500000</v>
      </c>
      <c r="AZ28" s="3"/>
      <c r="BA28" s="3">
        <v>100960</v>
      </c>
      <c r="BB28" s="3"/>
      <c r="BC28" s="3">
        <v>0</v>
      </c>
      <c r="BD28" s="3"/>
      <c r="BE28" s="16">
        <f t="shared" si="1"/>
        <v>21054509</v>
      </c>
      <c r="BF28" s="3"/>
      <c r="BG28" s="3">
        <v>750960</v>
      </c>
      <c r="BH28" s="3"/>
      <c r="BI28" s="3">
        <v>0</v>
      </c>
      <c r="BJ28" s="3"/>
      <c r="BK28" s="3">
        <v>0</v>
      </c>
      <c r="BL28" s="3"/>
      <c r="BM28" s="3">
        <v>0</v>
      </c>
      <c r="BN28" s="3"/>
      <c r="BO28" s="16">
        <f t="shared" si="0"/>
        <v>21805469</v>
      </c>
      <c r="BP28" s="3" t="s">
        <v>358</v>
      </c>
      <c r="BR28" s="103" t="s">
        <v>162</v>
      </c>
      <c r="BT28" s="16">
        <f>GovRev!AV28-BO28</f>
        <v>-98055</v>
      </c>
      <c r="BU28" s="3"/>
      <c r="BV28" s="3">
        <v>19571705</v>
      </c>
      <c r="BW28" s="3"/>
      <c r="BX28" s="3">
        <v>0</v>
      </c>
      <c r="BY28" s="3"/>
      <c r="BZ28" s="16">
        <f t="shared" si="2"/>
        <v>19473650</v>
      </c>
      <c r="CA28" s="16"/>
      <c r="CB28" s="16">
        <f>-BZ28+GovBS!AE28</f>
        <v>0</v>
      </c>
    </row>
    <row r="29" spans="1:80" s="103" customFormat="1">
      <c r="A29" s="3" t="s">
        <v>242</v>
      </c>
      <c r="C29" s="103" t="s">
        <v>160</v>
      </c>
      <c r="E29" s="103">
        <v>51029</v>
      </c>
      <c r="G29" s="3">
        <v>907793</v>
      </c>
      <c r="H29" s="3"/>
      <c r="I29" s="3">
        <v>314348</v>
      </c>
      <c r="J29" s="3"/>
      <c r="K29" s="3">
        <v>5249732</v>
      </c>
      <c r="L29" s="3"/>
      <c r="M29" s="3">
        <v>3714032</v>
      </c>
      <c r="N29" s="3"/>
      <c r="O29" s="3">
        <v>0</v>
      </c>
      <c r="P29" s="3"/>
      <c r="Q29" s="3">
        <v>1023539</v>
      </c>
      <c r="R29" s="3"/>
      <c r="S29" s="3">
        <v>321000</v>
      </c>
      <c r="T29" s="3"/>
      <c r="U29" s="3">
        <v>57492</v>
      </c>
      <c r="V29" s="3"/>
      <c r="W29" s="3">
        <v>2158431</v>
      </c>
      <c r="X29" s="3"/>
      <c r="Y29" s="3">
        <v>580894</v>
      </c>
      <c r="Z29" s="3"/>
      <c r="AA29" s="3">
        <v>275894</v>
      </c>
      <c r="AB29" s="3"/>
      <c r="AC29" s="3">
        <v>1561653</v>
      </c>
      <c r="AD29" s="3"/>
      <c r="AE29" s="3" t="s">
        <v>242</v>
      </c>
      <c r="AG29" s="103" t="s">
        <v>160</v>
      </c>
      <c r="AI29" s="3">
        <v>37646</v>
      </c>
      <c r="AJ29" s="3"/>
      <c r="AK29" s="3">
        <v>528358</v>
      </c>
      <c r="AL29" s="3"/>
      <c r="AM29" s="3"/>
      <c r="AN29" s="3"/>
      <c r="AO29" s="3">
        <v>442310</v>
      </c>
      <c r="AP29" s="3"/>
      <c r="AQ29" s="3">
        <v>237935</v>
      </c>
      <c r="AR29" s="3"/>
      <c r="AS29" s="3">
        <v>0</v>
      </c>
      <c r="AT29" s="3"/>
      <c r="AU29" s="3">
        <v>886427</v>
      </c>
      <c r="AV29" s="3"/>
      <c r="AW29" s="3">
        <v>0</v>
      </c>
      <c r="AX29" s="3"/>
      <c r="AY29" s="3">
        <v>256975</v>
      </c>
      <c r="AZ29" s="3"/>
      <c r="BA29" s="3">
        <f>291903+193875</f>
        <v>485778</v>
      </c>
      <c r="BB29" s="3"/>
      <c r="BC29" s="3">
        <v>0</v>
      </c>
      <c r="BD29" s="3"/>
      <c r="BE29" s="16">
        <f t="shared" si="1"/>
        <v>19040237</v>
      </c>
      <c r="BF29" s="3"/>
      <c r="BG29" s="3">
        <v>856400</v>
      </c>
      <c r="BH29" s="3"/>
      <c r="BI29" s="3">
        <v>0</v>
      </c>
      <c r="BJ29" s="3"/>
      <c r="BK29" s="3">
        <v>0</v>
      </c>
      <c r="BL29" s="3"/>
      <c r="BM29" s="3">
        <v>0</v>
      </c>
      <c r="BN29" s="3"/>
      <c r="BO29" s="16">
        <f t="shared" si="0"/>
        <v>19896637</v>
      </c>
      <c r="BP29" s="3" t="s">
        <v>242</v>
      </c>
      <c r="BR29" s="103" t="s">
        <v>160</v>
      </c>
      <c r="BT29" s="16">
        <f>GovRev!AV29-BO29</f>
        <v>7125166</v>
      </c>
      <c r="BU29" s="3"/>
      <c r="BV29" s="3">
        <v>5638141</v>
      </c>
      <c r="BW29" s="3"/>
      <c r="BX29" s="3">
        <v>-1633</v>
      </c>
      <c r="BY29" s="3"/>
      <c r="BZ29" s="16">
        <f t="shared" si="2"/>
        <v>12761674</v>
      </c>
      <c r="CA29" s="16"/>
      <c r="CB29" s="16">
        <f>-BZ29+GovBS!AE29</f>
        <v>0</v>
      </c>
    </row>
    <row r="30" spans="1:80" s="103" customFormat="1">
      <c r="A30" s="3" t="s">
        <v>244</v>
      </c>
      <c r="C30" s="103" t="s">
        <v>209</v>
      </c>
      <c r="E30" s="103">
        <v>50963</v>
      </c>
      <c r="G30" s="3">
        <v>15777</v>
      </c>
      <c r="H30" s="3"/>
      <c r="I30" s="3">
        <v>0</v>
      </c>
      <c r="J30" s="3"/>
      <c r="K30" s="3">
        <v>9952407</v>
      </c>
      <c r="L30" s="3"/>
      <c r="M30" s="3">
        <v>1244115</v>
      </c>
      <c r="N30" s="3"/>
      <c r="O30" s="3">
        <v>0</v>
      </c>
      <c r="P30" s="3"/>
      <c r="Q30" s="3">
        <v>1602978</v>
      </c>
      <c r="R30" s="3"/>
      <c r="S30" s="3">
        <v>487809</v>
      </c>
      <c r="T30" s="3"/>
      <c r="U30" s="3">
        <v>61105</v>
      </c>
      <c r="V30" s="3"/>
      <c r="W30" s="3">
        <v>1383498</v>
      </c>
      <c r="X30" s="3"/>
      <c r="Y30" s="3">
        <v>512612</v>
      </c>
      <c r="Z30" s="3"/>
      <c r="AA30" s="3">
        <v>87453</v>
      </c>
      <c r="AB30" s="3"/>
      <c r="AC30" s="3">
        <v>1544175</v>
      </c>
      <c r="AD30" s="3"/>
      <c r="AE30" s="3" t="s">
        <v>244</v>
      </c>
      <c r="AG30" s="103" t="s">
        <v>209</v>
      </c>
      <c r="AI30" s="3">
        <v>26709</v>
      </c>
      <c r="AJ30" s="3"/>
      <c r="AK30" s="3">
        <v>428754</v>
      </c>
      <c r="AL30" s="3"/>
      <c r="AM30" s="3"/>
      <c r="AN30" s="3"/>
      <c r="AO30" s="3">
        <v>0</v>
      </c>
      <c r="AP30" s="3"/>
      <c r="AQ30" s="3">
        <v>496011</v>
      </c>
      <c r="AR30" s="3"/>
      <c r="AS30" s="3">
        <v>90166</v>
      </c>
      <c r="AT30" s="3"/>
      <c r="AU30" s="3">
        <v>1156524</v>
      </c>
      <c r="AV30" s="3"/>
      <c r="AW30" s="3">
        <v>0</v>
      </c>
      <c r="AX30" s="3"/>
      <c r="AY30" s="3">
        <v>19616</v>
      </c>
      <c r="AZ30" s="3"/>
      <c r="BA30" s="3">
        <f>43344+90456</f>
        <v>133800</v>
      </c>
      <c r="BB30" s="3"/>
      <c r="BC30" s="3">
        <v>0</v>
      </c>
      <c r="BD30" s="3"/>
      <c r="BE30" s="16">
        <f t="shared" si="1"/>
        <v>19243509</v>
      </c>
      <c r="BF30" s="3"/>
      <c r="BG30" s="3">
        <v>100000</v>
      </c>
      <c r="BH30" s="3"/>
      <c r="BI30" s="3">
        <v>0</v>
      </c>
      <c r="BJ30" s="3"/>
      <c r="BK30" s="3">
        <v>0</v>
      </c>
      <c r="BL30" s="3"/>
      <c r="BM30" s="3">
        <v>0</v>
      </c>
      <c r="BN30" s="3"/>
      <c r="BO30" s="16">
        <f t="shared" si="0"/>
        <v>19343509</v>
      </c>
      <c r="BP30" s="3" t="s">
        <v>244</v>
      </c>
      <c r="BR30" s="103" t="s">
        <v>209</v>
      </c>
      <c r="BT30" s="16">
        <f>GovRev!AV30-BO30</f>
        <v>682735</v>
      </c>
      <c r="BU30" s="3"/>
      <c r="BV30" s="3">
        <v>10188664</v>
      </c>
      <c r="BW30" s="3"/>
      <c r="BX30" s="3">
        <v>0</v>
      </c>
      <c r="BY30" s="3"/>
      <c r="BZ30" s="16">
        <f t="shared" si="2"/>
        <v>10871399</v>
      </c>
      <c r="CA30" s="16"/>
      <c r="CB30" s="16">
        <f>-BZ30+GovBS!AE30</f>
        <v>0</v>
      </c>
    </row>
    <row r="31" spans="1:80" s="103" customFormat="1">
      <c r="A31" s="3" t="s">
        <v>208</v>
      </c>
      <c r="C31" s="103" t="s">
        <v>165</v>
      </c>
      <c r="E31" s="103">
        <v>62067</v>
      </c>
      <c r="G31" s="3">
        <v>80559</v>
      </c>
      <c r="H31" s="3"/>
      <c r="I31" s="3">
        <v>814970</v>
      </c>
      <c r="J31" s="3"/>
      <c r="K31" s="3">
        <v>4377641</v>
      </c>
      <c r="L31" s="3"/>
      <c r="M31" s="3">
        <v>751079</v>
      </c>
      <c r="N31" s="3"/>
      <c r="O31" s="3">
        <v>0</v>
      </c>
      <c r="P31" s="3"/>
      <c r="Q31" s="3">
        <v>414275</v>
      </c>
      <c r="R31" s="3"/>
      <c r="S31" s="3">
        <v>362960</v>
      </c>
      <c r="T31" s="3"/>
      <c r="U31" s="3">
        <v>102465</v>
      </c>
      <c r="V31" s="3"/>
      <c r="W31" s="3">
        <v>615622</v>
      </c>
      <c r="X31" s="3"/>
      <c r="Y31" s="3">
        <v>359031</v>
      </c>
      <c r="Z31" s="3"/>
      <c r="AA31" s="3">
        <v>56860</v>
      </c>
      <c r="AB31" s="3"/>
      <c r="AC31" s="3">
        <v>919535</v>
      </c>
      <c r="AD31" s="3"/>
      <c r="AE31" s="3" t="s">
        <v>208</v>
      </c>
      <c r="AG31" s="103" t="s">
        <v>165</v>
      </c>
      <c r="AI31" s="3">
        <v>15872</v>
      </c>
      <c r="AJ31" s="3"/>
      <c r="AK31" s="3">
        <v>260250</v>
      </c>
      <c r="AL31" s="3"/>
      <c r="AM31" s="3"/>
      <c r="AN31" s="3"/>
      <c r="AO31" s="3">
        <v>226655</v>
      </c>
      <c r="AP31" s="3"/>
      <c r="AQ31" s="3">
        <v>0</v>
      </c>
      <c r="AR31" s="3"/>
      <c r="AS31" s="3">
        <v>3406</v>
      </c>
      <c r="AT31" s="3"/>
      <c r="AU31" s="3">
        <v>0</v>
      </c>
      <c r="AV31" s="3"/>
      <c r="AW31" s="3">
        <v>0</v>
      </c>
      <c r="AX31" s="3"/>
      <c r="AY31" s="3">
        <v>204000</v>
      </c>
      <c r="AZ31" s="3"/>
      <c r="BA31" s="3">
        <v>52061</v>
      </c>
      <c r="BB31" s="3"/>
      <c r="BC31" s="3">
        <v>0</v>
      </c>
      <c r="BD31" s="3"/>
      <c r="BE31" s="16">
        <f t="shared" si="1"/>
        <v>9617241</v>
      </c>
      <c r="BF31" s="3"/>
      <c r="BG31" s="3">
        <v>183691</v>
      </c>
      <c r="BH31" s="3"/>
      <c r="BI31" s="3">
        <v>0</v>
      </c>
      <c r="BJ31" s="3"/>
      <c r="BK31" s="3">
        <v>0</v>
      </c>
      <c r="BL31" s="3"/>
      <c r="BM31" s="3">
        <v>0</v>
      </c>
      <c r="BN31" s="3"/>
      <c r="BO31" s="16">
        <f t="shared" si="0"/>
        <v>9800932</v>
      </c>
      <c r="BP31" s="3" t="s">
        <v>208</v>
      </c>
      <c r="BR31" s="103" t="s">
        <v>165</v>
      </c>
      <c r="BT31" s="16">
        <f>GovRev!AV31-BO31</f>
        <v>533665</v>
      </c>
      <c r="BU31" s="3"/>
      <c r="BV31" s="3">
        <v>5921524</v>
      </c>
      <c r="BW31" s="3"/>
      <c r="BX31" s="3">
        <v>0</v>
      </c>
      <c r="BY31" s="3"/>
      <c r="BZ31" s="16">
        <f t="shared" si="2"/>
        <v>6455189</v>
      </c>
      <c r="CA31" s="16"/>
      <c r="CB31" s="16">
        <f>-BZ31+GovBS!AE31</f>
        <v>0</v>
      </c>
    </row>
    <row r="32" spans="1:80" s="103" customFormat="1">
      <c r="A32" s="3" t="s">
        <v>359</v>
      </c>
      <c r="C32" s="103" t="s">
        <v>168</v>
      </c>
      <c r="E32" s="103">
        <v>51060</v>
      </c>
      <c r="G32" s="3">
        <v>7139003</v>
      </c>
      <c r="H32" s="3"/>
      <c r="I32" s="3">
        <v>0</v>
      </c>
      <c r="J32" s="3"/>
      <c r="K32" s="3">
        <v>21653098</v>
      </c>
      <c r="L32" s="3"/>
      <c r="M32" s="3">
        <v>5989437</v>
      </c>
      <c r="N32" s="3"/>
      <c r="O32" s="3">
        <v>0</v>
      </c>
      <c r="P32" s="3"/>
      <c r="Q32" s="3">
        <v>5114187</v>
      </c>
      <c r="R32" s="3"/>
      <c r="S32" s="3">
        <v>2503227</v>
      </c>
      <c r="T32" s="3"/>
      <c r="U32" s="3">
        <v>382246</v>
      </c>
      <c r="V32" s="3"/>
      <c r="W32" s="3">
        <v>3651998</v>
      </c>
      <c r="X32" s="3"/>
      <c r="Y32" s="3">
        <v>1750316</v>
      </c>
      <c r="Z32" s="3"/>
      <c r="AA32" s="3">
        <v>650807</v>
      </c>
      <c r="AB32" s="3"/>
      <c r="AC32" s="3">
        <v>6162046</v>
      </c>
      <c r="AD32" s="3"/>
      <c r="AE32" s="3" t="s">
        <v>359</v>
      </c>
      <c r="AG32" s="103" t="s">
        <v>168</v>
      </c>
      <c r="AI32" s="3">
        <v>654561</v>
      </c>
      <c r="AJ32" s="3"/>
      <c r="AK32" s="3">
        <v>4740970</v>
      </c>
      <c r="AL32" s="3"/>
      <c r="AM32" s="3"/>
      <c r="AN32" s="3"/>
      <c r="AO32" s="3">
        <v>0</v>
      </c>
      <c r="AP32" s="3"/>
      <c r="AQ32" s="3">
        <f>1586704+70730</f>
        <v>1657434</v>
      </c>
      <c r="AR32" s="3"/>
      <c r="AS32" s="3">
        <v>6831</v>
      </c>
      <c r="AT32" s="3"/>
      <c r="AU32" s="3">
        <v>3606305</v>
      </c>
      <c r="AV32" s="3"/>
      <c r="AW32" s="3">
        <v>0</v>
      </c>
      <c r="AX32" s="3"/>
      <c r="AY32" s="3">
        <v>1325000</v>
      </c>
      <c r="AZ32" s="3"/>
      <c r="BA32" s="3">
        <v>468788</v>
      </c>
      <c r="BB32" s="3"/>
      <c r="BC32" s="3">
        <v>0</v>
      </c>
      <c r="BD32" s="3"/>
      <c r="BE32" s="16">
        <f>SUM(G32:BC32)</f>
        <v>67456254</v>
      </c>
      <c r="BF32" s="3"/>
      <c r="BG32" s="3">
        <v>7688873</v>
      </c>
      <c r="BH32" s="3"/>
      <c r="BI32" s="3">
        <v>0</v>
      </c>
      <c r="BJ32" s="3"/>
      <c r="BK32" s="3">
        <v>0</v>
      </c>
      <c r="BL32" s="3"/>
      <c r="BM32" s="3">
        <v>0</v>
      </c>
      <c r="BN32" s="3"/>
      <c r="BO32" s="16">
        <f t="shared" si="0"/>
        <v>75145127</v>
      </c>
      <c r="BP32" s="3" t="s">
        <v>359</v>
      </c>
      <c r="BR32" s="103" t="s">
        <v>168</v>
      </c>
      <c r="BT32" s="16">
        <f>GovRev!AV32-BO32</f>
        <v>-733551</v>
      </c>
      <c r="BU32" s="3"/>
      <c r="BV32" s="3">
        <v>40017390</v>
      </c>
      <c r="BW32" s="3"/>
      <c r="BX32" s="3">
        <v>0</v>
      </c>
      <c r="BY32" s="3"/>
      <c r="BZ32" s="16">
        <f t="shared" si="2"/>
        <v>39283839</v>
      </c>
      <c r="CA32" s="16"/>
      <c r="CB32" s="16">
        <f>-BZ32+GovBS!AE32</f>
        <v>0</v>
      </c>
    </row>
    <row r="33" spans="1:80" s="103" customFormat="1">
      <c r="A33" s="3" t="s">
        <v>315</v>
      </c>
      <c r="C33" s="103" t="s">
        <v>167</v>
      </c>
      <c r="E33" s="103">
        <v>51045</v>
      </c>
      <c r="G33" s="3">
        <v>1027546</v>
      </c>
      <c r="H33" s="3"/>
      <c r="I33" s="3">
        <v>0</v>
      </c>
      <c r="J33" s="3"/>
      <c r="K33" s="3">
        <v>7073912</v>
      </c>
      <c r="L33" s="3"/>
      <c r="M33" s="3">
        <v>767736</v>
      </c>
      <c r="N33" s="3"/>
      <c r="O33" s="3">
        <v>0</v>
      </c>
      <c r="P33" s="3"/>
      <c r="Q33" s="3">
        <v>983079</v>
      </c>
      <c r="R33" s="3"/>
      <c r="S33" s="3">
        <v>1889850</v>
      </c>
      <c r="T33" s="3"/>
      <c r="U33" s="3">
        <v>570313</v>
      </c>
      <c r="V33" s="3"/>
      <c r="W33" s="3">
        <v>984184</v>
      </c>
      <c r="X33" s="3"/>
      <c r="Y33" s="3">
        <v>467094</v>
      </c>
      <c r="Z33" s="3"/>
      <c r="AA33" s="3">
        <v>0</v>
      </c>
      <c r="AB33" s="3"/>
      <c r="AC33" s="3">
        <v>1271781</v>
      </c>
      <c r="AD33" s="3"/>
      <c r="AE33" s="3" t="s">
        <v>315</v>
      </c>
      <c r="AG33" s="103" t="s">
        <v>167</v>
      </c>
      <c r="AI33" s="3">
        <v>0</v>
      </c>
      <c r="AJ33" s="3"/>
      <c r="AK33" s="3">
        <v>250737</v>
      </c>
      <c r="AL33" s="3"/>
      <c r="AM33" s="3"/>
      <c r="AN33" s="3"/>
      <c r="AO33" s="3">
        <v>0</v>
      </c>
      <c r="AP33" s="3"/>
      <c r="AQ33" s="3">
        <v>283494</v>
      </c>
      <c r="AR33" s="3"/>
      <c r="AS33" s="3">
        <v>63794</v>
      </c>
      <c r="AT33" s="3"/>
      <c r="AU33" s="3">
        <v>408344</v>
      </c>
      <c r="AV33" s="3"/>
      <c r="AW33" s="3">
        <v>0</v>
      </c>
      <c r="AX33" s="3"/>
      <c r="AY33" s="3">
        <v>33333</v>
      </c>
      <c r="AZ33" s="3"/>
      <c r="BA33" s="3">
        <v>0</v>
      </c>
      <c r="BB33" s="3"/>
      <c r="BC33" s="3">
        <v>0</v>
      </c>
      <c r="BD33" s="3"/>
      <c r="BE33" s="16">
        <f t="shared" si="1"/>
        <v>16075197</v>
      </c>
      <c r="BF33" s="3"/>
      <c r="BG33" s="3">
        <v>255506</v>
      </c>
      <c r="BH33" s="3"/>
      <c r="BI33" s="3">
        <v>0</v>
      </c>
      <c r="BJ33" s="3"/>
      <c r="BK33" s="3">
        <v>0</v>
      </c>
      <c r="BL33" s="3"/>
      <c r="BM33" s="3">
        <v>0</v>
      </c>
      <c r="BN33" s="3"/>
      <c r="BO33" s="16">
        <f t="shared" si="0"/>
        <v>16330703</v>
      </c>
      <c r="BP33" s="3" t="s">
        <v>315</v>
      </c>
      <c r="BR33" s="103" t="s">
        <v>167</v>
      </c>
      <c r="BT33" s="16">
        <f>GovRev!AV33-BO33</f>
        <v>664878</v>
      </c>
      <c r="BU33" s="3"/>
      <c r="BV33" s="3">
        <v>6057893</v>
      </c>
      <c r="BW33" s="3"/>
      <c r="BX33" s="3">
        <v>0</v>
      </c>
      <c r="BY33" s="3"/>
      <c r="BZ33" s="16">
        <f t="shared" si="2"/>
        <v>6722771</v>
      </c>
      <c r="CA33" s="16"/>
      <c r="CB33" s="16">
        <f>-BZ33+GovBS!AE33</f>
        <v>0</v>
      </c>
    </row>
    <row r="34" spans="1:80" s="103" customFormat="1">
      <c r="A34" s="3" t="s">
        <v>210</v>
      </c>
      <c r="C34" s="103" t="s">
        <v>170</v>
      </c>
      <c r="E34" s="103">
        <v>51128</v>
      </c>
      <c r="G34" s="3">
        <v>203057</v>
      </c>
      <c r="H34" s="3"/>
      <c r="I34" s="3">
        <v>252573</v>
      </c>
      <c r="J34" s="3"/>
      <c r="K34" s="3">
        <v>2340131</v>
      </c>
      <c r="L34" s="3"/>
      <c r="M34" s="3">
        <v>8767</v>
      </c>
      <c r="N34" s="3"/>
      <c r="O34" s="3">
        <v>0</v>
      </c>
      <c r="P34" s="3"/>
      <c r="Q34" s="3">
        <v>223647</v>
      </c>
      <c r="R34" s="3"/>
      <c r="S34" s="3">
        <v>326229</v>
      </c>
      <c r="T34" s="3"/>
      <c r="U34" s="3">
        <v>54969</v>
      </c>
      <c r="V34" s="3"/>
      <c r="W34" s="3">
        <v>248135</v>
      </c>
      <c r="X34" s="3"/>
      <c r="Y34" s="3">
        <v>244405</v>
      </c>
      <c r="Z34" s="3"/>
      <c r="AA34" s="3">
        <v>0</v>
      </c>
      <c r="AB34" s="3"/>
      <c r="AC34" s="3">
        <v>696333</v>
      </c>
      <c r="AD34" s="3"/>
      <c r="AE34" s="3" t="s">
        <v>210</v>
      </c>
      <c r="AG34" s="103" t="s">
        <v>170</v>
      </c>
      <c r="AI34" s="3">
        <v>0</v>
      </c>
      <c r="AJ34" s="3"/>
      <c r="AK34" s="3">
        <v>24965</v>
      </c>
      <c r="AL34" s="3"/>
      <c r="AM34" s="3"/>
      <c r="AN34" s="3"/>
      <c r="AO34" s="3">
        <v>187192</v>
      </c>
      <c r="AP34" s="3"/>
      <c r="AQ34" s="3">
        <v>0</v>
      </c>
      <c r="AR34" s="3"/>
      <c r="AS34" s="3">
        <v>0</v>
      </c>
      <c r="AT34" s="3"/>
      <c r="AU34" s="3">
        <v>0</v>
      </c>
      <c r="AV34" s="3"/>
      <c r="AW34" s="3">
        <v>0</v>
      </c>
      <c r="AX34" s="3"/>
      <c r="AY34" s="3">
        <v>63626</v>
      </c>
      <c r="AZ34" s="3"/>
      <c r="BA34" s="3">
        <v>19792</v>
      </c>
      <c r="BB34" s="3"/>
      <c r="BC34" s="3">
        <v>0</v>
      </c>
      <c r="BD34" s="3"/>
      <c r="BE34" s="16">
        <f t="shared" si="1"/>
        <v>4893821</v>
      </c>
      <c r="BF34" s="3"/>
      <c r="BG34" s="3">
        <v>87957</v>
      </c>
      <c r="BH34" s="3"/>
      <c r="BI34" s="3">
        <v>0</v>
      </c>
      <c r="BJ34" s="3"/>
      <c r="BK34" s="3">
        <v>0</v>
      </c>
      <c r="BL34" s="3"/>
      <c r="BM34" s="3">
        <v>0</v>
      </c>
      <c r="BN34" s="3"/>
      <c r="BO34" s="16">
        <f t="shared" si="0"/>
        <v>4981778</v>
      </c>
      <c r="BP34" s="3" t="s">
        <v>210</v>
      </c>
      <c r="BR34" s="103" t="s">
        <v>170</v>
      </c>
      <c r="BT34" s="16">
        <f>GovRev!AV34-BO34</f>
        <v>112951</v>
      </c>
      <c r="BU34" s="3"/>
      <c r="BV34" s="3">
        <v>559204</v>
      </c>
      <c r="BW34" s="3"/>
      <c r="BX34" s="3">
        <v>0</v>
      </c>
      <c r="BY34" s="3"/>
      <c r="BZ34" s="16">
        <f t="shared" si="2"/>
        <v>672155</v>
      </c>
      <c r="CA34" s="16"/>
      <c r="CB34" s="16">
        <f>-BZ34+GovBS!AE34</f>
        <v>0</v>
      </c>
    </row>
    <row r="35" spans="1:80" s="103" customFormat="1">
      <c r="A35" s="3" t="s">
        <v>245</v>
      </c>
      <c r="C35" s="103" t="s">
        <v>171</v>
      </c>
      <c r="E35" s="103">
        <v>51144</v>
      </c>
      <c r="G35" s="3">
        <v>192641</v>
      </c>
      <c r="H35" s="3"/>
      <c r="I35" s="3">
        <v>405597</v>
      </c>
      <c r="J35" s="3"/>
      <c r="K35" s="3">
        <v>5119661</v>
      </c>
      <c r="L35" s="3"/>
      <c r="M35" s="3">
        <v>1608595</v>
      </c>
      <c r="N35" s="3"/>
      <c r="O35" s="3">
        <v>0</v>
      </c>
      <c r="P35" s="3"/>
      <c r="Q35" s="3">
        <v>622570</v>
      </c>
      <c r="R35" s="3"/>
      <c r="S35" s="3">
        <v>878628</v>
      </c>
      <c r="T35" s="3"/>
      <c r="U35" s="3">
        <v>16872</v>
      </c>
      <c r="V35" s="3"/>
      <c r="W35" s="3">
        <v>1062011</v>
      </c>
      <c r="X35" s="3"/>
      <c r="Y35" s="3">
        <v>449606</v>
      </c>
      <c r="Z35" s="3"/>
      <c r="AA35" s="3">
        <v>53453</v>
      </c>
      <c r="AB35" s="3"/>
      <c r="AC35" s="3">
        <v>1490413</v>
      </c>
      <c r="AD35" s="3"/>
      <c r="AE35" s="3" t="s">
        <v>245</v>
      </c>
      <c r="AG35" s="103" t="s">
        <v>171</v>
      </c>
      <c r="AI35" s="3">
        <v>0</v>
      </c>
      <c r="AJ35" s="3"/>
      <c r="AK35" s="3">
        <v>123969</v>
      </c>
      <c r="AL35" s="3"/>
      <c r="AM35" s="3"/>
      <c r="AN35" s="3"/>
      <c r="AO35" s="3">
        <v>0</v>
      </c>
      <c r="AP35" s="3"/>
      <c r="AQ35" s="3">
        <v>209783</v>
      </c>
      <c r="AR35" s="3"/>
      <c r="AS35" s="3">
        <v>42310</v>
      </c>
      <c r="AT35" s="3"/>
      <c r="AU35" s="3">
        <v>96966</v>
      </c>
      <c r="AV35" s="3"/>
      <c r="AW35" s="3">
        <v>0</v>
      </c>
      <c r="AX35" s="3"/>
      <c r="AY35" s="3">
        <v>234429</v>
      </c>
      <c r="AZ35" s="3"/>
      <c r="BA35" s="3">
        <v>195141</v>
      </c>
      <c r="BB35" s="3"/>
      <c r="BC35" s="3">
        <v>0</v>
      </c>
      <c r="BD35" s="3"/>
      <c r="BE35" s="16">
        <v>12802645</v>
      </c>
      <c r="BF35" s="3"/>
      <c r="BG35" s="3">
        <v>0</v>
      </c>
      <c r="BH35" s="3"/>
      <c r="BI35" s="3">
        <v>0</v>
      </c>
      <c r="BJ35" s="3"/>
      <c r="BK35" s="3">
        <v>0</v>
      </c>
      <c r="BL35" s="3"/>
      <c r="BM35" s="3">
        <v>0</v>
      </c>
      <c r="BN35" s="3"/>
      <c r="BO35" s="16">
        <v>12802645</v>
      </c>
      <c r="BP35" s="3" t="s">
        <v>245</v>
      </c>
      <c r="BR35" s="103" t="s">
        <v>171</v>
      </c>
      <c r="BT35" s="16">
        <v>-918577</v>
      </c>
      <c r="BU35" s="3"/>
      <c r="BV35" s="3">
        <v>12399181</v>
      </c>
      <c r="BW35" s="3"/>
      <c r="BX35" s="3">
        <v>0</v>
      </c>
      <c r="BY35" s="3"/>
      <c r="BZ35" s="16">
        <v>11480604</v>
      </c>
      <c r="CA35" s="16"/>
      <c r="CB35" s="16">
        <v>0</v>
      </c>
    </row>
    <row r="36" spans="1:80" s="103" customFormat="1">
      <c r="A36" s="3" t="s">
        <v>211</v>
      </c>
      <c r="C36" s="103" t="s">
        <v>172</v>
      </c>
      <c r="E36" s="103">
        <v>51185</v>
      </c>
      <c r="G36" s="3">
        <v>157863</v>
      </c>
      <c r="H36" s="3"/>
      <c r="I36" s="3">
        <v>0</v>
      </c>
      <c r="J36" s="3"/>
      <c r="K36" s="3">
        <v>5330517</v>
      </c>
      <c r="L36" s="3"/>
      <c r="M36" s="3">
        <v>2228734</v>
      </c>
      <c r="N36" s="3"/>
      <c r="O36" s="3">
        <v>0</v>
      </c>
      <c r="P36" s="3"/>
      <c r="Q36" s="3">
        <v>358021</v>
      </c>
      <c r="R36" s="3"/>
      <c r="S36" s="3">
        <v>107523</v>
      </c>
      <c r="T36" s="3"/>
      <c r="U36" s="3">
        <v>62481</v>
      </c>
      <c r="V36" s="3"/>
      <c r="W36" s="3">
        <v>997430</v>
      </c>
      <c r="X36" s="3"/>
      <c r="Y36" s="3">
        <v>803450</v>
      </c>
      <c r="Z36" s="3"/>
      <c r="AA36" s="3">
        <v>0</v>
      </c>
      <c r="AB36" s="3"/>
      <c r="AC36" s="3">
        <v>713267</v>
      </c>
      <c r="AD36" s="3"/>
      <c r="AE36" s="3" t="s">
        <v>211</v>
      </c>
      <c r="AG36" s="103" t="s">
        <v>172</v>
      </c>
      <c r="AH36" s="3"/>
      <c r="AI36" s="3">
        <v>0</v>
      </c>
      <c r="AJ36" s="3"/>
      <c r="AK36" s="3">
        <v>241096</v>
      </c>
      <c r="AL36" s="3"/>
      <c r="AM36" s="3"/>
      <c r="AN36" s="3"/>
      <c r="AO36" s="3">
        <v>228628</v>
      </c>
      <c r="AP36" s="3"/>
      <c r="AQ36" s="3">
        <v>1350914</v>
      </c>
      <c r="AR36" s="3"/>
      <c r="AS36" s="3">
        <v>38541</v>
      </c>
      <c r="AT36" s="3"/>
      <c r="AU36" s="3">
        <v>18033194</v>
      </c>
      <c r="AV36" s="3"/>
      <c r="AW36" s="3">
        <v>0</v>
      </c>
      <c r="AX36" s="3"/>
      <c r="AY36" s="3">
        <v>405000</v>
      </c>
      <c r="AZ36" s="3"/>
      <c r="BA36" s="3">
        <v>473524</v>
      </c>
      <c r="BB36" s="3"/>
      <c r="BC36" s="3">
        <v>0</v>
      </c>
      <c r="BD36" s="3"/>
      <c r="BE36" s="16">
        <f t="shared" si="1"/>
        <v>31530183</v>
      </c>
      <c r="BF36" s="3"/>
      <c r="BG36" s="3">
        <v>1375612</v>
      </c>
      <c r="BH36" s="3"/>
      <c r="BI36" s="3">
        <v>0</v>
      </c>
      <c r="BJ36" s="3"/>
      <c r="BK36" s="3">
        <v>0</v>
      </c>
      <c r="BL36" s="3"/>
      <c r="BM36" s="3">
        <v>0</v>
      </c>
      <c r="BN36" s="3"/>
      <c r="BO36" s="16">
        <f t="shared" ref="BO36:BO65" si="3">+BE36+BG36+BI36+BM36+BK36</f>
        <v>32905795</v>
      </c>
      <c r="BP36" s="3" t="s">
        <v>211</v>
      </c>
      <c r="BR36" s="103" t="s">
        <v>172</v>
      </c>
      <c r="BT36" s="16">
        <f>GovRev!AV36-BO36</f>
        <v>-4069042</v>
      </c>
      <c r="BU36" s="3"/>
      <c r="BV36" s="3">
        <v>9818019</v>
      </c>
      <c r="BW36" s="3"/>
      <c r="BX36" s="3">
        <v>0</v>
      </c>
      <c r="BY36" s="3"/>
      <c r="BZ36" s="16">
        <f t="shared" si="2"/>
        <v>5748977</v>
      </c>
      <c r="CA36" s="16"/>
      <c r="CB36" s="16">
        <f>-BZ36+GovBS!AE36</f>
        <v>0</v>
      </c>
    </row>
    <row r="37" spans="1:80" s="89" customFormat="1" hidden="1">
      <c r="A37" s="88" t="s">
        <v>284</v>
      </c>
      <c r="C37" s="89" t="s">
        <v>173</v>
      </c>
      <c r="E37" s="89">
        <v>47977</v>
      </c>
      <c r="G37" s="88">
        <v>0</v>
      </c>
      <c r="H37" s="88"/>
      <c r="I37" s="88">
        <v>0</v>
      </c>
      <c r="J37" s="88"/>
      <c r="K37" s="88">
        <v>0</v>
      </c>
      <c r="L37" s="88"/>
      <c r="M37" s="88">
        <v>0</v>
      </c>
      <c r="N37" s="88"/>
      <c r="O37" s="88">
        <v>0</v>
      </c>
      <c r="P37" s="88"/>
      <c r="Q37" s="88">
        <v>0</v>
      </c>
      <c r="R37" s="88"/>
      <c r="S37" s="88">
        <v>0</v>
      </c>
      <c r="T37" s="88"/>
      <c r="U37" s="88">
        <v>0</v>
      </c>
      <c r="V37" s="88"/>
      <c r="W37" s="88">
        <v>0</v>
      </c>
      <c r="X37" s="88"/>
      <c r="Y37" s="88">
        <v>0</v>
      </c>
      <c r="Z37" s="88"/>
      <c r="AA37" s="88">
        <v>0</v>
      </c>
      <c r="AB37" s="88"/>
      <c r="AC37" s="88">
        <v>0</v>
      </c>
      <c r="AD37" s="88"/>
      <c r="AE37" s="88" t="s">
        <v>284</v>
      </c>
      <c r="AG37" s="89" t="s">
        <v>173</v>
      </c>
      <c r="AH37" s="88"/>
      <c r="AI37" s="88">
        <v>0</v>
      </c>
      <c r="AJ37" s="88"/>
      <c r="AK37" s="88">
        <v>0</v>
      </c>
      <c r="AL37" s="88"/>
      <c r="AM37" s="88"/>
      <c r="AN37" s="88"/>
      <c r="AO37" s="88">
        <v>0</v>
      </c>
      <c r="AP37" s="88"/>
      <c r="AQ37" s="88">
        <v>0</v>
      </c>
      <c r="AR37" s="88"/>
      <c r="AS37" s="88">
        <v>0</v>
      </c>
      <c r="AT37" s="88"/>
      <c r="AU37" s="88">
        <v>0</v>
      </c>
      <c r="AV37" s="88"/>
      <c r="AW37" s="88">
        <v>0</v>
      </c>
      <c r="AX37" s="88"/>
      <c r="AY37" s="88">
        <v>0</v>
      </c>
      <c r="AZ37" s="88"/>
      <c r="BA37" s="88">
        <v>0</v>
      </c>
      <c r="BB37" s="88"/>
      <c r="BC37" s="88"/>
      <c r="BD37" s="88"/>
      <c r="BE37" s="90">
        <f t="shared" si="1"/>
        <v>0</v>
      </c>
      <c r="BF37" s="88"/>
      <c r="BG37" s="88">
        <v>0</v>
      </c>
      <c r="BH37" s="88"/>
      <c r="BI37" s="88"/>
      <c r="BJ37" s="88"/>
      <c r="BK37" s="88"/>
      <c r="BL37" s="88"/>
      <c r="BM37" s="88">
        <v>0</v>
      </c>
      <c r="BN37" s="88"/>
      <c r="BO37" s="90">
        <f t="shared" si="3"/>
        <v>0</v>
      </c>
      <c r="BP37" s="88" t="s">
        <v>284</v>
      </c>
      <c r="BR37" s="89" t="s">
        <v>173</v>
      </c>
      <c r="BT37" s="90">
        <f>GovRev!AV37-BO37</f>
        <v>0</v>
      </c>
      <c r="BU37" s="88"/>
      <c r="BV37" s="88">
        <v>0</v>
      </c>
      <c r="BW37" s="88"/>
      <c r="BX37" s="88">
        <v>0</v>
      </c>
      <c r="BY37" s="88"/>
      <c r="BZ37" s="90">
        <f t="shared" si="2"/>
        <v>0</v>
      </c>
      <c r="CA37" s="90"/>
      <c r="CB37" s="90">
        <f>-BZ37+GovBS!AE37</f>
        <v>0</v>
      </c>
    </row>
    <row r="38" spans="1:80" s="103" customFormat="1">
      <c r="A38" s="3" t="s">
        <v>213</v>
      </c>
      <c r="C38" s="103" t="s">
        <v>142</v>
      </c>
      <c r="E38" s="103">
        <v>51227</v>
      </c>
      <c r="G38" s="3">
        <v>2276910</v>
      </c>
      <c r="H38" s="3"/>
      <c r="I38" s="3">
        <v>11920</v>
      </c>
      <c r="J38" s="3"/>
      <c r="K38" s="3">
        <v>8758612</v>
      </c>
      <c r="L38" s="3"/>
      <c r="M38" s="3">
        <v>1776268</v>
      </c>
      <c r="N38" s="3"/>
      <c r="O38" s="3">
        <v>0</v>
      </c>
      <c r="P38" s="3"/>
      <c r="Q38" s="3">
        <v>1716473</v>
      </c>
      <c r="R38" s="3"/>
      <c r="S38" s="3">
        <v>1429794</v>
      </c>
      <c r="T38" s="3"/>
      <c r="U38" s="3">
        <v>30433</v>
      </c>
      <c r="V38" s="3"/>
      <c r="W38" s="3">
        <v>1864330</v>
      </c>
      <c r="X38" s="3"/>
      <c r="Y38" s="3">
        <v>937459</v>
      </c>
      <c r="Z38" s="3"/>
      <c r="AA38" s="3">
        <v>195344</v>
      </c>
      <c r="AB38" s="3"/>
      <c r="AC38" s="3">
        <v>2536584</v>
      </c>
      <c r="AD38" s="3"/>
      <c r="AE38" s="3" t="s">
        <v>213</v>
      </c>
      <c r="AG38" s="103" t="s">
        <v>142</v>
      </c>
      <c r="AI38" s="3">
        <v>44023</v>
      </c>
      <c r="AJ38" s="3"/>
      <c r="AK38" s="3">
        <v>709892</v>
      </c>
      <c r="AL38" s="3"/>
      <c r="AM38" s="3"/>
      <c r="AN38" s="3"/>
      <c r="AO38" s="3">
        <v>515901</v>
      </c>
      <c r="AP38" s="3"/>
      <c r="AQ38" s="3">
        <v>435801</v>
      </c>
      <c r="AR38" s="3"/>
      <c r="AS38" s="3">
        <v>224778</v>
      </c>
      <c r="AT38" s="3"/>
      <c r="AU38" s="3">
        <v>3305682</v>
      </c>
      <c r="AV38" s="3"/>
      <c r="AW38" s="3">
        <v>0</v>
      </c>
      <c r="AX38" s="3"/>
      <c r="AY38" s="3">
        <v>246685</v>
      </c>
      <c r="AZ38" s="3"/>
      <c r="BA38" s="3">
        <v>27481</v>
      </c>
      <c r="BB38" s="3"/>
      <c r="BC38" s="3">
        <v>0</v>
      </c>
      <c r="BD38" s="3"/>
      <c r="BE38" s="16">
        <f t="shared" si="1"/>
        <v>27044370</v>
      </c>
      <c r="BF38" s="3"/>
      <c r="BG38" s="3">
        <v>531480</v>
      </c>
      <c r="BH38" s="3"/>
      <c r="BI38" s="3">
        <v>0</v>
      </c>
      <c r="BJ38" s="3"/>
      <c r="BK38" s="3">
        <v>0</v>
      </c>
      <c r="BL38" s="3"/>
      <c r="BM38" s="3">
        <v>0</v>
      </c>
      <c r="BN38" s="3"/>
      <c r="BO38" s="16">
        <f t="shared" si="3"/>
        <v>27575850</v>
      </c>
      <c r="BP38" s="3" t="s">
        <v>213</v>
      </c>
      <c r="BR38" s="103" t="s">
        <v>142</v>
      </c>
      <c r="BT38" s="16">
        <f>GovRev!AV38-BO38</f>
        <v>342425</v>
      </c>
      <c r="BU38" s="3"/>
      <c r="BV38" s="3">
        <v>7842121</v>
      </c>
      <c r="BW38" s="3"/>
      <c r="BX38" s="3">
        <v>0</v>
      </c>
      <c r="BY38" s="3"/>
      <c r="BZ38" s="16">
        <f t="shared" si="2"/>
        <v>8184546</v>
      </c>
      <c r="CA38" s="16"/>
      <c r="CB38" s="16">
        <f>-BZ38+GovBS!AE38</f>
        <v>0</v>
      </c>
    </row>
    <row r="39" spans="1:80" s="103" customFormat="1">
      <c r="A39" s="3" t="s">
        <v>360</v>
      </c>
      <c r="C39" s="103" t="s">
        <v>176</v>
      </c>
      <c r="E39" s="103">
        <v>51243</v>
      </c>
      <c r="G39" s="3">
        <v>1341578</v>
      </c>
      <c r="H39" s="3"/>
      <c r="I39" s="3">
        <v>0</v>
      </c>
      <c r="J39" s="3"/>
      <c r="K39" s="3">
        <v>3782276</v>
      </c>
      <c r="L39" s="3"/>
      <c r="M39" s="3">
        <v>999162</v>
      </c>
      <c r="N39" s="3"/>
      <c r="O39" s="3">
        <v>0</v>
      </c>
      <c r="P39" s="3"/>
      <c r="Q39" s="3">
        <v>1026401</v>
      </c>
      <c r="R39" s="3"/>
      <c r="S39" s="3">
        <v>1482932</v>
      </c>
      <c r="T39" s="3"/>
      <c r="U39" s="3">
        <v>43001</v>
      </c>
      <c r="V39" s="3"/>
      <c r="W39" s="3">
        <v>807954</v>
      </c>
      <c r="X39" s="3"/>
      <c r="Y39" s="3">
        <v>412040</v>
      </c>
      <c r="Z39" s="3"/>
      <c r="AA39" s="3">
        <v>351</v>
      </c>
      <c r="AB39" s="3"/>
      <c r="AC39" s="3">
        <v>1250448</v>
      </c>
      <c r="AD39" s="3"/>
      <c r="AE39" s="3" t="s">
        <v>360</v>
      </c>
      <c r="AG39" s="103" t="s">
        <v>176</v>
      </c>
      <c r="AI39" s="3">
        <v>39928</v>
      </c>
      <c r="AJ39" s="3"/>
      <c r="AK39" s="3">
        <v>131444</v>
      </c>
      <c r="AL39" s="3"/>
      <c r="AM39" s="3"/>
      <c r="AN39" s="3"/>
      <c r="AO39" s="3">
        <v>302411</v>
      </c>
      <c r="AP39" s="3"/>
      <c r="AQ39" s="3">
        <f>876+92160</f>
        <v>93036</v>
      </c>
      <c r="AR39" s="3"/>
      <c r="AS39" s="3">
        <v>70918</v>
      </c>
      <c r="AT39" s="3"/>
      <c r="AU39" s="3">
        <v>44533</v>
      </c>
      <c r="AV39" s="3"/>
      <c r="AW39" s="3">
        <v>0</v>
      </c>
      <c r="AX39" s="3"/>
      <c r="AY39" s="3">
        <v>365000</v>
      </c>
      <c r="AZ39" s="3"/>
      <c r="BA39" s="3">
        <v>634938</v>
      </c>
      <c r="BB39" s="3"/>
      <c r="BC39" s="3">
        <v>0</v>
      </c>
      <c r="BD39" s="3"/>
      <c r="BE39" s="16">
        <f t="shared" si="1"/>
        <v>12828351</v>
      </c>
      <c r="BF39" s="3"/>
      <c r="BG39" s="3">
        <v>69541</v>
      </c>
      <c r="BH39" s="3"/>
      <c r="BI39" s="3">
        <v>0</v>
      </c>
      <c r="BJ39" s="3"/>
      <c r="BK39" s="3">
        <v>0</v>
      </c>
      <c r="BL39" s="3"/>
      <c r="BM39" s="3">
        <v>0</v>
      </c>
      <c r="BN39" s="3"/>
      <c r="BO39" s="16">
        <f t="shared" si="3"/>
        <v>12897892</v>
      </c>
      <c r="BP39" s="3" t="s">
        <v>360</v>
      </c>
      <c r="BR39" s="103" t="s">
        <v>176</v>
      </c>
      <c r="BT39" s="16">
        <f>GovRev!AV39-BO39</f>
        <v>184781</v>
      </c>
      <c r="BU39" s="3"/>
      <c r="BV39" s="3">
        <v>21423038</v>
      </c>
      <c r="BW39" s="3"/>
      <c r="BX39" s="3">
        <v>0</v>
      </c>
      <c r="BY39" s="3"/>
      <c r="BZ39" s="16">
        <f t="shared" si="2"/>
        <v>21607819</v>
      </c>
      <c r="CA39" s="16"/>
      <c r="CB39" s="16">
        <f>-BZ39+GovBS!AE39</f>
        <v>0</v>
      </c>
    </row>
    <row r="40" spans="1:80" s="103" customFormat="1">
      <c r="A40" s="3" t="s">
        <v>246</v>
      </c>
      <c r="C40" s="103" t="s">
        <v>186</v>
      </c>
      <c r="E40" s="103">
        <v>51391</v>
      </c>
      <c r="G40" s="3">
        <v>1073044</v>
      </c>
      <c r="H40" s="3"/>
      <c r="I40" s="3">
        <v>0</v>
      </c>
      <c r="J40" s="3"/>
      <c r="K40" s="3">
        <v>4247217</v>
      </c>
      <c r="L40" s="3"/>
      <c r="M40" s="3">
        <v>187020</v>
      </c>
      <c r="N40" s="3"/>
      <c r="O40" s="3">
        <v>0</v>
      </c>
      <c r="P40" s="3"/>
      <c r="Q40" s="3">
        <v>1056786</v>
      </c>
      <c r="R40" s="3"/>
      <c r="S40" s="3">
        <v>502517</v>
      </c>
      <c r="T40" s="3"/>
      <c r="U40" s="3">
        <v>92882</v>
      </c>
      <c r="V40" s="3"/>
      <c r="W40" s="3">
        <v>842385</v>
      </c>
      <c r="X40" s="3"/>
      <c r="Y40" s="3">
        <v>527768</v>
      </c>
      <c r="Z40" s="3"/>
      <c r="AA40" s="3">
        <v>252429</v>
      </c>
      <c r="AB40" s="3"/>
      <c r="AC40" s="3">
        <v>1221383</v>
      </c>
      <c r="AD40" s="3"/>
      <c r="AE40" s="3" t="s">
        <v>246</v>
      </c>
      <c r="AG40" s="103" t="s">
        <v>186</v>
      </c>
      <c r="AI40" s="3">
        <v>6553</v>
      </c>
      <c r="AJ40" s="3"/>
      <c r="AK40" s="3">
        <v>413524</v>
      </c>
      <c r="AL40" s="3"/>
      <c r="AM40" s="3"/>
      <c r="AN40" s="3"/>
      <c r="AO40" s="3">
        <v>277092</v>
      </c>
      <c r="AP40" s="3"/>
      <c r="AQ40" s="3">
        <v>25108</v>
      </c>
      <c r="AR40" s="3"/>
      <c r="AS40" s="3">
        <v>19932</v>
      </c>
      <c r="AT40" s="3"/>
      <c r="AU40" s="3">
        <v>641745</v>
      </c>
      <c r="AV40" s="3"/>
      <c r="AW40" s="3">
        <v>0</v>
      </c>
      <c r="AX40" s="3"/>
      <c r="AY40" s="3">
        <v>0</v>
      </c>
      <c r="AZ40" s="3"/>
      <c r="BA40" s="3">
        <v>0</v>
      </c>
      <c r="BB40" s="3"/>
      <c r="BC40" s="3">
        <v>0</v>
      </c>
      <c r="BD40" s="3"/>
      <c r="BE40" s="16">
        <f t="shared" si="1"/>
        <v>11387385</v>
      </c>
      <c r="BF40" s="3"/>
      <c r="BG40" s="3">
        <v>0</v>
      </c>
      <c r="BH40" s="3"/>
      <c r="BI40" s="3">
        <v>0</v>
      </c>
      <c r="BJ40" s="3"/>
      <c r="BK40" s="3">
        <v>0</v>
      </c>
      <c r="BL40" s="3"/>
      <c r="BM40" s="3">
        <v>0</v>
      </c>
      <c r="BN40" s="3"/>
      <c r="BO40" s="16">
        <f t="shared" si="3"/>
        <v>11387385</v>
      </c>
      <c r="BP40" s="3" t="s">
        <v>246</v>
      </c>
      <c r="BR40" s="103" t="s">
        <v>186</v>
      </c>
      <c r="BT40" s="16">
        <f>GovRev!AV40-BO40</f>
        <v>1786961</v>
      </c>
      <c r="BU40" s="3"/>
      <c r="BV40" s="3">
        <v>20448480</v>
      </c>
      <c r="BW40" s="3"/>
      <c r="BX40" s="3">
        <v>0</v>
      </c>
      <c r="BY40" s="3"/>
      <c r="BZ40" s="16">
        <f t="shared" si="2"/>
        <v>22235441</v>
      </c>
      <c r="CA40" s="16"/>
      <c r="CB40" s="16">
        <f>-BZ40+GovBS!AE40</f>
        <v>0</v>
      </c>
    </row>
    <row r="41" spans="1:80" s="103" customFormat="1">
      <c r="A41" s="3" t="s">
        <v>217</v>
      </c>
      <c r="C41" s="103" t="s">
        <v>178</v>
      </c>
      <c r="E41" s="103">
        <v>62109</v>
      </c>
      <c r="G41" s="3">
        <v>2453770</v>
      </c>
      <c r="H41" s="3"/>
      <c r="I41" s="3">
        <v>537282</v>
      </c>
      <c r="J41" s="3"/>
      <c r="K41" s="3">
        <v>4758013</v>
      </c>
      <c r="L41" s="3"/>
      <c r="M41" s="3">
        <v>115191</v>
      </c>
      <c r="N41" s="3"/>
      <c r="O41" s="3">
        <v>0</v>
      </c>
      <c r="P41" s="3"/>
      <c r="Q41" s="3">
        <v>1666225</v>
      </c>
      <c r="R41" s="3"/>
      <c r="S41" s="3">
        <v>579443</v>
      </c>
      <c r="T41" s="3"/>
      <c r="U41" s="3">
        <v>33932</v>
      </c>
      <c r="V41" s="3"/>
      <c r="W41" s="3">
        <v>1745118</v>
      </c>
      <c r="X41" s="3"/>
      <c r="Y41" s="3">
        <v>546655</v>
      </c>
      <c r="Z41" s="3"/>
      <c r="AA41" s="3">
        <v>204552</v>
      </c>
      <c r="AB41" s="3"/>
      <c r="AC41" s="3">
        <v>1465676</v>
      </c>
      <c r="AD41" s="3"/>
      <c r="AE41" s="3" t="s">
        <v>217</v>
      </c>
      <c r="AG41" s="103" t="s">
        <v>178</v>
      </c>
      <c r="AI41" s="3">
        <v>31402</v>
      </c>
      <c r="AJ41" s="3"/>
      <c r="AK41" s="3">
        <v>355858</v>
      </c>
      <c r="AL41" s="3"/>
      <c r="AM41" s="3"/>
      <c r="AN41" s="3"/>
      <c r="AO41" s="3">
        <v>0</v>
      </c>
      <c r="AP41" s="3"/>
      <c r="AQ41" s="3">
        <v>64311</v>
      </c>
      <c r="AR41" s="3"/>
      <c r="AS41" s="3">
        <v>27106</v>
      </c>
      <c r="AT41" s="3"/>
      <c r="AU41" s="3">
        <v>766172</v>
      </c>
      <c r="AV41" s="3"/>
      <c r="AW41" s="3">
        <v>0</v>
      </c>
      <c r="AX41" s="3"/>
      <c r="AY41" s="3">
        <v>0</v>
      </c>
      <c r="AZ41" s="3"/>
      <c r="BA41" s="3">
        <v>0</v>
      </c>
      <c r="BB41" s="3"/>
      <c r="BC41" s="3">
        <v>0</v>
      </c>
      <c r="BD41" s="3"/>
      <c r="BE41" s="16">
        <f t="shared" si="1"/>
        <v>15350706</v>
      </c>
      <c r="BF41" s="3"/>
      <c r="BG41" s="3">
        <v>0</v>
      </c>
      <c r="BH41" s="3"/>
      <c r="BI41" s="3">
        <v>0</v>
      </c>
      <c r="BJ41" s="3"/>
      <c r="BK41" s="3">
        <v>0</v>
      </c>
      <c r="BL41" s="3"/>
      <c r="BM41" s="3">
        <v>0</v>
      </c>
      <c r="BN41" s="3"/>
      <c r="BO41" s="16">
        <f t="shared" si="3"/>
        <v>15350706</v>
      </c>
      <c r="BP41" s="3" t="s">
        <v>217</v>
      </c>
      <c r="BR41" s="103" t="s">
        <v>178</v>
      </c>
      <c r="BT41" s="16">
        <f>GovRev!AV41-BO41</f>
        <v>1069108</v>
      </c>
      <c r="BU41" s="3"/>
      <c r="BV41" s="3">
        <v>8775720</v>
      </c>
      <c r="BW41" s="3"/>
      <c r="BX41" s="3">
        <v>0</v>
      </c>
      <c r="BY41" s="3"/>
      <c r="BZ41" s="16">
        <f t="shared" si="2"/>
        <v>9844828</v>
      </c>
      <c r="CA41" s="16"/>
      <c r="CB41" s="16">
        <f>-BZ41+GovBS!AE41</f>
        <v>0</v>
      </c>
    </row>
    <row r="42" spans="1:80" s="103" customFormat="1">
      <c r="A42" s="3" t="s">
        <v>361</v>
      </c>
      <c r="C42" s="103" t="s">
        <v>181</v>
      </c>
      <c r="E42" s="103">
        <v>51284</v>
      </c>
      <c r="G42" s="3">
        <v>1069780</v>
      </c>
      <c r="H42" s="3"/>
      <c r="I42" s="3">
        <v>339337</v>
      </c>
      <c r="J42" s="3"/>
      <c r="K42" s="3">
        <v>14860208</v>
      </c>
      <c r="L42" s="3"/>
      <c r="M42" s="3">
        <v>3598611</v>
      </c>
      <c r="N42" s="3"/>
      <c r="O42" s="3">
        <v>0</v>
      </c>
      <c r="P42" s="3"/>
      <c r="Q42" s="3">
        <v>1991626</v>
      </c>
      <c r="R42" s="3"/>
      <c r="S42" s="3">
        <v>1959646</v>
      </c>
      <c r="T42" s="3"/>
      <c r="U42" s="3">
        <v>0</v>
      </c>
      <c r="V42" s="3"/>
      <c r="W42" s="3">
        <f>92069+1858651</f>
        <v>1950720</v>
      </c>
      <c r="X42" s="3"/>
      <c r="Y42" s="3">
        <v>905284</v>
      </c>
      <c r="Z42" s="3"/>
      <c r="AA42" s="3">
        <v>680648</v>
      </c>
      <c r="AB42" s="3"/>
      <c r="AC42" s="3">
        <v>3068304</v>
      </c>
      <c r="AD42" s="3"/>
      <c r="AE42" s="3" t="s">
        <v>361</v>
      </c>
      <c r="AG42" s="103" t="s">
        <v>181</v>
      </c>
      <c r="AI42" s="3">
        <v>105986</v>
      </c>
      <c r="AJ42" s="3"/>
      <c r="AK42" s="3">
        <v>2601729</v>
      </c>
      <c r="AL42" s="3"/>
      <c r="AM42" s="3"/>
      <c r="AN42" s="3"/>
      <c r="AO42" s="3">
        <v>0</v>
      </c>
      <c r="AP42" s="3"/>
      <c r="AQ42" s="3">
        <v>0</v>
      </c>
      <c r="AR42" s="3"/>
      <c r="AS42" s="3">
        <v>32045</v>
      </c>
      <c r="AT42" s="3"/>
      <c r="AU42" s="3">
        <v>17414</v>
      </c>
      <c r="AV42" s="3"/>
      <c r="AW42" s="3">
        <v>0</v>
      </c>
      <c r="AX42" s="3"/>
      <c r="AY42" s="3">
        <v>20000</v>
      </c>
      <c r="AZ42" s="3"/>
      <c r="BA42" s="3">
        <v>325445</v>
      </c>
      <c r="BB42" s="3"/>
      <c r="BC42" s="3">
        <v>0</v>
      </c>
      <c r="BD42" s="3"/>
      <c r="BE42" s="16">
        <f t="shared" si="1"/>
        <v>33526783</v>
      </c>
      <c r="BF42" s="3"/>
      <c r="BG42" s="3">
        <v>1345445</v>
      </c>
      <c r="BH42" s="3"/>
      <c r="BI42" s="3">
        <v>0</v>
      </c>
      <c r="BJ42" s="3"/>
      <c r="BK42" s="3">
        <v>0</v>
      </c>
      <c r="BL42" s="3"/>
      <c r="BM42" s="3">
        <v>0</v>
      </c>
      <c r="BN42" s="3"/>
      <c r="BO42" s="16">
        <f t="shared" si="3"/>
        <v>34872228</v>
      </c>
      <c r="BP42" s="3" t="s">
        <v>361</v>
      </c>
      <c r="BR42" s="103" t="s">
        <v>181</v>
      </c>
      <c r="BT42" s="16">
        <f>GovRev!AV42-BO42</f>
        <v>1919040</v>
      </c>
      <c r="BU42" s="3"/>
      <c r="BV42" s="3">
        <v>3118010</v>
      </c>
      <c r="BW42" s="3"/>
      <c r="BX42" s="3">
        <v>0</v>
      </c>
      <c r="BY42" s="3"/>
      <c r="BZ42" s="16">
        <f t="shared" si="2"/>
        <v>5037050</v>
      </c>
      <c r="CA42" s="16"/>
      <c r="CB42" s="16">
        <f>-BZ42+GovBS!AE42</f>
        <v>0</v>
      </c>
    </row>
    <row r="43" spans="1:80" s="103" customFormat="1">
      <c r="A43" s="3" t="s">
        <v>362</v>
      </c>
      <c r="C43" s="103" t="s">
        <v>183</v>
      </c>
      <c r="E43" s="103">
        <v>51300</v>
      </c>
      <c r="G43" s="3">
        <v>1938162</v>
      </c>
      <c r="H43" s="3"/>
      <c r="I43" s="3">
        <v>0</v>
      </c>
      <c r="J43" s="3"/>
      <c r="K43" s="3">
        <v>6749937</v>
      </c>
      <c r="L43" s="3"/>
      <c r="M43" s="3">
        <v>2526361</v>
      </c>
      <c r="N43" s="3"/>
      <c r="O43" s="3">
        <v>0</v>
      </c>
      <c r="P43" s="3"/>
      <c r="Q43" s="3">
        <v>1101612</v>
      </c>
      <c r="R43" s="3"/>
      <c r="S43" s="3">
        <v>854030</v>
      </c>
      <c r="T43" s="3"/>
      <c r="U43" s="3">
        <v>69234</v>
      </c>
      <c r="V43" s="3"/>
      <c r="W43" s="3">
        <v>1683488</v>
      </c>
      <c r="X43" s="3"/>
      <c r="Y43" s="3">
        <v>773459</v>
      </c>
      <c r="Z43" s="3"/>
      <c r="AA43" s="3">
        <v>191395</v>
      </c>
      <c r="AB43" s="3"/>
      <c r="AC43" s="3">
        <v>1068613</v>
      </c>
      <c r="AD43" s="3"/>
      <c r="AE43" s="3" t="s">
        <v>362</v>
      </c>
      <c r="AG43" s="103" t="s">
        <v>183</v>
      </c>
      <c r="AI43" s="3">
        <v>100482</v>
      </c>
      <c r="AJ43" s="3"/>
      <c r="AK43" s="3">
        <v>436875</v>
      </c>
      <c r="AL43" s="3"/>
      <c r="AM43" s="3"/>
      <c r="AN43" s="3"/>
      <c r="AO43" s="3">
        <v>474056</v>
      </c>
      <c r="AP43" s="3"/>
      <c r="AQ43" s="3">
        <v>4273</v>
      </c>
      <c r="AR43" s="3"/>
      <c r="AS43" s="3">
        <v>101183</v>
      </c>
      <c r="AT43" s="3"/>
      <c r="AU43" s="3">
        <v>22226179</v>
      </c>
      <c r="AV43" s="3"/>
      <c r="AW43" s="3">
        <v>0</v>
      </c>
      <c r="AX43" s="3"/>
      <c r="AY43" s="3">
        <v>1931758</v>
      </c>
      <c r="AZ43" s="3"/>
      <c r="BA43" s="3">
        <v>591693</v>
      </c>
      <c r="BB43" s="3"/>
      <c r="BC43" s="3">
        <v>0</v>
      </c>
      <c r="BD43" s="3"/>
      <c r="BE43" s="16">
        <f t="shared" si="1"/>
        <v>42822790</v>
      </c>
      <c r="BF43" s="3"/>
      <c r="BG43" s="3">
        <v>2149297</v>
      </c>
      <c r="BH43" s="3"/>
      <c r="BI43" s="3">
        <v>0</v>
      </c>
      <c r="BJ43" s="3"/>
      <c r="BK43" s="3">
        <v>0</v>
      </c>
      <c r="BL43" s="3"/>
      <c r="BM43" s="3">
        <v>0</v>
      </c>
      <c r="BN43" s="3"/>
      <c r="BO43" s="16">
        <f t="shared" si="3"/>
        <v>44972087</v>
      </c>
      <c r="BP43" s="3" t="s">
        <v>362</v>
      </c>
      <c r="BR43" s="103" t="s">
        <v>183</v>
      </c>
      <c r="BT43" s="16">
        <f>GovRev!AV43-BO43</f>
        <v>-3222815</v>
      </c>
      <c r="BU43" s="3"/>
      <c r="BV43" s="3">
        <v>39984685</v>
      </c>
      <c r="BW43" s="3"/>
      <c r="BX43" s="3">
        <v>0</v>
      </c>
      <c r="BY43" s="3"/>
      <c r="BZ43" s="16">
        <f t="shared" si="2"/>
        <v>36761870</v>
      </c>
      <c r="CA43" s="16"/>
      <c r="CB43" s="16">
        <f>-BZ43+GovBS!AE43</f>
        <v>0</v>
      </c>
    </row>
    <row r="44" spans="1:80" s="103" customFormat="1" ht="12.75" customHeight="1">
      <c r="A44" s="3" t="s">
        <v>212</v>
      </c>
      <c r="C44" s="103" t="s">
        <v>174</v>
      </c>
      <c r="E44" s="103">
        <v>51334</v>
      </c>
      <c r="G44" s="3">
        <v>1089082</v>
      </c>
      <c r="H44" s="3"/>
      <c r="I44" s="3">
        <v>543709</v>
      </c>
      <c r="J44" s="3"/>
      <c r="K44" s="3">
        <v>4449731</v>
      </c>
      <c r="L44" s="3"/>
      <c r="M44" s="3">
        <v>1295594</v>
      </c>
      <c r="N44" s="3"/>
      <c r="O44" s="3">
        <v>45637</v>
      </c>
      <c r="P44" s="3"/>
      <c r="Q44" s="3">
        <v>786514</v>
      </c>
      <c r="R44" s="3"/>
      <c r="S44" s="3">
        <v>504142</v>
      </c>
      <c r="T44" s="3"/>
      <c r="U44" s="3">
        <v>0</v>
      </c>
      <c r="V44" s="3"/>
      <c r="W44" s="3">
        <f>41649+879315</f>
        <v>920964</v>
      </c>
      <c r="X44" s="3"/>
      <c r="Y44" s="3">
        <v>270730</v>
      </c>
      <c r="Z44" s="3"/>
      <c r="AA44" s="3">
        <v>818248</v>
      </c>
      <c r="AB44" s="3"/>
      <c r="AC44" s="3">
        <v>1480773</v>
      </c>
      <c r="AD44" s="3"/>
      <c r="AE44" s="3" t="s">
        <v>212</v>
      </c>
      <c r="AG44" s="103" t="s">
        <v>174</v>
      </c>
      <c r="AI44" s="3">
        <v>32537</v>
      </c>
      <c r="AJ44" s="3"/>
      <c r="AK44" s="3">
        <v>595110</v>
      </c>
      <c r="AL44" s="3"/>
      <c r="AM44" s="3"/>
      <c r="AN44" s="3"/>
      <c r="AO44" s="3">
        <v>0</v>
      </c>
      <c r="AP44" s="3"/>
      <c r="AQ44" s="3">
        <v>184969</v>
      </c>
      <c r="AR44" s="3"/>
      <c r="AS44" s="3">
        <v>0</v>
      </c>
      <c r="AT44" s="3"/>
      <c r="AU44" s="3">
        <v>148408</v>
      </c>
      <c r="AV44" s="3"/>
      <c r="AW44" s="3">
        <v>0</v>
      </c>
      <c r="AX44" s="3"/>
      <c r="AY44" s="3">
        <v>158817</v>
      </c>
      <c r="AZ44" s="3"/>
      <c r="BA44" s="3">
        <v>18128</v>
      </c>
      <c r="BB44" s="3"/>
      <c r="BC44" s="3">
        <v>0</v>
      </c>
      <c r="BD44" s="3"/>
      <c r="BE44" s="16">
        <f t="shared" si="1"/>
        <v>13343093</v>
      </c>
      <c r="BF44" s="3"/>
      <c r="BG44" s="3">
        <v>200000</v>
      </c>
      <c r="BH44" s="3"/>
      <c r="BI44" s="3">
        <v>0</v>
      </c>
      <c r="BJ44" s="3"/>
      <c r="BK44" s="3">
        <v>0</v>
      </c>
      <c r="BL44" s="3"/>
      <c r="BM44" s="3">
        <v>0</v>
      </c>
      <c r="BN44" s="3"/>
      <c r="BO44" s="16">
        <f t="shared" si="3"/>
        <v>13543093</v>
      </c>
      <c r="BP44" s="3" t="s">
        <v>212</v>
      </c>
      <c r="BR44" s="103" t="s">
        <v>174</v>
      </c>
      <c r="BT44" s="16">
        <f>GovRev!AV44-BO44</f>
        <v>722492</v>
      </c>
      <c r="BU44" s="3"/>
      <c r="BV44" s="3">
        <v>8463653</v>
      </c>
      <c r="BW44" s="3"/>
      <c r="BX44" s="3">
        <v>0</v>
      </c>
      <c r="BY44" s="3"/>
      <c r="BZ44" s="16">
        <f t="shared" si="2"/>
        <v>9186145</v>
      </c>
      <c r="CA44" s="16"/>
      <c r="CB44" s="16">
        <f>-BZ44+GovBS!AE44</f>
        <v>0</v>
      </c>
    </row>
    <row r="45" spans="1:80" s="103" customFormat="1">
      <c r="A45" s="3" t="s">
        <v>322</v>
      </c>
      <c r="C45" s="103" t="s">
        <v>204</v>
      </c>
      <c r="E45" s="103">
        <v>51359</v>
      </c>
      <c r="G45" s="3">
        <v>0</v>
      </c>
      <c r="H45" s="3"/>
      <c r="I45" s="3">
        <v>881353</v>
      </c>
      <c r="J45" s="3"/>
      <c r="K45" s="3">
        <v>14830720</v>
      </c>
      <c r="L45" s="3"/>
      <c r="M45" s="3">
        <v>941504</v>
      </c>
      <c r="N45" s="3"/>
      <c r="O45" s="3">
        <v>577715</v>
      </c>
      <c r="P45" s="3"/>
      <c r="Q45" s="3">
        <v>2604375</v>
      </c>
      <c r="R45" s="3"/>
      <c r="S45" s="3">
        <v>2496171</v>
      </c>
      <c r="T45" s="3"/>
      <c r="U45" s="3">
        <v>46694</v>
      </c>
      <c r="V45" s="3"/>
      <c r="W45" s="3">
        <v>1194107</v>
      </c>
      <c r="X45" s="3"/>
      <c r="Y45" s="3">
        <v>627399</v>
      </c>
      <c r="Z45" s="3"/>
      <c r="AA45" s="3">
        <v>0</v>
      </c>
      <c r="AB45" s="3"/>
      <c r="AC45" s="3">
        <v>2316861</v>
      </c>
      <c r="AD45" s="3"/>
      <c r="AE45" s="3" t="s">
        <v>322</v>
      </c>
      <c r="AG45" s="103" t="s">
        <v>204</v>
      </c>
      <c r="AI45" s="3">
        <v>0</v>
      </c>
      <c r="AJ45" s="3"/>
      <c r="AK45" s="3">
        <v>346934</v>
      </c>
      <c r="AL45" s="3"/>
      <c r="AM45" s="3"/>
      <c r="AN45" s="3"/>
      <c r="AO45" s="3">
        <v>704006</v>
      </c>
      <c r="AP45" s="3"/>
      <c r="AQ45" s="3">
        <v>343544</v>
      </c>
      <c r="AR45" s="3"/>
      <c r="AS45" s="3">
        <v>303413</v>
      </c>
      <c r="AT45" s="3"/>
      <c r="AU45" s="3">
        <f>61137+258558</f>
        <v>319695</v>
      </c>
      <c r="AV45" s="3"/>
      <c r="AW45" s="3">
        <v>0</v>
      </c>
      <c r="AX45" s="3"/>
      <c r="AY45" s="3">
        <v>2212207</v>
      </c>
      <c r="AZ45" s="3"/>
      <c r="BA45" s="3">
        <v>1846643</v>
      </c>
      <c r="BB45" s="3"/>
      <c r="BC45" s="3">
        <v>0</v>
      </c>
      <c r="BD45" s="3"/>
      <c r="BE45" s="16">
        <f t="shared" si="1"/>
        <v>32593341</v>
      </c>
      <c r="BF45" s="3"/>
      <c r="BG45" s="3">
        <v>3988608</v>
      </c>
      <c r="BH45" s="3"/>
      <c r="BI45" s="3">
        <v>0</v>
      </c>
      <c r="BJ45" s="3"/>
      <c r="BK45" s="3">
        <v>0</v>
      </c>
      <c r="BL45" s="3"/>
      <c r="BM45" s="3">
        <v>0</v>
      </c>
      <c r="BN45" s="3"/>
      <c r="BO45" s="16">
        <f t="shared" si="3"/>
        <v>36581949</v>
      </c>
      <c r="BP45" s="3" t="s">
        <v>322</v>
      </c>
      <c r="BR45" s="103" t="s">
        <v>204</v>
      </c>
      <c r="BT45" s="16">
        <f>GovRev!AV45-BO45</f>
        <v>3253245</v>
      </c>
      <c r="BU45" s="3"/>
      <c r="BV45" s="3">
        <v>11972783</v>
      </c>
      <c r="BW45" s="3"/>
      <c r="BX45" s="3">
        <v>0</v>
      </c>
      <c r="BY45" s="3"/>
      <c r="BZ45" s="16">
        <f t="shared" si="2"/>
        <v>15226028</v>
      </c>
      <c r="CA45" s="16"/>
      <c r="CB45" s="16">
        <f>-BZ45+GovBS!AE45</f>
        <v>0</v>
      </c>
    </row>
    <row r="46" spans="1:80" s="103" customFormat="1">
      <c r="A46" s="3" t="s">
        <v>363</v>
      </c>
      <c r="C46" s="103" t="s">
        <v>190</v>
      </c>
      <c r="E46" s="103">
        <v>51433</v>
      </c>
      <c r="G46" s="3">
        <v>1035469</v>
      </c>
      <c r="H46" s="3"/>
      <c r="I46" s="3">
        <v>0</v>
      </c>
      <c r="J46" s="3"/>
      <c r="K46" s="3">
        <v>11342209</v>
      </c>
      <c r="L46" s="3"/>
      <c r="M46" s="3">
        <v>0</v>
      </c>
      <c r="N46" s="3"/>
      <c r="O46" s="3">
        <v>0</v>
      </c>
      <c r="P46" s="3"/>
      <c r="Q46" s="3">
        <v>1398590</v>
      </c>
      <c r="R46" s="3"/>
      <c r="S46" s="3">
        <v>1163923</v>
      </c>
      <c r="T46" s="3"/>
      <c r="U46" s="3">
        <v>18033</v>
      </c>
      <c r="V46" s="3"/>
      <c r="W46" s="3">
        <v>369605</v>
      </c>
      <c r="X46" s="3"/>
      <c r="Y46" s="3">
        <v>531401</v>
      </c>
      <c r="Z46" s="3"/>
      <c r="AA46" s="3">
        <v>0</v>
      </c>
      <c r="AB46" s="3"/>
      <c r="AC46" s="3">
        <v>1240673</v>
      </c>
      <c r="AD46" s="3"/>
      <c r="AE46" s="3" t="s">
        <v>363</v>
      </c>
      <c r="AG46" s="103" t="s">
        <v>190</v>
      </c>
      <c r="AI46" s="3">
        <v>23991</v>
      </c>
      <c r="AJ46" s="3"/>
      <c r="AK46" s="3">
        <v>100458</v>
      </c>
      <c r="AL46" s="3"/>
      <c r="AM46" s="3"/>
      <c r="AN46" s="3"/>
      <c r="AO46" s="3">
        <v>0</v>
      </c>
      <c r="AP46" s="3"/>
      <c r="AQ46" s="3">
        <v>295639</v>
      </c>
      <c r="AR46" s="3"/>
      <c r="AS46" s="3">
        <v>25910</v>
      </c>
      <c r="AT46" s="3"/>
      <c r="AU46" s="3">
        <v>411852</v>
      </c>
      <c r="AV46" s="3"/>
      <c r="AW46" s="3">
        <v>0</v>
      </c>
      <c r="AX46" s="3"/>
      <c r="AY46" s="3">
        <v>354280</v>
      </c>
      <c r="AZ46" s="3"/>
      <c r="BA46" s="3">
        <v>18112</v>
      </c>
      <c r="BB46" s="3"/>
      <c r="BC46" s="3">
        <v>0</v>
      </c>
      <c r="BD46" s="3"/>
      <c r="BE46" s="16">
        <f t="shared" si="1"/>
        <v>18330145</v>
      </c>
      <c r="BF46" s="3"/>
      <c r="BG46" s="3">
        <v>338216</v>
      </c>
      <c r="BH46" s="3"/>
      <c r="BI46" s="3">
        <v>0</v>
      </c>
      <c r="BJ46" s="3"/>
      <c r="BK46" s="3">
        <v>0</v>
      </c>
      <c r="BL46" s="3"/>
      <c r="BM46" s="3">
        <v>0</v>
      </c>
      <c r="BN46" s="3"/>
      <c r="BO46" s="16">
        <f t="shared" si="3"/>
        <v>18668361</v>
      </c>
      <c r="BP46" s="3" t="s">
        <v>363</v>
      </c>
      <c r="BR46" s="103" t="s">
        <v>190</v>
      </c>
      <c r="BT46" s="16">
        <f>GovRev!AV46-BO46</f>
        <v>1329871</v>
      </c>
      <c r="BU46" s="3"/>
      <c r="BV46" s="3">
        <v>10885318</v>
      </c>
      <c r="BW46" s="3"/>
      <c r="BX46" s="3">
        <v>0</v>
      </c>
      <c r="BY46" s="3"/>
      <c r="BZ46" s="16">
        <f t="shared" si="2"/>
        <v>12215189</v>
      </c>
      <c r="CA46" s="16"/>
      <c r="CB46" s="16">
        <f>-BZ46+GovBS!AE46</f>
        <v>0</v>
      </c>
    </row>
    <row r="47" spans="1:80" s="103" customFormat="1">
      <c r="A47" s="3" t="s">
        <v>247</v>
      </c>
      <c r="C47" s="103" t="s">
        <v>218</v>
      </c>
      <c r="E47" s="103">
        <v>51375</v>
      </c>
      <c r="G47" s="3">
        <v>0</v>
      </c>
      <c r="H47" s="3"/>
      <c r="I47" s="3">
        <v>92026</v>
      </c>
      <c r="J47" s="3"/>
      <c r="K47" s="3">
        <v>3423491</v>
      </c>
      <c r="L47" s="3"/>
      <c r="M47" s="3">
        <v>598291</v>
      </c>
      <c r="N47" s="3"/>
      <c r="O47" s="3">
        <v>0</v>
      </c>
      <c r="P47" s="3"/>
      <c r="Q47" s="3">
        <v>297982</v>
      </c>
      <c r="R47" s="3"/>
      <c r="S47" s="3">
        <v>472761</v>
      </c>
      <c r="T47" s="3"/>
      <c r="U47" s="3">
        <v>89278</v>
      </c>
      <c r="V47" s="3"/>
      <c r="W47" s="3">
        <v>470596</v>
      </c>
      <c r="X47" s="3"/>
      <c r="Y47" s="3">
        <v>376757</v>
      </c>
      <c r="Z47" s="3"/>
      <c r="AA47" s="3">
        <v>0</v>
      </c>
      <c r="AB47" s="3"/>
      <c r="AC47" s="3">
        <v>584596</v>
      </c>
      <c r="AD47" s="3"/>
      <c r="AE47" s="3" t="s">
        <v>247</v>
      </c>
      <c r="AG47" s="103" t="s">
        <v>218</v>
      </c>
      <c r="AI47" s="3">
        <v>15502</v>
      </c>
      <c r="AJ47" s="3"/>
      <c r="AK47" s="3">
        <v>214845</v>
      </c>
      <c r="AL47" s="3"/>
      <c r="AM47" s="3"/>
      <c r="AN47" s="3"/>
      <c r="AO47" s="3">
        <v>0</v>
      </c>
      <c r="AP47" s="3"/>
      <c r="AQ47" s="3">
        <f>303126+6004</f>
        <v>309130</v>
      </c>
      <c r="AR47" s="3"/>
      <c r="AS47" s="3">
        <v>1200</v>
      </c>
      <c r="AT47" s="3"/>
      <c r="AU47" s="3">
        <v>40579</v>
      </c>
      <c r="AV47" s="3"/>
      <c r="AW47" s="3">
        <v>0</v>
      </c>
      <c r="AX47" s="3"/>
      <c r="AY47" s="3">
        <v>154890</v>
      </c>
      <c r="AZ47" s="3"/>
      <c r="BA47" s="3">
        <v>168618</v>
      </c>
      <c r="BB47" s="3"/>
      <c r="BC47" s="3">
        <v>0</v>
      </c>
      <c r="BD47" s="3"/>
      <c r="BE47" s="16">
        <f t="shared" si="1"/>
        <v>7310542</v>
      </c>
      <c r="BF47" s="3"/>
      <c r="BG47" s="3">
        <v>0</v>
      </c>
      <c r="BH47" s="3"/>
      <c r="BI47" s="3">
        <v>0</v>
      </c>
      <c r="BJ47" s="3"/>
      <c r="BK47" s="3">
        <v>0</v>
      </c>
      <c r="BL47" s="3"/>
      <c r="BM47" s="3">
        <v>0</v>
      </c>
      <c r="BN47" s="3"/>
      <c r="BO47" s="16">
        <f t="shared" si="3"/>
        <v>7310542</v>
      </c>
      <c r="BP47" s="3" t="s">
        <v>247</v>
      </c>
      <c r="BR47" s="103" t="s">
        <v>218</v>
      </c>
      <c r="BT47" s="16">
        <f>GovRev!AV47-BO47</f>
        <v>46225</v>
      </c>
      <c r="BU47" s="3"/>
      <c r="BV47" s="3">
        <v>4607744</v>
      </c>
      <c r="BW47" s="3"/>
      <c r="BX47" s="3">
        <v>0</v>
      </c>
      <c r="BY47" s="3"/>
      <c r="BZ47" s="16">
        <f t="shared" si="2"/>
        <v>4653969</v>
      </c>
      <c r="CA47" s="16"/>
      <c r="CB47" s="16">
        <f>-BZ47+GovBS!AE47</f>
        <v>0</v>
      </c>
    </row>
    <row r="48" spans="1:80" s="103" customFormat="1">
      <c r="A48" s="3" t="s">
        <v>364</v>
      </c>
      <c r="C48" s="103" t="s">
        <v>189</v>
      </c>
      <c r="E48" s="103">
        <v>51417</v>
      </c>
      <c r="G48" s="3">
        <v>864429</v>
      </c>
      <c r="H48" s="3"/>
      <c r="I48" s="3">
        <v>437372</v>
      </c>
      <c r="J48" s="3"/>
      <c r="K48" s="3">
        <v>9407129</v>
      </c>
      <c r="L48" s="3"/>
      <c r="M48" s="3">
        <v>398453</v>
      </c>
      <c r="N48" s="3"/>
      <c r="O48" s="3">
        <v>0</v>
      </c>
      <c r="P48" s="3"/>
      <c r="Q48" s="3">
        <v>1277634</v>
      </c>
      <c r="R48" s="3"/>
      <c r="S48" s="3">
        <v>1183639</v>
      </c>
      <c r="T48" s="3"/>
      <c r="U48" s="3">
        <v>76472</v>
      </c>
      <c r="V48" s="3"/>
      <c r="W48" s="3">
        <v>1036798</v>
      </c>
      <c r="X48" s="3"/>
      <c r="Y48" s="3">
        <v>393967</v>
      </c>
      <c r="Z48" s="3"/>
      <c r="AA48" s="3">
        <v>191535</v>
      </c>
      <c r="AB48" s="3"/>
      <c r="AC48" s="3">
        <v>1208017</v>
      </c>
      <c r="AD48" s="3"/>
      <c r="AE48" s="3" t="s">
        <v>364</v>
      </c>
      <c r="AG48" s="103" t="s">
        <v>189</v>
      </c>
      <c r="AI48" s="3">
        <v>1771</v>
      </c>
      <c r="AJ48" s="3"/>
      <c r="AK48" s="3">
        <v>131853</v>
      </c>
      <c r="AL48" s="3"/>
      <c r="AM48" s="3"/>
      <c r="AN48" s="3"/>
      <c r="AO48" s="3">
        <v>443965</v>
      </c>
      <c r="AP48" s="3"/>
      <c r="AQ48" s="3">
        <v>1699</v>
      </c>
      <c r="AR48" s="3"/>
      <c r="AS48" s="3">
        <v>88030</v>
      </c>
      <c r="AT48" s="3"/>
      <c r="AU48" s="3">
        <v>427687</v>
      </c>
      <c r="AV48" s="3"/>
      <c r="AW48" s="3">
        <v>0</v>
      </c>
      <c r="AX48" s="3"/>
      <c r="AY48" s="3">
        <v>339237</v>
      </c>
      <c r="AZ48" s="3"/>
      <c r="BA48" s="3">
        <v>554014</v>
      </c>
      <c r="BB48" s="3"/>
      <c r="BC48" s="3">
        <v>0</v>
      </c>
      <c r="BD48" s="3"/>
      <c r="BE48" s="16">
        <f t="shared" si="1"/>
        <v>18463701</v>
      </c>
      <c r="BF48" s="3"/>
      <c r="BG48" s="3">
        <v>926662</v>
      </c>
      <c r="BH48" s="3"/>
      <c r="BI48" s="3">
        <v>0</v>
      </c>
      <c r="BJ48" s="3"/>
      <c r="BK48" s="3">
        <v>0</v>
      </c>
      <c r="BL48" s="3"/>
      <c r="BM48" s="3">
        <v>0</v>
      </c>
      <c r="BN48" s="3"/>
      <c r="BO48" s="16">
        <f t="shared" si="3"/>
        <v>19390363</v>
      </c>
      <c r="BP48" s="3" t="s">
        <v>364</v>
      </c>
      <c r="BR48" s="103" t="s">
        <v>189</v>
      </c>
      <c r="BT48" s="16">
        <f>GovRev!AV48-BO48</f>
        <v>-1678806</v>
      </c>
      <c r="BU48" s="3"/>
      <c r="BV48" s="3">
        <v>18033192</v>
      </c>
      <c r="BW48" s="3"/>
      <c r="BX48" s="3">
        <v>7673</v>
      </c>
      <c r="BY48" s="3"/>
      <c r="BZ48" s="16">
        <f t="shared" si="2"/>
        <v>16362059</v>
      </c>
      <c r="CA48" s="16"/>
      <c r="CB48" s="16">
        <f>-BZ48+GovBS!AE48</f>
        <v>0</v>
      </c>
    </row>
    <row r="49" spans="1:80" s="103" customFormat="1">
      <c r="A49" s="3" t="s">
        <v>248</v>
      </c>
      <c r="C49" s="103" t="s">
        <v>157</v>
      </c>
      <c r="E49" s="103">
        <v>50948</v>
      </c>
      <c r="G49" s="3">
        <v>0</v>
      </c>
      <c r="H49" s="3"/>
      <c r="I49" s="3">
        <v>0</v>
      </c>
      <c r="J49" s="3"/>
      <c r="K49" s="3">
        <v>5894929</v>
      </c>
      <c r="L49" s="3"/>
      <c r="M49" s="3">
        <v>314651</v>
      </c>
      <c r="N49" s="3"/>
      <c r="O49" s="3">
        <v>0</v>
      </c>
      <c r="P49" s="3"/>
      <c r="Q49" s="3">
        <v>1810522</v>
      </c>
      <c r="R49" s="3"/>
      <c r="S49" s="3">
        <v>1685565</v>
      </c>
      <c r="T49" s="3"/>
      <c r="U49" s="3">
        <v>188568</v>
      </c>
      <c r="V49" s="3"/>
      <c r="W49" s="3">
        <v>789654</v>
      </c>
      <c r="X49" s="3"/>
      <c r="Y49" s="3">
        <v>657886</v>
      </c>
      <c r="Z49" s="3"/>
      <c r="AA49" s="3">
        <v>116904</v>
      </c>
      <c r="AB49" s="3"/>
      <c r="AC49" s="3">
        <v>1405933</v>
      </c>
      <c r="AD49" s="3"/>
      <c r="AE49" s="3" t="s">
        <v>248</v>
      </c>
      <c r="AG49" s="103" t="s">
        <v>157</v>
      </c>
      <c r="AI49" s="3">
        <v>22259</v>
      </c>
      <c r="AJ49" s="3"/>
      <c r="AK49" s="3">
        <v>1258816</v>
      </c>
      <c r="AL49" s="3"/>
      <c r="AM49" s="3"/>
      <c r="AN49" s="3"/>
      <c r="AO49" s="3">
        <v>0</v>
      </c>
      <c r="AP49" s="3"/>
      <c r="AQ49" s="3">
        <v>0</v>
      </c>
      <c r="AR49" s="3"/>
      <c r="AS49" s="3">
        <v>44807</v>
      </c>
      <c r="AT49" s="3"/>
      <c r="AU49" s="3">
        <v>195303</v>
      </c>
      <c r="AV49" s="3"/>
      <c r="AW49" s="3">
        <v>0</v>
      </c>
      <c r="AX49" s="3"/>
      <c r="AY49" s="3">
        <v>300544</v>
      </c>
      <c r="AZ49" s="3"/>
      <c r="BA49" s="3">
        <v>92652</v>
      </c>
      <c r="BB49" s="3"/>
      <c r="BC49" s="3">
        <v>0</v>
      </c>
      <c r="BD49" s="3"/>
      <c r="BE49" s="16">
        <f t="shared" si="1"/>
        <v>14778993</v>
      </c>
      <c r="BF49" s="3"/>
      <c r="BG49" s="3">
        <v>2396</v>
      </c>
      <c r="BH49" s="3"/>
      <c r="BI49" s="3">
        <v>0</v>
      </c>
      <c r="BJ49" s="3"/>
      <c r="BK49" s="3">
        <v>0</v>
      </c>
      <c r="BL49" s="3"/>
      <c r="BM49" s="3">
        <v>0</v>
      </c>
      <c r="BN49" s="3"/>
      <c r="BO49" s="16">
        <f t="shared" si="3"/>
        <v>14781389</v>
      </c>
      <c r="BP49" s="3" t="s">
        <v>248</v>
      </c>
      <c r="BR49" s="103" t="s">
        <v>157</v>
      </c>
      <c r="BT49" s="16">
        <f>GovRev!AV49-BO49</f>
        <v>-517934</v>
      </c>
      <c r="BU49" s="3"/>
      <c r="BV49" s="3">
        <v>9709598</v>
      </c>
      <c r="BW49" s="3"/>
      <c r="BX49" s="3">
        <v>0</v>
      </c>
      <c r="BY49" s="3"/>
      <c r="BZ49" s="16">
        <f t="shared" si="2"/>
        <v>9191664</v>
      </c>
      <c r="CA49" s="16"/>
      <c r="CB49" s="16">
        <f>-BZ49+GovBS!AE49</f>
        <v>0</v>
      </c>
    </row>
    <row r="50" spans="1:80" s="103" customFormat="1">
      <c r="A50" s="3" t="s">
        <v>249</v>
      </c>
      <c r="C50" s="103" t="s">
        <v>196</v>
      </c>
      <c r="E50" s="103">
        <v>63495</v>
      </c>
      <c r="G50" s="3">
        <v>464668</v>
      </c>
      <c r="H50" s="3"/>
      <c r="I50" s="3">
        <v>301212</v>
      </c>
      <c r="J50" s="3"/>
      <c r="K50" s="3">
        <v>3407766</v>
      </c>
      <c r="L50" s="3"/>
      <c r="M50" s="3">
        <v>1090057</v>
      </c>
      <c r="N50" s="3"/>
      <c r="O50" s="3">
        <v>6946</v>
      </c>
      <c r="P50" s="3"/>
      <c r="Q50" s="3">
        <v>355457</v>
      </c>
      <c r="R50" s="3"/>
      <c r="S50" s="3">
        <v>270681</v>
      </c>
      <c r="T50" s="3"/>
      <c r="U50" s="3">
        <v>20066</v>
      </c>
      <c r="V50" s="3"/>
      <c r="W50" s="3">
        <v>750122</v>
      </c>
      <c r="X50" s="3"/>
      <c r="Y50" s="3">
        <v>429151</v>
      </c>
      <c r="Z50" s="3"/>
      <c r="AA50" s="3">
        <v>0</v>
      </c>
      <c r="AB50" s="3"/>
      <c r="AC50" s="3">
        <v>490114</v>
      </c>
      <c r="AD50" s="3"/>
      <c r="AE50" s="3" t="s">
        <v>249</v>
      </c>
      <c r="AG50" s="103" t="s">
        <v>196</v>
      </c>
      <c r="AI50" s="3">
        <v>53905</v>
      </c>
      <c r="AJ50" s="3"/>
      <c r="AK50" s="3">
        <v>95228</v>
      </c>
      <c r="AL50" s="3"/>
      <c r="AM50" s="3"/>
      <c r="AN50" s="3"/>
      <c r="AO50" s="3">
        <v>0</v>
      </c>
      <c r="AP50" s="3"/>
      <c r="AQ50" s="3">
        <v>3839</v>
      </c>
      <c r="AR50" s="3"/>
      <c r="AS50" s="3">
        <v>43953</v>
      </c>
      <c r="AT50" s="3"/>
      <c r="AU50" s="3">
        <v>1532123</v>
      </c>
      <c r="AV50" s="3"/>
      <c r="AW50" s="3">
        <v>0</v>
      </c>
      <c r="AX50" s="3"/>
      <c r="AY50" s="3">
        <v>33333</v>
      </c>
      <c r="AZ50" s="3"/>
      <c r="BA50" s="3">
        <v>0</v>
      </c>
      <c r="BB50" s="3"/>
      <c r="BC50" s="3">
        <v>0</v>
      </c>
      <c r="BD50" s="3"/>
      <c r="BE50" s="16">
        <f t="shared" si="1"/>
        <v>9348621</v>
      </c>
      <c r="BF50" s="3"/>
      <c r="BG50" s="3">
        <v>33333</v>
      </c>
      <c r="BH50" s="3"/>
      <c r="BI50" s="3">
        <v>0</v>
      </c>
      <c r="BJ50" s="3"/>
      <c r="BK50" s="3">
        <v>0</v>
      </c>
      <c r="BL50" s="3"/>
      <c r="BM50" s="3">
        <v>0</v>
      </c>
      <c r="BN50" s="3"/>
      <c r="BO50" s="16">
        <f t="shared" si="3"/>
        <v>9381954</v>
      </c>
      <c r="BP50" s="3" t="s">
        <v>249</v>
      </c>
      <c r="BR50" s="103" t="s">
        <v>196</v>
      </c>
      <c r="BT50" s="16">
        <f>GovRev!AV50-BO50</f>
        <v>-1917102</v>
      </c>
      <c r="BU50" s="3"/>
      <c r="BV50" s="3">
        <v>12284648</v>
      </c>
      <c r="BW50" s="3"/>
      <c r="BX50" s="3">
        <v>0</v>
      </c>
      <c r="BY50" s="3"/>
      <c r="BZ50" s="16">
        <f t="shared" si="2"/>
        <v>10367546</v>
      </c>
      <c r="CA50" s="16"/>
      <c r="CB50" s="16">
        <f>-BZ50+GovBS!AE50</f>
        <v>0</v>
      </c>
    </row>
    <row r="51" spans="1:80" s="103" customFormat="1">
      <c r="A51" s="3" t="s">
        <v>383</v>
      </c>
      <c r="C51" s="103" t="s">
        <v>192</v>
      </c>
      <c r="E51" s="103">
        <v>51490</v>
      </c>
      <c r="G51" s="3">
        <v>0</v>
      </c>
      <c r="H51" s="3"/>
      <c r="I51" s="3">
        <v>65808</v>
      </c>
      <c r="J51" s="3"/>
      <c r="K51" s="3">
        <v>3671316</v>
      </c>
      <c r="L51" s="3"/>
      <c r="M51" s="3">
        <v>1535313</v>
      </c>
      <c r="N51" s="3"/>
      <c r="O51" s="3">
        <v>182875</v>
      </c>
      <c r="P51" s="3"/>
      <c r="Q51" s="3">
        <v>454743</v>
      </c>
      <c r="R51" s="3"/>
      <c r="S51" s="3">
        <v>372770</v>
      </c>
      <c r="T51" s="3"/>
      <c r="U51" s="3">
        <v>12762</v>
      </c>
      <c r="V51" s="3"/>
      <c r="W51" s="3">
        <v>1339703</v>
      </c>
      <c r="X51" s="3"/>
      <c r="Y51" s="3">
        <v>370695</v>
      </c>
      <c r="Z51" s="3"/>
      <c r="AA51" s="3">
        <v>0</v>
      </c>
      <c r="AB51" s="3"/>
      <c r="AC51" s="3">
        <v>1153685</v>
      </c>
      <c r="AD51" s="3"/>
      <c r="AE51" s="3" t="s">
        <v>383</v>
      </c>
      <c r="AG51" s="103" t="s">
        <v>192</v>
      </c>
      <c r="AI51" s="3">
        <v>9835</v>
      </c>
      <c r="AJ51" s="3"/>
      <c r="AK51" s="3">
        <v>136550</v>
      </c>
      <c r="AL51" s="3"/>
      <c r="AM51" s="3"/>
      <c r="AN51" s="3"/>
      <c r="AO51" s="3">
        <v>0</v>
      </c>
      <c r="AP51" s="3"/>
      <c r="AQ51" s="3">
        <v>279246</v>
      </c>
      <c r="AR51" s="3"/>
      <c r="AS51" s="3">
        <v>58785</v>
      </c>
      <c r="AT51" s="3"/>
      <c r="AU51" s="3">
        <v>0</v>
      </c>
      <c r="AV51" s="3"/>
      <c r="AW51" s="3">
        <v>0</v>
      </c>
      <c r="AX51" s="3"/>
      <c r="AY51" s="3">
        <v>21900</v>
      </c>
      <c r="AZ51" s="3"/>
      <c r="BA51" s="3">
        <v>0</v>
      </c>
      <c r="BB51" s="3"/>
      <c r="BC51" s="3">
        <v>0</v>
      </c>
      <c r="BD51" s="3"/>
      <c r="BE51" s="16">
        <f t="shared" si="1"/>
        <v>9665986</v>
      </c>
      <c r="BF51" s="3"/>
      <c r="BG51" s="3">
        <v>364966</v>
      </c>
      <c r="BH51" s="3"/>
      <c r="BI51" s="3">
        <v>0</v>
      </c>
      <c r="BJ51" s="3"/>
      <c r="BK51" s="3">
        <v>0</v>
      </c>
      <c r="BL51" s="3"/>
      <c r="BM51" s="3">
        <v>0</v>
      </c>
      <c r="BN51" s="3"/>
      <c r="BO51" s="16">
        <f t="shared" si="3"/>
        <v>10030952</v>
      </c>
      <c r="BP51" s="3" t="s">
        <v>383</v>
      </c>
      <c r="BR51" s="103" t="s">
        <v>192</v>
      </c>
      <c r="BT51" s="16">
        <f>GovRev!AV51-BO51</f>
        <v>391189</v>
      </c>
      <c r="BU51" s="3"/>
      <c r="BV51" s="3">
        <v>7062519</v>
      </c>
      <c r="BW51" s="3"/>
      <c r="BX51" s="3">
        <v>0</v>
      </c>
      <c r="BY51" s="3"/>
      <c r="BZ51" s="16">
        <f t="shared" si="2"/>
        <v>7453708</v>
      </c>
      <c r="CA51" s="16"/>
      <c r="CB51" s="16">
        <f>-BZ51+GovBS!AE51</f>
        <v>0</v>
      </c>
    </row>
    <row r="52" spans="1:80" s="103" customFormat="1">
      <c r="A52" s="3" t="s">
        <v>205</v>
      </c>
      <c r="C52" s="103" t="s">
        <v>150</v>
      </c>
      <c r="E52" s="103">
        <v>50799</v>
      </c>
      <c r="G52" s="3">
        <v>143895</v>
      </c>
      <c r="H52" s="3"/>
      <c r="I52" s="3">
        <v>0</v>
      </c>
      <c r="J52" s="3"/>
      <c r="K52" s="3">
        <v>2956946</v>
      </c>
      <c r="L52" s="3"/>
      <c r="M52" s="3">
        <v>110828</v>
      </c>
      <c r="N52" s="3"/>
      <c r="O52" s="3">
        <v>0</v>
      </c>
      <c r="P52" s="3"/>
      <c r="Q52" s="3">
        <v>508742</v>
      </c>
      <c r="R52" s="3"/>
      <c r="S52" s="3">
        <v>102259</v>
      </c>
      <c r="T52" s="3"/>
      <c r="U52" s="3">
        <v>37226</v>
      </c>
      <c r="V52" s="3"/>
      <c r="W52" s="3">
        <v>596130</v>
      </c>
      <c r="X52" s="3"/>
      <c r="Y52" s="3">
        <v>385841</v>
      </c>
      <c r="Z52" s="3"/>
      <c r="AA52" s="3">
        <v>5592</v>
      </c>
      <c r="AB52" s="3"/>
      <c r="AC52" s="3">
        <v>520692</v>
      </c>
      <c r="AD52" s="3"/>
      <c r="AE52" s="3" t="s">
        <v>205</v>
      </c>
      <c r="AG52" s="103" t="s">
        <v>150</v>
      </c>
      <c r="AI52" s="3">
        <v>30246</v>
      </c>
      <c r="AJ52" s="3"/>
      <c r="AK52" s="3">
        <v>42443</v>
      </c>
      <c r="AL52" s="3"/>
      <c r="AM52" s="3"/>
      <c r="AN52" s="3"/>
      <c r="AO52" s="3">
        <v>0</v>
      </c>
      <c r="AP52" s="3"/>
      <c r="AQ52" s="3">
        <v>187009</v>
      </c>
      <c r="AR52" s="3"/>
      <c r="AS52" s="3">
        <v>8948</v>
      </c>
      <c r="AT52" s="3"/>
      <c r="AU52" s="3">
        <v>897003</v>
      </c>
      <c r="AV52" s="3"/>
      <c r="AW52" s="3">
        <v>0</v>
      </c>
      <c r="AX52" s="3"/>
      <c r="AY52" s="3">
        <v>230825</v>
      </c>
      <c r="AZ52" s="3"/>
      <c r="BA52" s="3">
        <v>25995</v>
      </c>
      <c r="BB52" s="3"/>
      <c r="BC52" s="3">
        <v>0</v>
      </c>
      <c r="BD52" s="3"/>
      <c r="BE52" s="16">
        <f t="shared" si="1"/>
        <v>6790620</v>
      </c>
      <c r="BF52" s="3"/>
      <c r="BG52" s="3">
        <v>110000</v>
      </c>
      <c r="BH52" s="3"/>
      <c r="BI52" s="3">
        <v>0</v>
      </c>
      <c r="BJ52" s="3"/>
      <c r="BK52" s="3">
        <v>0</v>
      </c>
      <c r="BL52" s="3"/>
      <c r="BM52" s="3">
        <v>0</v>
      </c>
      <c r="BN52" s="3"/>
      <c r="BO52" s="16">
        <f t="shared" si="3"/>
        <v>6900620</v>
      </c>
      <c r="BP52" s="3" t="s">
        <v>205</v>
      </c>
      <c r="BR52" s="103" t="s">
        <v>150</v>
      </c>
      <c r="BT52" s="16">
        <f>GovRev!AV52-BO52</f>
        <v>-94156</v>
      </c>
      <c r="BU52" s="3"/>
      <c r="BV52" s="3">
        <v>8643610</v>
      </c>
      <c r="BW52" s="3"/>
      <c r="BX52" s="3">
        <v>0</v>
      </c>
      <c r="BY52" s="3"/>
      <c r="BZ52" s="16">
        <f t="shared" si="2"/>
        <v>8549454</v>
      </c>
      <c r="CA52" s="16"/>
      <c r="CB52" s="16">
        <f>-BZ52+GovBS!AE52</f>
        <v>0</v>
      </c>
    </row>
    <row r="53" spans="1:80" s="103" customFormat="1">
      <c r="A53" s="3" t="s">
        <v>365</v>
      </c>
      <c r="C53" s="103" t="s">
        <v>152</v>
      </c>
      <c r="E53" s="103">
        <v>51532</v>
      </c>
      <c r="G53" s="3">
        <v>0</v>
      </c>
      <c r="H53" s="3"/>
      <c r="I53" s="3">
        <v>700881</v>
      </c>
      <c r="J53" s="3"/>
      <c r="K53" s="3">
        <v>5848119</v>
      </c>
      <c r="L53" s="3"/>
      <c r="M53" s="3">
        <v>0</v>
      </c>
      <c r="N53" s="3"/>
      <c r="O53" s="3">
        <v>405</v>
      </c>
      <c r="P53" s="3"/>
      <c r="Q53" s="3">
        <v>715560</v>
      </c>
      <c r="R53" s="3"/>
      <c r="S53" s="3">
        <v>688898</v>
      </c>
      <c r="T53" s="3"/>
      <c r="U53" s="3">
        <v>42730</v>
      </c>
      <c r="V53" s="3"/>
      <c r="W53" s="3">
        <v>1012835</v>
      </c>
      <c r="X53" s="3"/>
      <c r="Y53" s="3">
        <v>513964</v>
      </c>
      <c r="Z53" s="3"/>
      <c r="AA53" s="3">
        <v>168884</v>
      </c>
      <c r="AB53" s="3"/>
      <c r="AC53" s="3">
        <v>1231846</v>
      </c>
      <c r="AD53" s="3"/>
      <c r="AE53" s="3" t="s">
        <v>365</v>
      </c>
      <c r="AG53" s="103" t="s">
        <v>152</v>
      </c>
      <c r="AI53" s="3">
        <v>38293</v>
      </c>
      <c r="AJ53" s="3"/>
      <c r="AK53" s="3">
        <v>24495</v>
      </c>
      <c r="AL53" s="3"/>
      <c r="AM53" s="3"/>
      <c r="AN53" s="3"/>
      <c r="AO53" s="3">
        <v>0</v>
      </c>
      <c r="AP53" s="3"/>
      <c r="AQ53" s="3">
        <v>257359</v>
      </c>
      <c r="AR53" s="3"/>
      <c r="AS53" s="3">
        <v>27097</v>
      </c>
      <c r="AT53" s="3"/>
      <c r="AU53" s="3">
        <v>333632</v>
      </c>
      <c r="AV53" s="3"/>
      <c r="AW53" s="3">
        <v>0</v>
      </c>
      <c r="AX53" s="3"/>
      <c r="AY53" s="3">
        <v>460305</v>
      </c>
      <c r="AZ53" s="3"/>
      <c r="BA53" s="3">
        <v>111570</v>
      </c>
      <c r="BB53" s="3"/>
      <c r="BC53" s="3">
        <v>0</v>
      </c>
      <c r="BD53" s="3"/>
      <c r="BE53" s="16">
        <f t="shared" si="1"/>
        <v>12176873</v>
      </c>
      <c r="BF53" s="3"/>
      <c r="BG53" s="3">
        <v>151531</v>
      </c>
      <c r="BH53" s="3"/>
      <c r="BI53" s="3">
        <v>0</v>
      </c>
      <c r="BJ53" s="3"/>
      <c r="BK53" s="3">
        <v>0</v>
      </c>
      <c r="BL53" s="3"/>
      <c r="BM53" s="3">
        <v>0</v>
      </c>
      <c r="BN53" s="3"/>
      <c r="BO53" s="16">
        <f t="shared" si="3"/>
        <v>12328404</v>
      </c>
      <c r="BP53" s="3" t="s">
        <v>365</v>
      </c>
      <c r="BR53" s="103" t="s">
        <v>152</v>
      </c>
      <c r="BT53" s="16">
        <f>GovRev!AV53-BO53</f>
        <v>60700</v>
      </c>
      <c r="BU53" s="3"/>
      <c r="BV53" s="3">
        <v>8329297</v>
      </c>
      <c r="BW53" s="3"/>
      <c r="BX53" s="3">
        <v>0</v>
      </c>
      <c r="BY53" s="3"/>
      <c r="BZ53" s="16">
        <f t="shared" si="2"/>
        <v>8389997</v>
      </c>
      <c r="CA53" s="16"/>
      <c r="CB53" s="16">
        <f>-BZ53+GovBS!AE53</f>
        <v>0</v>
      </c>
    </row>
    <row r="54" spans="1:80" s="103" customFormat="1">
      <c r="A54" s="3" t="s">
        <v>219</v>
      </c>
      <c r="C54" s="103" t="s">
        <v>195</v>
      </c>
      <c r="E54" s="103">
        <v>62026</v>
      </c>
      <c r="G54" s="3">
        <v>944686</v>
      </c>
      <c r="H54" s="3"/>
      <c r="I54" s="3">
        <v>211092</v>
      </c>
      <c r="J54" s="3"/>
      <c r="K54" s="3">
        <v>3067362</v>
      </c>
      <c r="L54" s="3"/>
      <c r="M54" s="3">
        <v>52134</v>
      </c>
      <c r="N54" s="3"/>
      <c r="O54" s="3">
        <v>148</v>
      </c>
      <c r="P54" s="3"/>
      <c r="Q54" s="3">
        <v>935070</v>
      </c>
      <c r="R54" s="3"/>
      <c r="S54" s="3">
        <v>556235</v>
      </c>
      <c r="T54" s="3"/>
      <c r="U54" s="3">
        <v>19492</v>
      </c>
      <c r="V54" s="3"/>
      <c r="W54" s="3">
        <v>360264</v>
      </c>
      <c r="X54" s="3"/>
      <c r="Y54" s="3">
        <v>224246</v>
      </c>
      <c r="Z54" s="3"/>
      <c r="AA54" s="3">
        <v>43465</v>
      </c>
      <c r="AB54" s="3"/>
      <c r="AC54" s="3">
        <v>780040</v>
      </c>
      <c r="AD54" s="3"/>
      <c r="AE54" s="3" t="s">
        <v>219</v>
      </c>
      <c r="AG54" s="103" t="s">
        <v>195</v>
      </c>
      <c r="AI54" s="3">
        <v>0</v>
      </c>
      <c r="AJ54" s="3"/>
      <c r="AK54" s="3">
        <v>163609</v>
      </c>
      <c r="AL54" s="3"/>
      <c r="AM54" s="3"/>
      <c r="AN54" s="3"/>
      <c r="AO54" s="3">
        <v>296477</v>
      </c>
      <c r="AP54" s="3"/>
      <c r="AQ54" s="3">
        <v>0</v>
      </c>
      <c r="AR54" s="3"/>
      <c r="AS54" s="3">
        <v>54560</v>
      </c>
      <c r="AT54" s="3"/>
      <c r="AU54" s="3">
        <v>197653</v>
      </c>
      <c r="AV54" s="3"/>
      <c r="AW54" s="3">
        <v>0</v>
      </c>
      <c r="AX54" s="3"/>
      <c r="AY54" s="3">
        <v>0</v>
      </c>
      <c r="AZ54" s="3"/>
      <c r="BA54" s="3">
        <v>0</v>
      </c>
      <c r="BB54" s="3"/>
      <c r="BC54" s="3">
        <v>0</v>
      </c>
      <c r="BD54" s="3"/>
      <c r="BE54" s="16">
        <f t="shared" si="1"/>
        <v>7906533</v>
      </c>
      <c r="BF54" s="3"/>
      <c r="BG54" s="3">
        <v>0</v>
      </c>
      <c r="BH54" s="3"/>
      <c r="BI54" s="3">
        <v>0</v>
      </c>
      <c r="BJ54" s="3"/>
      <c r="BK54" s="3">
        <v>0</v>
      </c>
      <c r="BL54" s="3"/>
      <c r="BM54" s="3">
        <v>0</v>
      </c>
      <c r="BN54" s="3"/>
      <c r="BO54" s="16">
        <f t="shared" si="3"/>
        <v>7906533</v>
      </c>
      <c r="BP54" s="3" t="s">
        <v>219</v>
      </c>
      <c r="BR54" s="103" t="s">
        <v>195</v>
      </c>
      <c r="BT54" s="16">
        <f>GovRev!AV54-BO54</f>
        <v>-334676</v>
      </c>
      <c r="BU54" s="3"/>
      <c r="BV54" s="3">
        <v>9962427</v>
      </c>
      <c r="BW54" s="3"/>
      <c r="BX54" s="3">
        <v>0</v>
      </c>
      <c r="BY54" s="3"/>
      <c r="BZ54" s="16">
        <f t="shared" si="2"/>
        <v>9627751</v>
      </c>
      <c r="CA54" s="16"/>
      <c r="CB54" s="16">
        <f>-BZ54+GovBS!AE54</f>
        <v>0</v>
      </c>
    </row>
    <row r="55" spans="1:80" s="103" customFormat="1">
      <c r="A55" s="3" t="s">
        <v>272</v>
      </c>
      <c r="C55" s="103" t="s">
        <v>214</v>
      </c>
      <c r="E55" s="103">
        <v>63511</v>
      </c>
      <c r="G55" s="3">
        <v>1768233</v>
      </c>
      <c r="H55" s="3"/>
      <c r="I55" s="3">
        <v>846173</v>
      </c>
      <c r="J55" s="3"/>
      <c r="K55" s="3">
        <v>3297153</v>
      </c>
      <c r="L55" s="3"/>
      <c r="M55" s="3">
        <v>423417</v>
      </c>
      <c r="N55" s="3"/>
      <c r="O55" s="3">
        <v>179661</v>
      </c>
      <c r="P55" s="3"/>
      <c r="Q55" s="3">
        <v>734137</v>
      </c>
      <c r="R55" s="3"/>
      <c r="S55" s="3">
        <v>1007158</v>
      </c>
      <c r="T55" s="3"/>
      <c r="U55" s="3">
        <v>62859</v>
      </c>
      <c r="V55" s="3"/>
      <c r="W55" s="3">
        <v>1337827</v>
      </c>
      <c r="X55" s="3"/>
      <c r="Y55" s="3">
        <v>470019</v>
      </c>
      <c r="Z55" s="3"/>
      <c r="AA55" s="3">
        <v>0</v>
      </c>
      <c r="AB55" s="3"/>
      <c r="AC55" s="3">
        <v>1480535</v>
      </c>
      <c r="AD55" s="3"/>
      <c r="AE55" s="3" t="s">
        <v>272</v>
      </c>
      <c r="AG55" s="103" t="s">
        <v>214</v>
      </c>
      <c r="AI55" s="3">
        <v>25234</v>
      </c>
      <c r="AJ55" s="3"/>
      <c r="AK55" s="3">
        <v>239919</v>
      </c>
      <c r="AL55" s="3"/>
      <c r="AM55" s="3"/>
      <c r="AN55" s="3"/>
      <c r="AO55" s="3">
        <v>0</v>
      </c>
      <c r="AP55" s="3"/>
      <c r="AQ55" s="3">
        <v>337597</v>
      </c>
      <c r="AR55" s="3"/>
      <c r="AS55" s="3">
        <v>65794</v>
      </c>
      <c r="AT55" s="3"/>
      <c r="AU55" s="3">
        <v>27191</v>
      </c>
      <c r="AV55" s="3"/>
      <c r="AW55" s="3">
        <v>0</v>
      </c>
      <c r="AX55" s="3"/>
      <c r="AY55" s="3">
        <v>699783</v>
      </c>
      <c r="AZ55" s="3"/>
      <c r="BA55" s="3">
        <v>169690</v>
      </c>
      <c r="BB55" s="3"/>
      <c r="BC55" s="3">
        <v>0</v>
      </c>
      <c r="BD55" s="3"/>
      <c r="BE55" s="16">
        <f t="shared" si="1"/>
        <v>13172380</v>
      </c>
      <c r="BF55" s="3"/>
      <c r="BG55" s="3">
        <v>1079081</v>
      </c>
      <c r="BH55" s="3"/>
      <c r="BI55" s="3">
        <v>0</v>
      </c>
      <c r="BJ55" s="3"/>
      <c r="BK55" s="3">
        <v>0</v>
      </c>
      <c r="BL55" s="3"/>
      <c r="BM55" s="3">
        <v>0</v>
      </c>
      <c r="BN55" s="3"/>
      <c r="BO55" s="16">
        <f t="shared" si="3"/>
        <v>14251461</v>
      </c>
      <c r="BP55" s="3" t="s">
        <v>272</v>
      </c>
      <c r="BR55" s="103" t="s">
        <v>214</v>
      </c>
      <c r="BT55" s="16">
        <f>GovRev!AV55-BO55</f>
        <v>478920</v>
      </c>
      <c r="BU55" s="3"/>
      <c r="BV55" s="3">
        <v>8688686</v>
      </c>
      <c r="BW55" s="3"/>
      <c r="BX55" s="3">
        <v>0</v>
      </c>
      <c r="BY55" s="3"/>
      <c r="BZ55" s="16">
        <f t="shared" si="2"/>
        <v>9167606</v>
      </c>
      <c r="CA55" s="16"/>
      <c r="CB55" s="16">
        <f>-BZ55+GovBS!AE55</f>
        <v>0</v>
      </c>
    </row>
    <row r="56" spans="1:80" s="103" customFormat="1">
      <c r="A56" s="3" t="s">
        <v>285</v>
      </c>
      <c r="C56" s="103" t="s">
        <v>145</v>
      </c>
      <c r="E56" s="103">
        <v>51607</v>
      </c>
      <c r="G56" s="3">
        <v>233114</v>
      </c>
      <c r="H56" s="3"/>
      <c r="I56" s="3">
        <v>0</v>
      </c>
      <c r="J56" s="3"/>
      <c r="K56" s="3">
        <v>3498572</v>
      </c>
      <c r="L56" s="3"/>
      <c r="M56" s="3">
        <v>305556</v>
      </c>
      <c r="N56" s="3"/>
      <c r="O56" s="3">
        <v>0</v>
      </c>
      <c r="P56" s="3"/>
      <c r="Q56" s="3">
        <v>341808</v>
      </c>
      <c r="R56" s="3"/>
      <c r="S56" s="3">
        <v>97532</v>
      </c>
      <c r="T56" s="3"/>
      <c r="U56" s="3">
        <v>111465</v>
      </c>
      <c r="V56" s="3"/>
      <c r="W56" s="3">
        <v>699874</v>
      </c>
      <c r="X56" s="3"/>
      <c r="Y56" s="3">
        <v>419004</v>
      </c>
      <c r="Z56" s="3"/>
      <c r="AA56" s="3">
        <v>68934</v>
      </c>
      <c r="AB56" s="3"/>
      <c r="AC56" s="3">
        <v>1150191</v>
      </c>
      <c r="AD56" s="3"/>
      <c r="AE56" s="3" t="s">
        <v>285</v>
      </c>
      <c r="AG56" s="103" t="s">
        <v>145</v>
      </c>
      <c r="AI56" s="3">
        <v>2038</v>
      </c>
      <c r="AJ56" s="3"/>
      <c r="AK56" s="3">
        <v>168606</v>
      </c>
      <c r="AL56" s="3"/>
      <c r="AM56" s="3"/>
      <c r="AN56" s="3"/>
      <c r="AO56" s="3">
        <v>0</v>
      </c>
      <c r="AP56" s="3"/>
      <c r="AQ56" s="3">
        <v>202881</v>
      </c>
      <c r="AR56" s="3"/>
      <c r="AS56" s="3">
        <v>7072</v>
      </c>
      <c r="AT56" s="3"/>
      <c r="AU56" s="3">
        <v>0</v>
      </c>
      <c r="AV56" s="3"/>
      <c r="AW56" s="3">
        <v>0</v>
      </c>
      <c r="AX56" s="3"/>
      <c r="AY56" s="3">
        <v>0</v>
      </c>
      <c r="AZ56" s="3"/>
      <c r="BA56" s="3">
        <v>0</v>
      </c>
      <c r="BB56" s="3"/>
      <c r="BC56" s="3">
        <v>0</v>
      </c>
      <c r="BD56" s="3"/>
      <c r="BE56" s="16">
        <f t="shared" si="1"/>
        <v>7306647</v>
      </c>
      <c r="BF56" s="3"/>
      <c r="BG56" s="3">
        <v>225000</v>
      </c>
      <c r="BH56" s="3"/>
      <c r="BI56" s="3">
        <v>0</v>
      </c>
      <c r="BJ56" s="3"/>
      <c r="BK56" s="3">
        <v>0</v>
      </c>
      <c r="BL56" s="3"/>
      <c r="BM56" s="3">
        <v>0</v>
      </c>
      <c r="BN56" s="3"/>
      <c r="BO56" s="16">
        <f t="shared" si="3"/>
        <v>7531647</v>
      </c>
      <c r="BP56" s="3" t="s">
        <v>285</v>
      </c>
      <c r="BR56" s="103" t="s">
        <v>145</v>
      </c>
      <c r="BT56" s="16">
        <f>GovRev!AV56-BO56</f>
        <v>580866</v>
      </c>
      <c r="BU56" s="3"/>
      <c r="BV56" s="3">
        <v>3286904</v>
      </c>
      <c r="BW56" s="3"/>
      <c r="BX56" s="3">
        <v>0</v>
      </c>
      <c r="BY56" s="3"/>
      <c r="BZ56" s="16">
        <f t="shared" si="2"/>
        <v>3867770</v>
      </c>
      <c r="CA56" s="16"/>
      <c r="CB56" s="16">
        <f>-BZ56+GovBS!AE56</f>
        <v>0</v>
      </c>
    </row>
    <row r="57" spans="1:80" s="103" customFormat="1">
      <c r="A57" s="3" t="s">
        <v>215</v>
      </c>
      <c r="C57" s="103" t="s">
        <v>216</v>
      </c>
      <c r="E57" s="103">
        <v>65268</v>
      </c>
      <c r="G57" s="3">
        <v>289553</v>
      </c>
      <c r="H57" s="3"/>
      <c r="I57" s="3">
        <v>0</v>
      </c>
      <c r="J57" s="3"/>
      <c r="K57" s="3">
        <v>4923799</v>
      </c>
      <c r="L57" s="3"/>
      <c r="M57" s="3">
        <v>177105</v>
      </c>
      <c r="N57" s="3"/>
      <c r="O57" s="3">
        <v>0</v>
      </c>
      <c r="P57" s="3"/>
      <c r="Q57" s="3">
        <v>609346</v>
      </c>
      <c r="R57" s="3"/>
      <c r="S57" s="3">
        <v>257598</v>
      </c>
      <c r="T57" s="3"/>
      <c r="U57" s="3">
        <v>96280</v>
      </c>
      <c r="V57" s="3"/>
      <c r="W57" s="3">
        <v>1210151</v>
      </c>
      <c r="X57" s="3"/>
      <c r="Y57" s="3">
        <v>413315</v>
      </c>
      <c r="Z57" s="3"/>
      <c r="AA57" s="3">
        <v>160082</v>
      </c>
      <c r="AB57" s="3"/>
      <c r="AC57" s="3">
        <v>918471</v>
      </c>
      <c r="AD57" s="3"/>
      <c r="AE57" s="3" t="s">
        <v>215</v>
      </c>
      <c r="AG57" s="103" t="s">
        <v>216</v>
      </c>
      <c r="AI57" s="3">
        <v>5561</v>
      </c>
      <c r="AJ57" s="3"/>
      <c r="AK57" s="3">
        <v>1421144</v>
      </c>
      <c r="AL57" s="3"/>
      <c r="AM57" s="3"/>
      <c r="AN57" s="3"/>
      <c r="AO57" s="3">
        <v>0</v>
      </c>
      <c r="AP57" s="3"/>
      <c r="AQ57" s="3">
        <v>1853</v>
      </c>
      <c r="AR57" s="3"/>
      <c r="AS57" s="3">
        <v>39079</v>
      </c>
      <c r="AT57" s="3"/>
      <c r="AU57" s="3">
        <v>2697986</v>
      </c>
      <c r="AV57" s="3"/>
      <c r="AW57" s="3">
        <v>0</v>
      </c>
      <c r="AX57" s="3"/>
      <c r="AY57" s="3">
        <v>103751</v>
      </c>
      <c r="AZ57" s="3"/>
      <c r="BA57" s="3">
        <v>69309</v>
      </c>
      <c r="BB57" s="3"/>
      <c r="BC57" s="3">
        <v>0</v>
      </c>
      <c r="BD57" s="3"/>
      <c r="BE57" s="16">
        <f t="shared" si="1"/>
        <v>13394383</v>
      </c>
      <c r="BF57" s="3"/>
      <c r="BG57" s="3">
        <v>298047</v>
      </c>
      <c r="BH57" s="3"/>
      <c r="BI57" s="3">
        <v>0</v>
      </c>
      <c r="BJ57" s="3"/>
      <c r="BK57" s="3">
        <v>0</v>
      </c>
      <c r="BL57" s="3"/>
      <c r="BM57" s="3">
        <v>0</v>
      </c>
      <c r="BN57" s="3"/>
      <c r="BO57" s="16">
        <f t="shared" si="3"/>
        <v>13692430</v>
      </c>
      <c r="BP57" s="3" t="s">
        <v>215</v>
      </c>
      <c r="BR57" s="103" t="s">
        <v>216</v>
      </c>
      <c r="BT57" s="16">
        <f>GovRev!AV57-BO57</f>
        <v>58070</v>
      </c>
      <c r="BU57" s="3"/>
      <c r="BV57" s="3">
        <v>3767579</v>
      </c>
      <c r="BW57" s="3"/>
      <c r="BX57" s="3">
        <v>0</v>
      </c>
      <c r="BY57" s="3"/>
      <c r="BZ57" s="16">
        <f t="shared" si="2"/>
        <v>3825649</v>
      </c>
      <c r="CA57" s="16"/>
      <c r="CB57" s="16">
        <f>-BZ57+GovBS!AE57</f>
        <v>0</v>
      </c>
    </row>
    <row r="58" spans="1:80" s="103" customFormat="1">
      <c r="A58" s="3" t="s">
        <v>366</v>
      </c>
      <c r="C58" s="103" t="s">
        <v>197</v>
      </c>
      <c r="E58" s="103">
        <v>51631</v>
      </c>
      <c r="G58" s="3">
        <v>2167402</v>
      </c>
      <c r="H58" s="3"/>
      <c r="I58" s="3">
        <v>790135</v>
      </c>
      <c r="J58" s="3"/>
      <c r="K58" s="3">
        <v>4860666</v>
      </c>
      <c r="L58" s="3"/>
      <c r="M58" s="3">
        <v>193203</v>
      </c>
      <c r="N58" s="3"/>
      <c r="O58" s="3">
        <v>0</v>
      </c>
      <c r="P58" s="3"/>
      <c r="Q58" s="3">
        <v>1266875</v>
      </c>
      <c r="R58" s="3"/>
      <c r="S58" s="3">
        <v>342214</v>
      </c>
      <c r="T58" s="3"/>
      <c r="U58" s="3">
        <v>66272</v>
      </c>
      <c r="V58" s="3"/>
      <c r="W58" s="3">
        <v>2081782</v>
      </c>
      <c r="X58" s="3"/>
      <c r="Y58" s="3">
        <v>573818</v>
      </c>
      <c r="Z58" s="3"/>
      <c r="AA58" s="3">
        <v>6988</v>
      </c>
      <c r="AB58" s="3"/>
      <c r="AC58" s="3">
        <v>1157430</v>
      </c>
      <c r="AD58" s="3"/>
      <c r="AE58" s="3" t="s">
        <v>366</v>
      </c>
      <c r="AG58" s="103" t="s">
        <v>197</v>
      </c>
      <c r="AI58" s="3">
        <v>60127</v>
      </c>
      <c r="AJ58" s="3"/>
      <c r="AK58" s="3">
        <v>99540</v>
      </c>
      <c r="AL58" s="3"/>
      <c r="AM58" s="3"/>
      <c r="AN58" s="3"/>
      <c r="AO58" s="3">
        <v>429520</v>
      </c>
      <c r="AP58" s="3"/>
      <c r="AQ58" s="3">
        <v>1861</v>
      </c>
      <c r="AR58" s="3"/>
      <c r="AS58" s="3">
        <v>118688</v>
      </c>
      <c r="AT58" s="3"/>
      <c r="AU58" s="3">
        <v>81152</v>
      </c>
      <c r="AV58" s="3"/>
      <c r="AW58" s="3">
        <v>0</v>
      </c>
      <c r="AX58" s="3"/>
      <c r="AY58" s="3">
        <v>172000</v>
      </c>
      <c r="AZ58" s="3"/>
      <c r="BA58" s="3">
        <v>264816</v>
      </c>
      <c r="BB58" s="3"/>
      <c r="BC58" s="3">
        <v>0</v>
      </c>
      <c r="BD58" s="3"/>
      <c r="BE58" s="16">
        <f t="shared" si="1"/>
        <v>14734489</v>
      </c>
      <c r="BF58" s="3"/>
      <c r="BG58" s="3">
        <v>299510</v>
      </c>
      <c r="BH58" s="3"/>
      <c r="BI58" s="3">
        <v>0</v>
      </c>
      <c r="BJ58" s="3"/>
      <c r="BK58" s="3">
        <v>0</v>
      </c>
      <c r="BL58" s="3"/>
      <c r="BM58" s="3">
        <v>0</v>
      </c>
      <c r="BN58" s="3"/>
      <c r="BO58" s="16">
        <f t="shared" si="3"/>
        <v>15033999</v>
      </c>
      <c r="BP58" s="3" t="s">
        <v>366</v>
      </c>
      <c r="BR58" s="103" t="s">
        <v>197</v>
      </c>
      <c r="BT58" s="16">
        <f>GovRev!AV58-BO58</f>
        <v>-629218</v>
      </c>
      <c r="BU58" s="3"/>
      <c r="BV58" s="3">
        <v>8619678</v>
      </c>
      <c r="BW58" s="3"/>
      <c r="BX58" s="3">
        <v>0</v>
      </c>
      <c r="BY58" s="3"/>
      <c r="BZ58" s="16">
        <f t="shared" si="2"/>
        <v>7990460</v>
      </c>
      <c r="CA58" s="16"/>
      <c r="CB58" s="16">
        <f>-BZ58+GovBS!AE58</f>
        <v>0</v>
      </c>
    </row>
    <row r="59" spans="1:80" s="103" customFormat="1">
      <c r="A59" s="3" t="s">
        <v>206</v>
      </c>
      <c r="C59" s="103" t="s">
        <v>154</v>
      </c>
      <c r="E59" s="103">
        <v>62802</v>
      </c>
      <c r="G59" s="3">
        <v>250065</v>
      </c>
      <c r="H59" s="3"/>
      <c r="I59" s="3">
        <v>138134</v>
      </c>
      <c r="J59" s="3"/>
      <c r="K59" s="3">
        <v>3668991</v>
      </c>
      <c r="L59" s="3"/>
      <c r="M59" s="3">
        <v>348553</v>
      </c>
      <c r="N59" s="3"/>
      <c r="O59" s="3">
        <v>0</v>
      </c>
      <c r="P59" s="3"/>
      <c r="Q59" s="3">
        <v>481755</v>
      </c>
      <c r="R59" s="3"/>
      <c r="S59" s="3">
        <v>164274</v>
      </c>
      <c r="T59" s="3"/>
      <c r="U59" s="3">
        <v>70536</v>
      </c>
      <c r="V59" s="3"/>
      <c r="W59" s="3">
        <v>401312</v>
      </c>
      <c r="X59" s="3"/>
      <c r="Y59" s="3">
        <v>475558</v>
      </c>
      <c r="Z59" s="3"/>
      <c r="AA59" s="3">
        <v>0</v>
      </c>
      <c r="AB59" s="3"/>
      <c r="AC59" s="3">
        <v>745241</v>
      </c>
      <c r="AD59" s="3"/>
      <c r="AE59" s="3" t="s">
        <v>206</v>
      </c>
      <c r="AG59" s="103" t="s">
        <v>154</v>
      </c>
      <c r="AI59" s="3">
        <v>0</v>
      </c>
      <c r="AJ59" s="3"/>
      <c r="AK59" s="3">
        <v>95167</v>
      </c>
      <c r="AL59" s="3"/>
      <c r="AM59" s="3"/>
      <c r="AN59" s="3"/>
      <c r="AO59" s="3">
        <v>0</v>
      </c>
      <c r="AP59" s="3"/>
      <c r="AQ59" s="3">
        <v>212190</v>
      </c>
      <c r="AR59" s="3"/>
      <c r="AS59" s="3">
        <v>56397</v>
      </c>
      <c r="AT59" s="3"/>
      <c r="AU59" s="3">
        <v>0</v>
      </c>
      <c r="AV59" s="3"/>
      <c r="AW59" s="3">
        <v>0</v>
      </c>
      <c r="AX59" s="3"/>
      <c r="AY59" s="3">
        <v>0</v>
      </c>
      <c r="AZ59" s="3"/>
      <c r="BA59" s="3">
        <v>0</v>
      </c>
      <c r="BB59" s="3"/>
      <c r="BC59" s="3">
        <v>0</v>
      </c>
      <c r="BD59" s="3"/>
      <c r="BE59" s="16">
        <f t="shared" si="1"/>
        <v>7108173</v>
      </c>
      <c r="BF59" s="3"/>
      <c r="BG59" s="3">
        <v>60000</v>
      </c>
      <c r="BH59" s="3"/>
      <c r="BI59" s="3">
        <v>0</v>
      </c>
      <c r="BJ59" s="3"/>
      <c r="BK59" s="3">
        <v>0</v>
      </c>
      <c r="BL59" s="3"/>
      <c r="BM59" s="3">
        <v>0</v>
      </c>
      <c r="BN59" s="3"/>
      <c r="BO59" s="16">
        <f t="shared" si="3"/>
        <v>7168173</v>
      </c>
      <c r="BP59" s="3" t="s">
        <v>206</v>
      </c>
      <c r="BR59" s="103" t="s">
        <v>154</v>
      </c>
      <c r="BT59" s="16">
        <f>GovRev!AV59-BO59</f>
        <v>1135458</v>
      </c>
      <c r="BU59" s="3"/>
      <c r="BV59" s="3">
        <v>10641081</v>
      </c>
      <c r="BW59" s="3"/>
      <c r="BX59" s="3">
        <v>0</v>
      </c>
      <c r="BY59" s="3"/>
      <c r="BZ59" s="16">
        <f t="shared" si="2"/>
        <v>11776539</v>
      </c>
      <c r="CA59" s="16"/>
      <c r="CB59" s="16">
        <f>-BZ59+GovBS!AE59</f>
        <v>0</v>
      </c>
    </row>
    <row r="60" spans="1:80" s="103" customFormat="1">
      <c r="A60" s="3" t="s">
        <v>354</v>
      </c>
      <c r="C60" s="103" t="s">
        <v>180</v>
      </c>
      <c r="E60" s="103">
        <v>62125</v>
      </c>
      <c r="G60" s="3">
        <v>1755035</v>
      </c>
      <c r="H60" s="3"/>
      <c r="I60" s="3">
        <v>368530</v>
      </c>
      <c r="J60" s="3"/>
      <c r="K60" s="3">
        <v>8072762</v>
      </c>
      <c r="L60" s="3"/>
      <c r="M60" s="3">
        <v>1276100</v>
      </c>
      <c r="N60" s="3"/>
      <c r="O60" s="3">
        <v>128755</v>
      </c>
      <c r="P60" s="3"/>
      <c r="Q60" s="3">
        <v>1660223</v>
      </c>
      <c r="R60" s="3"/>
      <c r="S60" s="3">
        <v>1033299</v>
      </c>
      <c r="T60" s="3"/>
      <c r="U60" s="3">
        <v>44977</v>
      </c>
      <c r="V60" s="3"/>
      <c r="W60" s="3">
        <v>1141688</v>
      </c>
      <c r="X60" s="3"/>
      <c r="Y60" s="3">
        <v>485681</v>
      </c>
      <c r="Z60" s="3"/>
      <c r="AA60" s="3">
        <v>180450</v>
      </c>
      <c r="AB60" s="3"/>
      <c r="AC60" s="3">
        <v>1371425</v>
      </c>
      <c r="AD60" s="3"/>
      <c r="AE60" s="3" t="s">
        <v>354</v>
      </c>
      <c r="AG60" s="103" t="s">
        <v>180</v>
      </c>
      <c r="AI60" s="3">
        <v>69431</v>
      </c>
      <c r="AJ60" s="3"/>
      <c r="AK60" s="3">
        <v>1019741</v>
      </c>
      <c r="AL60" s="3"/>
      <c r="AM60" s="3"/>
      <c r="AN60" s="3"/>
      <c r="AO60" s="3">
        <v>450614</v>
      </c>
      <c r="AP60" s="3"/>
      <c r="AQ60" s="3">
        <f>643359+21803</f>
        <v>665162</v>
      </c>
      <c r="AR60" s="3"/>
      <c r="AS60" s="3">
        <v>36735</v>
      </c>
      <c r="AT60" s="3"/>
      <c r="AU60" s="3">
        <v>4876393</v>
      </c>
      <c r="AV60" s="3"/>
      <c r="AW60" s="3">
        <v>0</v>
      </c>
      <c r="AX60" s="3"/>
      <c r="AY60" s="3">
        <v>775000</v>
      </c>
      <c r="AZ60" s="3"/>
      <c r="BA60" s="3">
        <v>143163</v>
      </c>
      <c r="BB60" s="3"/>
      <c r="BC60" s="3">
        <v>0</v>
      </c>
      <c r="BD60" s="3"/>
      <c r="BE60" s="16">
        <f t="shared" si="1"/>
        <v>25555164</v>
      </c>
      <c r="BF60" s="3"/>
      <c r="BG60" s="3">
        <v>609252</v>
      </c>
      <c r="BH60" s="3"/>
      <c r="BI60" s="3">
        <v>0</v>
      </c>
      <c r="BJ60" s="3"/>
      <c r="BK60" s="3">
        <v>0</v>
      </c>
      <c r="BL60" s="3"/>
      <c r="BM60" s="3">
        <v>0</v>
      </c>
      <c r="BN60" s="3"/>
      <c r="BO60" s="16">
        <f t="shared" si="3"/>
        <v>26164416</v>
      </c>
      <c r="BP60" s="3" t="s">
        <v>354</v>
      </c>
      <c r="BR60" s="103" t="s">
        <v>180</v>
      </c>
      <c r="BT60" s="16">
        <f>GovRev!AV60-BO60</f>
        <v>-4297077</v>
      </c>
      <c r="BU60" s="3"/>
      <c r="BV60" s="3">
        <v>10838685</v>
      </c>
      <c r="BW60" s="3"/>
      <c r="BX60" s="3">
        <v>0</v>
      </c>
      <c r="BY60" s="3"/>
      <c r="BZ60" s="16">
        <f t="shared" si="2"/>
        <v>6541608</v>
      </c>
      <c r="CA60" s="16"/>
      <c r="CB60" s="16">
        <f>-BZ60+GovBS!AE60</f>
        <v>0</v>
      </c>
    </row>
    <row r="61" spans="1:80" s="103" customFormat="1">
      <c r="A61" s="3" t="s">
        <v>250</v>
      </c>
      <c r="C61" s="103" t="s">
        <v>191</v>
      </c>
      <c r="E61" s="103">
        <v>51458</v>
      </c>
      <c r="G61" s="3">
        <v>161045</v>
      </c>
      <c r="H61" s="3"/>
      <c r="I61" s="3">
        <v>185148</v>
      </c>
      <c r="J61" s="3"/>
      <c r="K61" s="3">
        <v>8138897</v>
      </c>
      <c r="L61" s="3"/>
      <c r="M61" s="3">
        <v>578205</v>
      </c>
      <c r="N61" s="3"/>
      <c r="O61" s="3">
        <v>0</v>
      </c>
      <c r="P61" s="3"/>
      <c r="Q61" s="3">
        <v>552401</v>
      </c>
      <c r="R61" s="3"/>
      <c r="S61" s="3">
        <v>779922</v>
      </c>
      <c r="T61" s="3"/>
      <c r="U61" s="3">
        <v>46946</v>
      </c>
      <c r="V61" s="3"/>
      <c r="W61" s="3">
        <v>895366</v>
      </c>
      <c r="X61" s="3"/>
      <c r="Y61" s="3">
        <v>492457</v>
      </c>
      <c r="Z61" s="3"/>
      <c r="AA61" s="3">
        <v>0</v>
      </c>
      <c r="AB61" s="3"/>
      <c r="AC61" s="3">
        <v>1325384</v>
      </c>
      <c r="AD61" s="3"/>
      <c r="AE61" s="3" t="s">
        <v>250</v>
      </c>
      <c r="AG61" s="103" t="s">
        <v>191</v>
      </c>
      <c r="AI61" s="3">
        <v>66208</v>
      </c>
      <c r="AJ61" s="3"/>
      <c r="AK61" s="3">
        <v>0</v>
      </c>
      <c r="AL61" s="3"/>
      <c r="AM61" s="3"/>
      <c r="AN61" s="3"/>
      <c r="AO61" s="3">
        <v>161951</v>
      </c>
      <c r="AP61" s="3"/>
      <c r="AQ61" s="3">
        <v>0</v>
      </c>
      <c r="AR61" s="3"/>
      <c r="AS61" s="3">
        <v>14614</v>
      </c>
      <c r="AT61" s="3"/>
      <c r="AU61" s="3">
        <f>6690003+73364</f>
        <v>6763367</v>
      </c>
      <c r="AV61" s="3"/>
      <c r="AW61" s="3">
        <v>0</v>
      </c>
      <c r="AX61" s="3"/>
      <c r="AY61" s="3">
        <v>361428</v>
      </c>
      <c r="AZ61" s="3"/>
      <c r="BA61" s="3">
        <v>99969</v>
      </c>
      <c r="BB61" s="3"/>
      <c r="BC61" s="3">
        <v>0</v>
      </c>
      <c r="BD61" s="3"/>
      <c r="BE61" s="16">
        <f t="shared" si="1"/>
        <v>20623308</v>
      </c>
      <c r="BF61" s="3"/>
      <c r="BG61" s="3">
        <v>1209321</v>
      </c>
      <c r="BH61" s="3"/>
      <c r="BI61" s="3">
        <v>0</v>
      </c>
      <c r="BJ61" s="3"/>
      <c r="BK61" s="3">
        <v>0</v>
      </c>
      <c r="BL61" s="3"/>
      <c r="BM61" s="3">
        <v>0</v>
      </c>
      <c r="BN61" s="3"/>
      <c r="BO61" s="16">
        <f t="shared" si="3"/>
        <v>21832629</v>
      </c>
      <c r="BP61" s="3" t="s">
        <v>250</v>
      </c>
      <c r="BR61" s="103" t="s">
        <v>191</v>
      </c>
      <c r="BT61" s="16">
        <f>GovRev!AV61-BO61</f>
        <v>-4974839</v>
      </c>
      <c r="BU61" s="3"/>
      <c r="BV61" s="3">
        <v>18759644</v>
      </c>
      <c r="BW61" s="3"/>
      <c r="BX61" s="3">
        <v>0</v>
      </c>
      <c r="BY61" s="3"/>
      <c r="BZ61" s="16">
        <f t="shared" si="2"/>
        <v>13784805</v>
      </c>
      <c r="CA61" s="16"/>
      <c r="CB61" s="16">
        <f>-BZ61+GovBS!AE61</f>
        <v>0</v>
      </c>
    </row>
    <row r="62" spans="1:80" s="103" customFormat="1">
      <c r="A62" s="3" t="s">
        <v>251</v>
      </c>
      <c r="C62" s="103" t="s">
        <v>200</v>
      </c>
      <c r="E62" s="103">
        <v>51672</v>
      </c>
      <c r="G62" s="3">
        <v>0</v>
      </c>
      <c r="H62" s="3"/>
      <c r="I62" s="3">
        <v>0</v>
      </c>
      <c r="J62" s="3"/>
      <c r="K62" s="3">
        <v>4097730</v>
      </c>
      <c r="L62" s="3"/>
      <c r="M62" s="3">
        <v>619800</v>
      </c>
      <c r="N62" s="3"/>
      <c r="O62" s="3">
        <v>0</v>
      </c>
      <c r="P62" s="3"/>
      <c r="Q62" s="3">
        <v>500465</v>
      </c>
      <c r="R62" s="3"/>
      <c r="S62" s="3">
        <v>269714</v>
      </c>
      <c r="T62" s="3"/>
      <c r="U62" s="3">
        <v>101595</v>
      </c>
      <c r="V62" s="3"/>
      <c r="W62" s="3">
        <v>485924</v>
      </c>
      <c r="X62" s="3"/>
      <c r="Y62" s="3">
        <v>381154</v>
      </c>
      <c r="Z62" s="3"/>
      <c r="AA62" s="3">
        <v>28002</v>
      </c>
      <c r="AB62" s="3"/>
      <c r="AC62" s="3">
        <v>720078</v>
      </c>
      <c r="AD62" s="3"/>
      <c r="AE62" s="3" t="s">
        <v>251</v>
      </c>
      <c r="AG62" s="103" t="s">
        <v>200</v>
      </c>
      <c r="AI62" s="3">
        <v>11016</v>
      </c>
      <c r="AJ62" s="3"/>
      <c r="AK62" s="3">
        <v>735743</v>
      </c>
      <c r="AL62" s="3"/>
      <c r="AM62" s="3"/>
      <c r="AN62" s="3"/>
      <c r="AO62" s="3">
        <v>188930</v>
      </c>
      <c r="AP62" s="3"/>
      <c r="AQ62" s="3">
        <v>40</v>
      </c>
      <c r="AR62" s="3"/>
      <c r="AS62" s="3">
        <v>67365</v>
      </c>
      <c r="AT62" s="3"/>
      <c r="AU62" s="3">
        <v>9917504</v>
      </c>
      <c r="AV62" s="3"/>
      <c r="AW62" s="3">
        <v>0</v>
      </c>
      <c r="AX62" s="3"/>
      <c r="AY62" s="3">
        <v>492246</v>
      </c>
      <c r="AZ62" s="3"/>
      <c r="BA62" s="3">
        <v>874479</v>
      </c>
      <c r="BB62" s="3"/>
      <c r="BC62" s="3">
        <v>0</v>
      </c>
      <c r="BD62" s="3"/>
      <c r="BE62" s="16">
        <f t="shared" si="1"/>
        <v>19491785</v>
      </c>
      <c r="BF62" s="3"/>
      <c r="BG62" s="3">
        <v>350040</v>
      </c>
      <c r="BH62" s="3"/>
      <c r="BI62" s="3">
        <v>0</v>
      </c>
      <c r="BJ62" s="3"/>
      <c r="BK62" s="3">
        <v>0</v>
      </c>
      <c r="BL62" s="3"/>
      <c r="BM62" s="3">
        <v>0</v>
      </c>
      <c r="BN62" s="3"/>
      <c r="BO62" s="16">
        <f t="shared" si="3"/>
        <v>19841825</v>
      </c>
      <c r="BP62" s="3" t="s">
        <v>251</v>
      </c>
      <c r="BR62" s="103" t="s">
        <v>200</v>
      </c>
      <c r="BT62" s="16">
        <f>GovRev!AV62-BO62</f>
        <v>-7752512</v>
      </c>
      <c r="BU62" s="3"/>
      <c r="BV62" s="3">
        <v>16404028</v>
      </c>
      <c r="BW62" s="3"/>
      <c r="BX62" s="3">
        <v>0</v>
      </c>
      <c r="BY62" s="3"/>
      <c r="BZ62" s="16">
        <f t="shared" si="2"/>
        <v>8651516</v>
      </c>
      <c r="CA62" s="16"/>
      <c r="CB62" s="16">
        <f>-BZ62+GovBS!AE62</f>
        <v>0</v>
      </c>
    </row>
    <row r="63" spans="1:80" s="103" customFormat="1">
      <c r="A63" s="3" t="s">
        <v>385</v>
      </c>
      <c r="C63" s="103" t="s">
        <v>201</v>
      </c>
      <c r="E63" s="103">
        <v>51474</v>
      </c>
      <c r="G63" s="3">
        <v>1361</v>
      </c>
      <c r="H63" s="3"/>
      <c r="I63" s="3">
        <v>167159</v>
      </c>
      <c r="J63" s="3"/>
      <c r="K63" s="3">
        <v>6667466</v>
      </c>
      <c r="L63" s="3"/>
      <c r="M63" s="3">
        <v>2163613</v>
      </c>
      <c r="N63" s="3"/>
      <c r="O63" s="3">
        <v>0</v>
      </c>
      <c r="P63" s="3"/>
      <c r="Q63" s="3">
        <v>974976</v>
      </c>
      <c r="R63" s="3"/>
      <c r="S63" s="3">
        <v>516953</v>
      </c>
      <c r="T63" s="3"/>
      <c r="U63" s="3">
        <v>21800</v>
      </c>
      <c r="V63" s="3"/>
      <c r="W63" s="3">
        <v>1584619</v>
      </c>
      <c r="X63" s="3"/>
      <c r="Y63" s="3">
        <v>510864</v>
      </c>
      <c r="Z63" s="3"/>
      <c r="AA63" s="3">
        <v>17979</v>
      </c>
      <c r="AB63" s="3"/>
      <c r="AC63" s="3">
        <v>1355501</v>
      </c>
      <c r="AD63" s="3"/>
      <c r="AE63" s="3" t="s">
        <v>385</v>
      </c>
      <c r="AG63" s="103" t="s">
        <v>201</v>
      </c>
      <c r="AI63" s="3">
        <v>80183</v>
      </c>
      <c r="AJ63" s="3"/>
      <c r="AK63" s="3">
        <v>1809286</v>
      </c>
      <c r="AL63" s="3"/>
      <c r="AM63" s="3"/>
      <c r="AN63" s="3"/>
      <c r="AO63" s="3">
        <v>0</v>
      </c>
      <c r="AP63" s="3"/>
      <c r="AQ63" s="3">
        <v>416898</v>
      </c>
      <c r="AR63" s="3"/>
      <c r="AS63" s="3">
        <v>86513</v>
      </c>
      <c r="AT63" s="3"/>
      <c r="AU63" s="3">
        <v>349359</v>
      </c>
      <c r="AV63" s="3"/>
      <c r="AW63" s="3">
        <v>0</v>
      </c>
      <c r="AX63" s="3"/>
      <c r="AY63" s="3">
        <v>511262</v>
      </c>
      <c r="AZ63" s="3"/>
      <c r="BA63" s="3">
        <v>250815</v>
      </c>
      <c r="BB63" s="3"/>
      <c r="BC63" s="3">
        <v>0</v>
      </c>
      <c r="BD63" s="3"/>
      <c r="BE63" s="16">
        <f t="shared" si="1"/>
        <v>17486607</v>
      </c>
      <c r="BF63" s="3"/>
      <c r="BG63" s="3">
        <v>709841</v>
      </c>
      <c r="BH63" s="3"/>
      <c r="BI63" s="3">
        <v>0</v>
      </c>
      <c r="BJ63" s="3"/>
      <c r="BK63" s="3">
        <v>0</v>
      </c>
      <c r="BL63" s="3"/>
      <c r="BM63" s="3">
        <v>0</v>
      </c>
      <c r="BN63" s="3"/>
      <c r="BO63" s="16">
        <f t="shared" si="3"/>
        <v>18196448</v>
      </c>
      <c r="BP63" s="3" t="s">
        <v>385</v>
      </c>
      <c r="BR63" s="103" t="s">
        <v>201</v>
      </c>
      <c r="BT63" s="16">
        <f>GovRev!AV63-BO63</f>
        <v>2832843</v>
      </c>
      <c r="BU63" s="3"/>
      <c r="BV63" s="3">
        <f>6148680+862735+8090520+288911</f>
        <v>15390846</v>
      </c>
      <c r="BW63" s="3"/>
      <c r="BX63" s="3">
        <v>0</v>
      </c>
      <c r="BY63" s="3"/>
      <c r="BZ63" s="16">
        <f t="shared" si="2"/>
        <v>18223689</v>
      </c>
      <c r="CA63" s="16"/>
      <c r="CB63" s="16">
        <f>-BZ63+GovBS!AE63</f>
        <v>0</v>
      </c>
    </row>
    <row r="64" spans="1:80" s="103" customFormat="1">
      <c r="A64" s="3" t="s">
        <v>264</v>
      </c>
      <c r="C64" s="103" t="s">
        <v>202</v>
      </c>
      <c r="E64" s="103">
        <v>51698</v>
      </c>
      <c r="G64" s="3">
        <v>896745</v>
      </c>
      <c r="H64" s="3"/>
      <c r="I64" s="3">
        <v>0</v>
      </c>
      <c r="J64" s="3"/>
      <c r="K64" s="3">
        <v>2210508</v>
      </c>
      <c r="L64" s="3"/>
      <c r="M64" s="3">
        <v>257757</v>
      </c>
      <c r="N64" s="3"/>
      <c r="O64" s="3">
        <v>0</v>
      </c>
      <c r="P64" s="3"/>
      <c r="Q64" s="3">
        <v>224497</v>
      </c>
      <c r="R64" s="3"/>
      <c r="S64" s="3">
        <v>274950</v>
      </c>
      <c r="T64" s="3"/>
      <c r="U64" s="3">
        <v>33090</v>
      </c>
      <c r="V64" s="3"/>
      <c r="W64" s="3">
        <v>466681</v>
      </c>
      <c r="X64" s="3"/>
      <c r="Y64" s="3">
        <v>335649</v>
      </c>
      <c r="Z64" s="3"/>
      <c r="AA64" s="3">
        <v>23506</v>
      </c>
      <c r="AB64" s="3"/>
      <c r="AC64" s="3">
        <v>667394</v>
      </c>
      <c r="AD64" s="3"/>
      <c r="AE64" s="3" t="s">
        <v>264</v>
      </c>
      <c r="AG64" s="103" t="s">
        <v>202</v>
      </c>
      <c r="AI64" s="3">
        <v>4469</v>
      </c>
      <c r="AJ64" s="3"/>
      <c r="AK64" s="3">
        <v>419467</v>
      </c>
      <c r="AL64" s="3"/>
      <c r="AM64" s="3"/>
      <c r="AN64" s="3"/>
      <c r="AO64" s="3">
        <v>0</v>
      </c>
      <c r="AP64" s="3"/>
      <c r="AQ64" s="3">
        <v>607915</v>
      </c>
      <c r="AR64" s="3"/>
      <c r="AS64" s="3">
        <v>4056</v>
      </c>
      <c r="AT64" s="3"/>
      <c r="AU64" s="3">
        <v>0</v>
      </c>
      <c r="AV64" s="3"/>
      <c r="AW64" s="3">
        <v>0</v>
      </c>
      <c r="AX64" s="3"/>
      <c r="AY64" s="3">
        <v>120850</v>
      </c>
      <c r="AZ64" s="3"/>
      <c r="BA64" s="3">
        <v>50931</v>
      </c>
      <c r="BB64" s="3"/>
      <c r="BC64" s="3">
        <v>0</v>
      </c>
      <c r="BD64" s="3"/>
      <c r="BE64" s="16">
        <f t="shared" si="1"/>
        <v>6598465</v>
      </c>
      <c r="BF64" s="3"/>
      <c r="BG64" s="3">
        <v>70000</v>
      </c>
      <c r="BH64" s="3"/>
      <c r="BI64" s="3">
        <v>0</v>
      </c>
      <c r="BJ64" s="3"/>
      <c r="BK64" s="3">
        <v>0</v>
      </c>
      <c r="BL64" s="3"/>
      <c r="BM64" s="3">
        <v>0</v>
      </c>
      <c r="BN64" s="3"/>
      <c r="BO64" s="16">
        <f t="shared" si="3"/>
        <v>6668465</v>
      </c>
      <c r="BP64" s="3" t="s">
        <v>264</v>
      </c>
      <c r="BR64" s="103" t="s">
        <v>202</v>
      </c>
      <c r="BT64" s="16">
        <f>GovRev!AV64-BO64</f>
        <v>272200</v>
      </c>
      <c r="BU64" s="3"/>
      <c r="BV64" s="3">
        <v>3557753</v>
      </c>
      <c r="BW64" s="3"/>
      <c r="BX64" s="3">
        <v>0</v>
      </c>
      <c r="BY64" s="3"/>
      <c r="BZ64" s="16">
        <f t="shared" si="2"/>
        <v>3829953</v>
      </c>
      <c r="CA64" s="16"/>
      <c r="CB64" s="16">
        <f>-BZ64+GovBS!AE64</f>
        <v>0</v>
      </c>
    </row>
    <row r="65" spans="1:80" s="103" customFormat="1">
      <c r="A65" s="3" t="s">
        <v>352</v>
      </c>
      <c r="C65" s="103" t="s">
        <v>203</v>
      </c>
      <c r="E65" s="103">
        <v>51714</v>
      </c>
      <c r="G65" s="3">
        <v>1905125</v>
      </c>
      <c r="H65" s="3"/>
      <c r="I65" s="3">
        <v>25910</v>
      </c>
      <c r="J65" s="3"/>
      <c r="K65" s="3">
        <v>4881432</v>
      </c>
      <c r="L65" s="3"/>
      <c r="M65" s="3">
        <v>1374174</v>
      </c>
      <c r="N65" s="3"/>
      <c r="O65" s="3">
        <v>0</v>
      </c>
      <c r="P65" s="3"/>
      <c r="Q65" s="3">
        <v>515966</v>
      </c>
      <c r="R65" s="3"/>
      <c r="S65" s="3">
        <v>1938082</v>
      </c>
      <c r="T65" s="3"/>
      <c r="U65" s="3">
        <v>52282</v>
      </c>
      <c r="V65" s="3"/>
      <c r="W65" s="3">
        <v>890446</v>
      </c>
      <c r="X65" s="3"/>
      <c r="Y65" s="3">
        <v>514191</v>
      </c>
      <c r="Z65" s="3"/>
      <c r="AA65" s="3">
        <v>0</v>
      </c>
      <c r="AB65" s="3"/>
      <c r="AC65" s="3">
        <v>1014603</v>
      </c>
      <c r="AD65" s="3"/>
      <c r="AE65" s="3" t="s">
        <v>352</v>
      </c>
      <c r="AG65" s="103" t="s">
        <v>203</v>
      </c>
      <c r="AI65" s="3">
        <v>2783</v>
      </c>
      <c r="AJ65" s="3"/>
      <c r="AK65" s="3">
        <v>96362</v>
      </c>
      <c r="AL65" s="3"/>
      <c r="AM65" s="3"/>
      <c r="AN65" s="3"/>
      <c r="AO65" s="3">
        <v>246366</v>
      </c>
      <c r="AP65" s="3"/>
      <c r="AQ65" s="3">
        <v>338344</v>
      </c>
      <c r="AR65" s="3"/>
      <c r="AS65" s="3">
        <v>0</v>
      </c>
      <c r="AT65" s="3"/>
      <c r="AU65" s="3">
        <v>308072</v>
      </c>
      <c r="AV65" s="3"/>
      <c r="AW65" s="3">
        <v>0</v>
      </c>
      <c r="AX65" s="3"/>
      <c r="AY65" s="3">
        <v>965000</v>
      </c>
      <c r="AZ65" s="3"/>
      <c r="BA65" s="3">
        <v>256294</v>
      </c>
      <c r="BB65" s="3"/>
      <c r="BC65" s="3">
        <v>0</v>
      </c>
      <c r="BD65" s="3"/>
      <c r="BE65" s="16">
        <f t="shared" si="1"/>
        <v>15325432</v>
      </c>
      <c r="BF65" s="3"/>
      <c r="BG65" s="3">
        <v>164757</v>
      </c>
      <c r="BH65" s="3"/>
      <c r="BI65" s="3">
        <v>0</v>
      </c>
      <c r="BJ65" s="3"/>
      <c r="BK65" s="3">
        <v>0</v>
      </c>
      <c r="BL65" s="3"/>
      <c r="BM65" s="3">
        <v>0</v>
      </c>
      <c r="BN65" s="3"/>
      <c r="BO65" s="16">
        <f t="shared" si="3"/>
        <v>15490189</v>
      </c>
      <c r="BP65" s="3" t="s">
        <v>352</v>
      </c>
      <c r="BR65" s="103" t="s">
        <v>203</v>
      </c>
      <c r="BT65" s="16">
        <f>GovRev!AV65-BO65</f>
        <v>160691</v>
      </c>
      <c r="BU65" s="3"/>
      <c r="BV65" s="3">
        <v>11470826</v>
      </c>
      <c r="BW65" s="3"/>
      <c r="BX65" s="3">
        <v>0</v>
      </c>
      <c r="BY65" s="3"/>
      <c r="BZ65" s="16">
        <f t="shared" si="2"/>
        <v>11631517</v>
      </c>
      <c r="CA65" s="16"/>
      <c r="CB65" s="16">
        <f>-BZ65+GovBS!AE65</f>
        <v>0</v>
      </c>
    </row>
    <row r="66" spans="1:80" s="15" customFormat="1">
      <c r="A66" s="3"/>
      <c r="C66" s="3"/>
      <c r="M66" s="26"/>
      <c r="BG66" s="3"/>
      <c r="BH66" s="3"/>
      <c r="BI66" s="3"/>
      <c r="BJ66" s="3"/>
      <c r="BK66" s="3"/>
      <c r="BL66" s="3"/>
      <c r="BM66" s="3"/>
      <c r="BN66" s="3"/>
      <c r="BO66" s="16"/>
      <c r="BP66" s="103"/>
      <c r="BQ66" s="103"/>
      <c r="BR66" s="103"/>
      <c r="BS66" s="103"/>
      <c r="BT66" s="16"/>
      <c r="BU66" s="3"/>
      <c r="BV66" s="3"/>
      <c r="BW66" s="3"/>
      <c r="BX66" s="3"/>
      <c r="BY66" s="3"/>
      <c r="BZ66" s="16"/>
      <c r="CA66" s="3"/>
      <c r="CB66" s="16"/>
    </row>
    <row r="67" spans="1:80" s="15" customForma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57"/>
      <c r="M67" s="26"/>
      <c r="AC67" s="33"/>
      <c r="BE67" s="33"/>
      <c r="BG67" s="3"/>
      <c r="BH67" s="3"/>
      <c r="BI67" s="3"/>
      <c r="BJ67" s="3"/>
      <c r="BK67" s="3"/>
      <c r="BL67" s="3"/>
      <c r="BM67" s="3"/>
      <c r="BN67" s="3"/>
      <c r="BO67" s="16"/>
      <c r="BP67" s="103"/>
      <c r="BQ67" s="103"/>
      <c r="BR67" s="103"/>
      <c r="BS67" s="103"/>
      <c r="BT67" s="16"/>
      <c r="BU67" s="3"/>
      <c r="BV67" s="3"/>
      <c r="BW67" s="3"/>
      <c r="BX67" s="3"/>
      <c r="BY67" s="3"/>
      <c r="BZ67" s="16"/>
      <c r="CA67" s="3"/>
      <c r="CB67" s="16"/>
    </row>
    <row r="68" spans="1:80" s="15" customFormat="1">
      <c r="A68" s="34" t="s">
        <v>253</v>
      </c>
      <c r="M68" s="26"/>
      <c r="AE68" s="34" t="s">
        <v>253</v>
      </c>
      <c r="BG68" s="3"/>
      <c r="BH68" s="3"/>
      <c r="BI68" s="3"/>
      <c r="BJ68" s="3"/>
      <c r="BK68" s="3"/>
      <c r="BL68" s="3"/>
      <c r="BM68" s="3"/>
      <c r="BN68" s="3"/>
      <c r="BO68" s="16"/>
      <c r="BP68" s="34" t="s">
        <v>253</v>
      </c>
      <c r="BQ68" s="103"/>
      <c r="BR68" s="103"/>
      <c r="BS68" s="103"/>
      <c r="BT68" s="16"/>
      <c r="BU68" s="3"/>
      <c r="BV68" s="3"/>
      <c r="BW68" s="3"/>
      <c r="BX68" s="3"/>
      <c r="BY68" s="3"/>
      <c r="BZ68" s="16"/>
      <c r="CA68" s="3"/>
      <c r="CB68" s="16"/>
    </row>
    <row r="69" spans="1:80" s="15" customFormat="1">
      <c r="A69" s="34"/>
      <c r="M69" s="26"/>
      <c r="AE69" s="34"/>
      <c r="BG69" s="3"/>
      <c r="BH69" s="3"/>
      <c r="BI69" s="3"/>
      <c r="BJ69" s="3"/>
      <c r="BK69" s="3"/>
      <c r="BL69" s="3"/>
      <c r="BM69" s="3"/>
      <c r="BN69" s="3"/>
      <c r="BO69" s="16"/>
      <c r="BP69" s="34"/>
      <c r="BQ69" s="103"/>
      <c r="BR69" s="103"/>
      <c r="BS69" s="103"/>
      <c r="BT69" s="16"/>
      <c r="BU69" s="3"/>
      <c r="BV69" s="3"/>
      <c r="BW69" s="3"/>
      <c r="BX69" s="3"/>
      <c r="BY69" s="3"/>
      <c r="BZ69" s="16"/>
      <c r="CA69" s="3"/>
      <c r="CB69" s="16"/>
    </row>
    <row r="70" spans="1:80" s="61" customFormat="1" hidden="1">
      <c r="A70" s="58" t="s">
        <v>327</v>
      </c>
      <c r="B70" s="58"/>
      <c r="C70" s="58" t="s">
        <v>260</v>
      </c>
      <c r="E70" s="75">
        <v>45740</v>
      </c>
      <c r="G70" s="58">
        <v>0</v>
      </c>
      <c r="H70" s="58"/>
      <c r="I70" s="58">
        <v>0</v>
      </c>
      <c r="J70" s="58"/>
      <c r="K70" s="58">
        <v>0</v>
      </c>
      <c r="L70" s="58"/>
      <c r="M70" s="58">
        <v>0</v>
      </c>
      <c r="N70" s="58"/>
      <c r="O70" s="58">
        <v>0</v>
      </c>
      <c r="P70" s="58"/>
      <c r="Q70" s="58">
        <v>0</v>
      </c>
      <c r="R70" s="58"/>
      <c r="S70" s="58">
        <v>0</v>
      </c>
      <c r="T70" s="58"/>
      <c r="U70" s="58">
        <v>0</v>
      </c>
      <c r="V70" s="58"/>
      <c r="W70" s="58">
        <v>0</v>
      </c>
      <c r="X70" s="58"/>
      <c r="Y70" s="58">
        <v>0</v>
      </c>
      <c r="Z70" s="58"/>
      <c r="AA70" s="58">
        <v>0</v>
      </c>
      <c r="AB70" s="58"/>
      <c r="AC70" s="58">
        <v>0</v>
      </c>
      <c r="AE70" s="58" t="s">
        <v>327</v>
      </c>
      <c r="AG70" s="58" t="s">
        <v>260</v>
      </c>
      <c r="AI70" s="58">
        <v>0</v>
      </c>
      <c r="AJ70" s="58"/>
      <c r="AK70" s="58">
        <v>0</v>
      </c>
      <c r="AL70" s="58"/>
      <c r="AM70" s="58"/>
      <c r="AN70" s="58"/>
      <c r="AO70" s="58">
        <v>0</v>
      </c>
      <c r="AP70" s="58"/>
      <c r="AQ70" s="58">
        <v>0</v>
      </c>
      <c r="AR70" s="58"/>
      <c r="AS70" s="58">
        <v>0</v>
      </c>
      <c r="AT70" s="58"/>
      <c r="AU70" s="58">
        <v>0</v>
      </c>
      <c r="AV70" s="58"/>
      <c r="AW70" s="58">
        <v>0</v>
      </c>
      <c r="AX70" s="58"/>
      <c r="AY70" s="58">
        <v>0</v>
      </c>
      <c r="AZ70" s="58"/>
      <c r="BA70" s="58">
        <v>0</v>
      </c>
      <c r="BB70" s="58"/>
      <c r="BC70" s="58"/>
      <c r="BD70" s="58"/>
      <c r="BE70" s="60">
        <f>SUM(G70:BC70)</f>
        <v>0</v>
      </c>
      <c r="BG70" s="58">
        <v>0</v>
      </c>
      <c r="BH70" s="58"/>
      <c r="BI70" s="58"/>
      <c r="BJ70" s="58"/>
      <c r="BK70" s="58"/>
      <c r="BL70" s="58"/>
      <c r="BM70" s="58">
        <v>0</v>
      </c>
      <c r="BN70" s="58"/>
      <c r="BO70" s="60">
        <f t="shared" ref="BO70:BO93" si="4">+BE70+BG70+BI70+BM70+BK70</f>
        <v>0</v>
      </c>
      <c r="BP70" s="58" t="s">
        <v>327</v>
      </c>
      <c r="BR70" s="58" t="s">
        <v>260</v>
      </c>
      <c r="BS70" s="58"/>
      <c r="BT70" s="60">
        <f>GovRev!AV70-BO70</f>
        <v>0</v>
      </c>
      <c r="BU70" s="58"/>
      <c r="BV70" s="58">
        <v>0</v>
      </c>
      <c r="BW70" s="58"/>
      <c r="BX70" s="58"/>
      <c r="BY70" s="58"/>
      <c r="BZ70" s="60">
        <f t="shared" si="2"/>
        <v>0</v>
      </c>
      <c r="CA70" s="60"/>
      <c r="CB70" s="60">
        <f>-BZ70+GovBS!AE70</f>
        <v>0</v>
      </c>
    </row>
    <row r="71" spans="1:80" s="61" customFormat="1" hidden="1">
      <c r="A71" s="58" t="s">
        <v>328</v>
      </c>
      <c r="B71" s="58"/>
      <c r="C71" s="58" t="s">
        <v>144</v>
      </c>
      <c r="E71" s="75">
        <v>45849</v>
      </c>
      <c r="G71" s="58">
        <v>0</v>
      </c>
      <c r="H71" s="58"/>
      <c r="I71" s="58">
        <v>0</v>
      </c>
      <c r="J71" s="58"/>
      <c r="K71" s="58">
        <v>0</v>
      </c>
      <c r="L71" s="58"/>
      <c r="M71" s="58">
        <v>0</v>
      </c>
      <c r="N71" s="58"/>
      <c r="O71" s="58">
        <v>0</v>
      </c>
      <c r="P71" s="58"/>
      <c r="Q71" s="58">
        <v>0</v>
      </c>
      <c r="R71" s="58"/>
      <c r="S71" s="58">
        <v>0</v>
      </c>
      <c r="T71" s="58"/>
      <c r="U71" s="58">
        <v>0</v>
      </c>
      <c r="V71" s="58"/>
      <c r="W71" s="58">
        <v>0</v>
      </c>
      <c r="X71" s="58"/>
      <c r="Y71" s="58">
        <v>0</v>
      </c>
      <c r="Z71" s="58"/>
      <c r="AA71" s="58">
        <v>0</v>
      </c>
      <c r="AB71" s="58"/>
      <c r="AC71" s="58">
        <v>0</v>
      </c>
      <c r="AD71" s="58"/>
      <c r="AE71" s="58" t="s">
        <v>328</v>
      </c>
      <c r="AF71" s="58"/>
      <c r="AG71" s="58" t="s">
        <v>144</v>
      </c>
      <c r="AI71" s="58">
        <v>0</v>
      </c>
      <c r="AJ71" s="58"/>
      <c r="AK71" s="58">
        <v>0</v>
      </c>
      <c r="AL71" s="58"/>
      <c r="AM71" s="58"/>
      <c r="AN71" s="58"/>
      <c r="AO71" s="58">
        <v>0</v>
      </c>
      <c r="AP71" s="58"/>
      <c r="AQ71" s="58">
        <v>0</v>
      </c>
      <c r="AR71" s="58"/>
      <c r="AS71" s="58">
        <v>0</v>
      </c>
      <c r="AT71" s="58"/>
      <c r="AU71" s="58">
        <v>0</v>
      </c>
      <c r="AV71" s="58"/>
      <c r="AW71" s="58">
        <v>0</v>
      </c>
      <c r="AX71" s="58"/>
      <c r="AY71" s="58">
        <v>0</v>
      </c>
      <c r="AZ71" s="58"/>
      <c r="BA71" s="58">
        <v>0</v>
      </c>
      <c r="BB71" s="58"/>
      <c r="BC71" s="58"/>
      <c r="BD71" s="58"/>
      <c r="BE71" s="60">
        <f>SUM(G71:BC71)</f>
        <v>0</v>
      </c>
      <c r="BF71" s="58"/>
      <c r="BG71" s="58">
        <v>0</v>
      </c>
      <c r="BH71" s="58"/>
      <c r="BI71" s="58"/>
      <c r="BJ71" s="58"/>
      <c r="BK71" s="58"/>
      <c r="BL71" s="58"/>
      <c r="BM71" s="58">
        <v>0</v>
      </c>
      <c r="BN71" s="58"/>
      <c r="BO71" s="60">
        <f t="shared" si="4"/>
        <v>0</v>
      </c>
      <c r="BP71" s="58" t="s">
        <v>328</v>
      </c>
      <c r="BQ71" s="58"/>
      <c r="BR71" s="58" t="s">
        <v>144</v>
      </c>
      <c r="BS71" s="58"/>
      <c r="BT71" s="60">
        <f>GovRev!AV71-BO71</f>
        <v>0</v>
      </c>
      <c r="BU71" s="58"/>
      <c r="BV71" s="58">
        <v>0</v>
      </c>
      <c r="BW71" s="58"/>
      <c r="BX71" s="58"/>
      <c r="BY71" s="58"/>
      <c r="BZ71" s="60">
        <f>+BV71+BT71+BX71</f>
        <v>0</v>
      </c>
      <c r="CA71" s="60"/>
      <c r="CB71" s="60">
        <f>-BZ71+GovBS!AE71</f>
        <v>0</v>
      </c>
    </row>
    <row r="72" spans="1:80" s="103" customFormat="1">
      <c r="A72" s="3" t="s">
        <v>148</v>
      </c>
      <c r="C72" s="103" t="s">
        <v>145</v>
      </c>
      <c r="E72" s="103">
        <v>135145</v>
      </c>
      <c r="G72" s="19">
        <v>1505745</v>
      </c>
      <c r="H72" s="19"/>
      <c r="I72" s="19">
        <v>1912116</v>
      </c>
      <c r="J72" s="19"/>
      <c r="K72" s="19">
        <v>32534</v>
      </c>
      <c r="L72" s="19"/>
      <c r="M72" s="71">
        <v>40247</v>
      </c>
      <c r="N72" s="19"/>
      <c r="O72" s="19">
        <v>44200</v>
      </c>
      <c r="P72" s="19"/>
      <c r="Q72" s="19">
        <v>1292575</v>
      </c>
      <c r="R72" s="19"/>
      <c r="S72" s="19">
        <v>1638017</v>
      </c>
      <c r="T72" s="19"/>
      <c r="U72" s="19">
        <v>71983</v>
      </c>
      <c r="V72" s="19"/>
      <c r="W72" s="19">
        <v>610645</v>
      </c>
      <c r="X72" s="19"/>
      <c r="Y72" s="19">
        <v>493721</v>
      </c>
      <c r="Z72" s="19"/>
      <c r="AA72" s="19">
        <v>1219</v>
      </c>
      <c r="AB72" s="19"/>
      <c r="AC72" s="19">
        <v>186607</v>
      </c>
      <c r="AD72" s="19"/>
      <c r="AE72" s="3" t="s">
        <v>148</v>
      </c>
      <c r="AF72" s="19"/>
      <c r="AG72" s="19" t="s">
        <v>145</v>
      </c>
      <c r="AH72" s="19"/>
      <c r="AI72" s="19">
        <v>571469</v>
      </c>
      <c r="AJ72" s="19"/>
      <c r="AK72" s="19">
        <v>36858</v>
      </c>
      <c r="AL72" s="19"/>
      <c r="AM72" s="19"/>
      <c r="AN72" s="19"/>
      <c r="AO72" s="19">
        <v>0</v>
      </c>
      <c r="AP72" s="19"/>
      <c r="AQ72" s="19">
        <v>217748</v>
      </c>
      <c r="AR72" s="19"/>
      <c r="AS72" s="19">
        <v>0</v>
      </c>
      <c r="AT72" s="19"/>
      <c r="AU72" s="19">
        <v>7932</v>
      </c>
      <c r="AV72" s="19"/>
      <c r="AW72" s="19">
        <v>0</v>
      </c>
      <c r="AX72" s="19"/>
      <c r="AY72" s="19">
        <v>0</v>
      </c>
      <c r="AZ72" s="19"/>
      <c r="BA72" s="19">
        <v>0</v>
      </c>
      <c r="BB72" s="19"/>
      <c r="BC72" s="19">
        <v>0</v>
      </c>
      <c r="BD72" s="19"/>
      <c r="BE72" s="115">
        <f>SUM(G72:BC72)</f>
        <v>8663616</v>
      </c>
      <c r="BF72" s="19"/>
      <c r="BG72" s="19">
        <v>0</v>
      </c>
      <c r="BH72" s="19"/>
      <c r="BI72" s="19">
        <v>0</v>
      </c>
      <c r="BJ72" s="19"/>
      <c r="BK72" s="19">
        <v>0</v>
      </c>
      <c r="BL72" s="19"/>
      <c r="BM72" s="19">
        <v>212877</v>
      </c>
      <c r="BN72" s="19"/>
      <c r="BO72" s="115">
        <f t="shared" si="4"/>
        <v>8876493</v>
      </c>
      <c r="BP72" s="3" t="s">
        <v>148</v>
      </c>
      <c r="BQ72" s="19"/>
      <c r="BR72" s="19" t="s">
        <v>145</v>
      </c>
      <c r="BS72" s="19"/>
      <c r="BT72" s="115">
        <f>GovRev!AV72-BO72</f>
        <v>223062</v>
      </c>
      <c r="BU72" s="19"/>
      <c r="BV72" s="19">
        <v>722723</v>
      </c>
      <c r="BW72" s="19"/>
      <c r="BX72" s="19">
        <v>0</v>
      </c>
      <c r="BY72" s="19"/>
      <c r="BZ72" s="115">
        <f t="shared" si="2"/>
        <v>945785</v>
      </c>
      <c r="CA72" s="16"/>
      <c r="CB72" s="16">
        <f>-BZ72+GovBS!AE72</f>
        <v>0</v>
      </c>
    </row>
    <row r="73" spans="1:80" s="59" customFormat="1" hidden="1">
      <c r="A73" s="58" t="s">
        <v>329</v>
      </c>
      <c r="B73" s="58"/>
      <c r="C73" s="58" t="s">
        <v>261</v>
      </c>
      <c r="E73" s="59">
        <v>45930</v>
      </c>
      <c r="G73" s="58">
        <v>0</v>
      </c>
      <c r="H73" s="58"/>
      <c r="I73" s="58">
        <v>0</v>
      </c>
      <c r="J73" s="58"/>
      <c r="K73" s="58">
        <v>0</v>
      </c>
      <c r="L73" s="58"/>
      <c r="M73" s="58">
        <v>0</v>
      </c>
      <c r="N73" s="58"/>
      <c r="O73" s="58">
        <v>0</v>
      </c>
      <c r="P73" s="58"/>
      <c r="Q73" s="58">
        <v>0</v>
      </c>
      <c r="R73" s="58"/>
      <c r="S73" s="58">
        <v>0</v>
      </c>
      <c r="T73" s="58"/>
      <c r="U73" s="58">
        <v>0</v>
      </c>
      <c r="V73" s="58"/>
      <c r="W73" s="58">
        <v>0</v>
      </c>
      <c r="X73" s="58"/>
      <c r="Y73" s="58">
        <v>0</v>
      </c>
      <c r="Z73" s="58"/>
      <c r="AA73" s="58">
        <v>0</v>
      </c>
      <c r="AB73" s="58"/>
      <c r="AC73" s="58">
        <v>0</v>
      </c>
      <c r="AD73" s="58"/>
      <c r="AE73" s="58" t="s">
        <v>329</v>
      </c>
      <c r="AF73" s="58"/>
      <c r="AG73" s="58" t="s">
        <v>261</v>
      </c>
      <c r="AH73" s="58"/>
      <c r="AI73" s="58">
        <v>0</v>
      </c>
      <c r="AJ73" s="58"/>
      <c r="AK73" s="58">
        <v>0</v>
      </c>
      <c r="AL73" s="58"/>
      <c r="AM73" s="58"/>
      <c r="AN73" s="58"/>
      <c r="AO73" s="58">
        <v>0</v>
      </c>
      <c r="AP73" s="58"/>
      <c r="AQ73" s="58">
        <v>0</v>
      </c>
      <c r="AR73" s="58"/>
      <c r="AS73" s="58">
        <v>0</v>
      </c>
      <c r="AT73" s="58"/>
      <c r="AU73" s="58">
        <v>0</v>
      </c>
      <c r="AV73" s="58"/>
      <c r="AW73" s="58">
        <v>0</v>
      </c>
      <c r="AX73" s="58"/>
      <c r="AY73" s="58">
        <v>0</v>
      </c>
      <c r="AZ73" s="58"/>
      <c r="BA73" s="58">
        <v>0</v>
      </c>
      <c r="BB73" s="58"/>
      <c r="BC73" s="58"/>
      <c r="BD73" s="58"/>
      <c r="BE73" s="60">
        <f>SUM(G73:BC73)</f>
        <v>0</v>
      </c>
      <c r="BF73" s="58"/>
      <c r="BG73" s="58">
        <v>0</v>
      </c>
      <c r="BH73" s="58"/>
      <c r="BI73" s="58"/>
      <c r="BJ73" s="58"/>
      <c r="BK73" s="58"/>
      <c r="BL73" s="58"/>
      <c r="BM73" s="58">
        <v>0</v>
      </c>
      <c r="BN73" s="58"/>
      <c r="BO73" s="60">
        <f t="shared" si="4"/>
        <v>0</v>
      </c>
      <c r="BP73" s="58" t="s">
        <v>329</v>
      </c>
      <c r="BQ73" s="58"/>
      <c r="BR73" s="58" t="s">
        <v>261</v>
      </c>
      <c r="BS73" s="58"/>
      <c r="BT73" s="60">
        <f>GovRev!AV73-BO73</f>
        <v>0</v>
      </c>
      <c r="BU73" s="58"/>
      <c r="BV73" s="58">
        <v>0</v>
      </c>
      <c r="BW73" s="58"/>
      <c r="BX73" s="58"/>
      <c r="BY73" s="58"/>
      <c r="BZ73" s="60">
        <f t="shared" si="2"/>
        <v>0</v>
      </c>
      <c r="CA73" s="60"/>
      <c r="CB73" s="60">
        <f>-BZ73+GovBS!AE73</f>
        <v>0</v>
      </c>
    </row>
    <row r="74" spans="1:80" s="103" customFormat="1">
      <c r="A74" s="103" t="s">
        <v>286</v>
      </c>
      <c r="C74" s="103" t="s">
        <v>150</v>
      </c>
      <c r="E74" s="103">
        <v>46029</v>
      </c>
      <c r="G74" s="3">
        <v>500372</v>
      </c>
      <c r="H74" s="3"/>
      <c r="I74" s="3">
        <v>1734580</v>
      </c>
      <c r="J74" s="3"/>
      <c r="K74" s="3">
        <v>0</v>
      </c>
      <c r="L74" s="3"/>
      <c r="M74" s="26">
        <v>0</v>
      </c>
      <c r="N74" s="3"/>
      <c r="O74" s="3">
        <v>0</v>
      </c>
      <c r="P74" s="3"/>
      <c r="Q74" s="3">
        <v>1124886</v>
      </c>
      <c r="R74" s="3"/>
      <c r="S74" s="3">
        <v>430648</v>
      </c>
      <c r="T74" s="3"/>
      <c r="U74" s="3">
        <v>38576</v>
      </c>
      <c r="V74" s="3"/>
      <c r="W74" s="3">
        <v>247070</v>
      </c>
      <c r="X74" s="3"/>
      <c r="Y74" s="3">
        <v>159066</v>
      </c>
      <c r="Z74" s="3"/>
      <c r="AA74" s="3">
        <v>0</v>
      </c>
      <c r="AB74" s="3"/>
      <c r="AC74" s="3">
        <v>62791</v>
      </c>
      <c r="AD74" s="3"/>
      <c r="AE74" s="103" t="s">
        <v>286</v>
      </c>
      <c r="AG74" s="103" t="s">
        <v>150</v>
      </c>
      <c r="AH74" s="3"/>
      <c r="AI74" s="3">
        <v>0</v>
      </c>
      <c r="AJ74" s="3"/>
      <c r="AK74" s="3">
        <v>171726</v>
      </c>
      <c r="AL74" s="3"/>
      <c r="AM74" s="3"/>
      <c r="AN74" s="3"/>
      <c r="AO74" s="3">
        <v>0</v>
      </c>
      <c r="AP74" s="3"/>
      <c r="AQ74" s="3">
        <v>0</v>
      </c>
      <c r="AR74" s="3"/>
      <c r="AS74" s="3">
        <v>0</v>
      </c>
      <c r="AT74" s="3"/>
      <c r="AU74" s="3">
        <v>0</v>
      </c>
      <c r="AV74" s="3"/>
      <c r="AW74" s="3">
        <v>0</v>
      </c>
      <c r="AX74" s="3"/>
      <c r="AY74" s="3">
        <v>0</v>
      </c>
      <c r="AZ74" s="3"/>
      <c r="BA74" s="3">
        <v>0</v>
      </c>
      <c r="BB74" s="3"/>
      <c r="BC74" s="3">
        <v>0</v>
      </c>
      <c r="BD74" s="3"/>
      <c r="BE74" s="16">
        <f>SUM(G74:BC74)</f>
        <v>4469715</v>
      </c>
      <c r="BF74" s="3"/>
      <c r="BG74" s="3">
        <v>0</v>
      </c>
      <c r="BH74" s="3"/>
      <c r="BI74" s="3">
        <v>0</v>
      </c>
      <c r="BJ74" s="3"/>
      <c r="BK74" s="3">
        <v>0</v>
      </c>
      <c r="BL74" s="3"/>
      <c r="BM74" s="3">
        <v>0</v>
      </c>
      <c r="BN74" s="3"/>
      <c r="BO74" s="16">
        <f t="shared" si="4"/>
        <v>4469715</v>
      </c>
      <c r="BP74" s="103" t="s">
        <v>286</v>
      </c>
      <c r="BR74" s="103" t="s">
        <v>150</v>
      </c>
      <c r="BT74" s="16">
        <f>GovRev!AV74-BO74</f>
        <v>17570</v>
      </c>
      <c r="BU74" s="3"/>
      <c r="BV74" s="3">
        <v>1619171</v>
      </c>
      <c r="BW74" s="3"/>
      <c r="BX74" s="3">
        <v>0</v>
      </c>
      <c r="BY74" s="3"/>
      <c r="BZ74" s="16">
        <f t="shared" si="2"/>
        <v>1636741</v>
      </c>
      <c r="CA74" s="16"/>
      <c r="CB74" s="16">
        <f>-BZ74+GovBS!AE74</f>
        <v>0</v>
      </c>
    </row>
    <row r="75" spans="1:80" s="103" customFormat="1">
      <c r="A75" s="103" t="s">
        <v>287</v>
      </c>
      <c r="C75" s="103" t="s">
        <v>147</v>
      </c>
      <c r="E75" s="103">
        <v>46086</v>
      </c>
      <c r="G75" s="3">
        <v>4422857</v>
      </c>
      <c r="H75" s="3"/>
      <c r="I75" s="3">
        <v>3311589</v>
      </c>
      <c r="J75" s="3"/>
      <c r="K75" s="3">
        <v>0</v>
      </c>
      <c r="L75" s="3"/>
      <c r="M75" s="26">
        <v>0</v>
      </c>
      <c r="N75" s="3"/>
      <c r="O75" s="3">
        <v>0</v>
      </c>
      <c r="P75" s="3"/>
      <c r="Q75" s="3">
        <v>5809144</v>
      </c>
      <c r="R75" s="3"/>
      <c r="S75" s="3">
        <v>2383075</v>
      </c>
      <c r="T75" s="3"/>
      <c r="U75" s="3">
        <v>10654</v>
      </c>
      <c r="V75" s="3"/>
      <c r="W75" s="3">
        <v>3137748</v>
      </c>
      <c r="X75" s="3"/>
      <c r="Y75" s="3">
        <v>484590</v>
      </c>
      <c r="Z75" s="3"/>
      <c r="AA75" s="3">
        <v>71432</v>
      </c>
      <c r="AB75" s="3"/>
      <c r="AC75" s="3">
        <v>1248781</v>
      </c>
      <c r="AD75" s="3"/>
      <c r="AE75" s="103" t="s">
        <v>287</v>
      </c>
      <c r="AG75" s="103" t="s">
        <v>147</v>
      </c>
      <c r="AH75" s="3"/>
      <c r="AI75" s="3">
        <v>196717</v>
      </c>
      <c r="AJ75" s="3"/>
      <c r="AK75" s="3">
        <v>2251082</v>
      </c>
      <c r="AL75" s="3"/>
      <c r="AM75" s="3"/>
      <c r="AN75" s="3"/>
      <c r="AO75" s="3">
        <v>0</v>
      </c>
      <c r="AP75" s="3"/>
      <c r="AQ75" s="3">
        <v>0</v>
      </c>
      <c r="AR75" s="3"/>
      <c r="AS75" s="3">
        <v>0</v>
      </c>
      <c r="AT75" s="3"/>
      <c r="AU75" s="3">
        <v>0</v>
      </c>
      <c r="AV75" s="3"/>
      <c r="AW75" s="3">
        <v>0</v>
      </c>
      <c r="AX75" s="3"/>
      <c r="AY75" s="3">
        <v>88000</v>
      </c>
      <c r="AZ75" s="3"/>
      <c r="BA75" s="3">
        <v>116955</v>
      </c>
      <c r="BB75" s="3"/>
      <c r="BC75" s="3">
        <v>0</v>
      </c>
      <c r="BD75" s="3"/>
      <c r="BE75" s="16">
        <f t="shared" ref="BE75:BE131" si="5">SUM(G75:BC75)</f>
        <v>23532624</v>
      </c>
      <c r="BF75" s="3"/>
      <c r="BG75" s="3">
        <v>2150</v>
      </c>
      <c r="BH75" s="3"/>
      <c r="BI75" s="3">
        <v>0</v>
      </c>
      <c r="BJ75" s="3"/>
      <c r="BK75" s="3">
        <v>0</v>
      </c>
      <c r="BL75" s="3"/>
      <c r="BM75" s="3">
        <v>0</v>
      </c>
      <c r="BN75" s="3"/>
      <c r="BO75" s="16">
        <f t="shared" si="4"/>
        <v>23534774</v>
      </c>
      <c r="BP75" s="103" t="s">
        <v>287</v>
      </c>
      <c r="BR75" s="103" t="s">
        <v>147</v>
      </c>
      <c r="BT75" s="16">
        <f>GovRev!AV75-BO75</f>
        <v>559956</v>
      </c>
      <c r="BU75" s="3"/>
      <c r="BV75" s="3">
        <v>1441897</v>
      </c>
      <c r="BW75" s="3"/>
      <c r="BX75" s="3">
        <v>0</v>
      </c>
      <c r="BY75" s="3"/>
      <c r="BZ75" s="16">
        <f t="shared" si="2"/>
        <v>2001853</v>
      </c>
      <c r="CA75" s="16"/>
      <c r="CB75" s="16">
        <f>-BZ75+GovBS!AE75</f>
        <v>0</v>
      </c>
    </row>
    <row r="76" spans="1:80" s="103" customFormat="1">
      <c r="A76" s="103" t="s">
        <v>288</v>
      </c>
      <c r="C76" s="103" t="s">
        <v>152</v>
      </c>
      <c r="E76" s="103">
        <v>46227</v>
      </c>
      <c r="G76" s="3">
        <v>18959</v>
      </c>
      <c r="H76" s="3"/>
      <c r="I76" s="3">
        <v>1174978</v>
      </c>
      <c r="J76" s="3"/>
      <c r="K76" s="3">
        <v>75956</v>
      </c>
      <c r="L76" s="3"/>
      <c r="M76" s="3">
        <v>0</v>
      </c>
      <c r="N76" s="3"/>
      <c r="O76" s="3">
        <v>7175</v>
      </c>
      <c r="P76" s="3"/>
      <c r="Q76" s="3">
        <v>2560463</v>
      </c>
      <c r="R76" s="3"/>
      <c r="S76" s="3">
        <v>1834800</v>
      </c>
      <c r="T76" s="3"/>
      <c r="U76" s="3">
        <v>15985</v>
      </c>
      <c r="V76" s="3"/>
      <c r="W76" s="3">
        <v>707155</v>
      </c>
      <c r="X76" s="3"/>
      <c r="Y76" s="3">
        <v>195617</v>
      </c>
      <c r="Z76" s="3"/>
      <c r="AA76" s="3">
        <v>5044</v>
      </c>
      <c r="AB76" s="3"/>
      <c r="AC76" s="3">
        <v>106047</v>
      </c>
      <c r="AD76" s="3"/>
      <c r="AE76" s="103" t="s">
        <v>288</v>
      </c>
      <c r="AG76" s="103" t="s">
        <v>152</v>
      </c>
      <c r="AH76" s="3"/>
      <c r="AI76" s="3">
        <v>0</v>
      </c>
      <c r="AJ76" s="3"/>
      <c r="AK76" s="3">
        <v>32316</v>
      </c>
      <c r="AL76" s="3"/>
      <c r="AM76" s="3"/>
      <c r="AN76" s="3"/>
      <c r="AO76" s="3">
        <v>0</v>
      </c>
      <c r="AP76" s="3"/>
      <c r="AQ76" s="3">
        <v>0</v>
      </c>
      <c r="AR76" s="3"/>
      <c r="AS76" s="3">
        <v>0</v>
      </c>
      <c r="AT76" s="3"/>
      <c r="AU76" s="3">
        <v>0</v>
      </c>
      <c r="AV76" s="3"/>
      <c r="AW76" s="3">
        <v>0</v>
      </c>
      <c r="AX76" s="3"/>
      <c r="AY76" s="3">
        <v>84786</v>
      </c>
      <c r="AZ76" s="3"/>
      <c r="BA76" s="3">
        <v>0</v>
      </c>
      <c r="BB76" s="3"/>
      <c r="BC76" s="3">
        <v>0</v>
      </c>
      <c r="BD76" s="3"/>
      <c r="BE76" s="16">
        <f t="shared" si="5"/>
        <v>6819281</v>
      </c>
      <c r="BF76" s="3"/>
      <c r="BG76" s="3">
        <v>0</v>
      </c>
      <c r="BH76" s="3"/>
      <c r="BI76" s="3">
        <v>0</v>
      </c>
      <c r="BJ76" s="3"/>
      <c r="BK76" s="3">
        <v>0</v>
      </c>
      <c r="BL76" s="3"/>
      <c r="BM76" s="3">
        <v>0</v>
      </c>
      <c r="BN76" s="3"/>
      <c r="BO76" s="16">
        <f t="shared" si="4"/>
        <v>6819281</v>
      </c>
      <c r="BP76" s="103" t="s">
        <v>288</v>
      </c>
      <c r="BR76" s="103" t="s">
        <v>152</v>
      </c>
      <c r="BT76" s="16">
        <f>GovRev!AV76-BO76</f>
        <v>-799251</v>
      </c>
      <c r="BU76" s="3"/>
      <c r="BV76" s="3">
        <v>1918694</v>
      </c>
      <c r="BW76" s="3"/>
      <c r="BX76" s="3">
        <v>0</v>
      </c>
      <c r="BY76" s="3"/>
      <c r="BZ76" s="16">
        <f t="shared" si="2"/>
        <v>1119443</v>
      </c>
      <c r="CA76" s="16"/>
      <c r="CB76" s="16">
        <f>-BZ76+GovBS!AE76</f>
        <v>0</v>
      </c>
    </row>
    <row r="77" spans="1:80" s="103" customFormat="1">
      <c r="A77" s="3" t="s">
        <v>153</v>
      </c>
      <c r="C77" s="103" t="s">
        <v>154</v>
      </c>
      <c r="E77" s="103">
        <v>46292</v>
      </c>
      <c r="G77" s="3">
        <v>140001</v>
      </c>
      <c r="H77" s="3"/>
      <c r="I77" s="3">
        <v>6039061</v>
      </c>
      <c r="J77" s="3"/>
      <c r="K77" s="3">
        <v>0</v>
      </c>
      <c r="L77" s="3"/>
      <c r="M77" s="3">
        <v>56620</v>
      </c>
      <c r="N77" s="3"/>
      <c r="O77" s="3">
        <v>0</v>
      </c>
      <c r="P77" s="3"/>
      <c r="Q77" s="3">
        <v>3951310</v>
      </c>
      <c r="R77" s="3"/>
      <c r="S77" s="3">
        <v>5492654</v>
      </c>
      <c r="T77" s="3"/>
      <c r="U77" s="3">
        <v>195320</v>
      </c>
      <c r="V77" s="3"/>
      <c r="W77" s="3">
        <v>424234</v>
      </c>
      <c r="X77" s="3"/>
      <c r="Y77" s="3">
        <v>253925</v>
      </c>
      <c r="Z77" s="3"/>
      <c r="AA77" s="3">
        <v>0</v>
      </c>
      <c r="AB77" s="3"/>
      <c r="AC77" s="3">
        <v>0</v>
      </c>
      <c r="AD77" s="3"/>
      <c r="AE77" s="3" t="s">
        <v>153</v>
      </c>
      <c r="AG77" s="103" t="s">
        <v>154</v>
      </c>
      <c r="AH77" s="3"/>
      <c r="AI77" s="3">
        <v>0</v>
      </c>
      <c r="AJ77" s="3"/>
      <c r="AK77" s="3">
        <v>43277</v>
      </c>
      <c r="AL77" s="3"/>
      <c r="AM77" s="3"/>
      <c r="AN77" s="3"/>
      <c r="AO77" s="3">
        <v>0</v>
      </c>
      <c r="AP77" s="3"/>
      <c r="AQ77" s="3">
        <v>43995</v>
      </c>
      <c r="AR77" s="3"/>
      <c r="AS77" s="3">
        <v>0</v>
      </c>
      <c r="AT77" s="3"/>
      <c r="AU77" s="3">
        <v>23560</v>
      </c>
      <c r="AV77" s="3"/>
      <c r="AW77" s="3">
        <v>0</v>
      </c>
      <c r="AX77" s="3"/>
      <c r="AY77" s="3">
        <v>0</v>
      </c>
      <c r="AZ77" s="3"/>
      <c r="BA77" s="3">
        <v>0</v>
      </c>
      <c r="BB77" s="3"/>
      <c r="BC77" s="3">
        <v>0</v>
      </c>
      <c r="BD77" s="3"/>
      <c r="BE77" s="16">
        <f t="shared" si="5"/>
        <v>16663957</v>
      </c>
      <c r="BF77" s="3"/>
      <c r="BG77" s="3">
        <v>10000</v>
      </c>
      <c r="BH77" s="3"/>
      <c r="BI77" s="3">
        <v>0</v>
      </c>
      <c r="BJ77" s="3"/>
      <c r="BK77" s="3">
        <v>0</v>
      </c>
      <c r="BL77" s="3"/>
      <c r="BM77" s="3">
        <v>0</v>
      </c>
      <c r="BN77" s="3"/>
      <c r="BO77" s="16">
        <f t="shared" si="4"/>
        <v>16673957</v>
      </c>
      <c r="BP77" s="3" t="s">
        <v>153</v>
      </c>
      <c r="BR77" s="103" t="s">
        <v>154</v>
      </c>
      <c r="BT77" s="16">
        <f>GovRev!AV77-BO77</f>
        <v>763683</v>
      </c>
      <c r="BU77" s="3"/>
      <c r="BV77" s="3">
        <v>4617700</v>
      </c>
      <c r="BW77" s="3"/>
      <c r="BX77" s="3">
        <v>0</v>
      </c>
      <c r="BY77" s="3"/>
      <c r="BZ77" s="16">
        <f t="shared" si="2"/>
        <v>5381383</v>
      </c>
      <c r="CA77" s="16"/>
      <c r="CB77" s="16">
        <f>-BZ77+GovBS!AE77</f>
        <v>0</v>
      </c>
    </row>
    <row r="78" spans="1:80" s="89" customFormat="1" hidden="1">
      <c r="A78" s="89" t="s">
        <v>276</v>
      </c>
      <c r="C78" s="89" t="s">
        <v>155</v>
      </c>
      <c r="E78" s="89">
        <v>46375</v>
      </c>
      <c r="G78" s="88">
        <v>0</v>
      </c>
      <c r="H78" s="88"/>
      <c r="I78" s="88">
        <v>0</v>
      </c>
      <c r="J78" s="88"/>
      <c r="K78" s="88">
        <v>0</v>
      </c>
      <c r="L78" s="88"/>
      <c r="M78" s="88">
        <v>0</v>
      </c>
      <c r="N78" s="88"/>
      <c r="O78" s="88">
        <v>0</v>
      </c>
      <c r="P78" s="88"/>
      <c r="Q78" s="88">
        <v>0</v>
      </c>
      <c r="R78" s="88"/>
      <c r="S78" s="88">
        <v>0</v>
      </c>
      <c r="T78" s="88"/>
      <c r="U78" s="88">
        <v>0</v>
      </c>
      <c r="V78" s="88"/>
      <c r="W78" s="88">
        <v>0</v>
      </c>
      <c r="X78" s="88"/>
      <c r="Y78" s="88">
        <v>0</v>
      </c>
      <c r="Z78" s="88"/>
      <c r="AA78" s="88">
        <v>0</v>
      </c>
      <c r="AB78" s="88"/>
      <c r="AC78" s="88">
        <v>0</v>
      </c>
      <c r="AD78" s="88"/>
      <c r="AE78" s="89" t="s">
        <v>276</v>
      </c>
      <c r="AG78" s="89" t="s">
        <v>155</v>
      </c>
      <c r="AH78" s="88"/>
      <c r="AI78" s="88">
        <v>0</v>
      </c>
      <c r="AJ78" s="88"/>
      <c r="AK78" s="88">
        <v>0</v>
      </c>
      <c r="AL78" s="88"/>
      <c r="AM78" s="88"/>
      <c r="AN78" s="88"/>
      <c r="AO78" s="88">
        <v>0</v>
      </c>
      <c r="AP78" s="88"/>
      <c r="AQ78" s="88">
        <v>0</v>
      </c>
      <c r="AR78" s="88"/>
      <c r="AS78" s="88">
        <v>0</v>
      </c>
      <c r="AT78" s="88"/>
      <c r="AU78" s="88">
        <v>0</v>
      </c>
      <c r="AV78" s="88"/>
      <c r="AW78" s="88">
        <v>0</v>
      </c>
      <c r="AX78" s="88"/>
      <c r="AY78" s="88">
        <v>0</v>
      </c>
      <c r="AZ78" s="88"/>
      <c r="BA78" s="88">
        <v>0</v>
      </c>
      <c r="BB78" s="88"/>
      <c r="BC78" s="88"/>
      <c r="BD78" s="88"/>
      <c r="BE78" s="90">
        <f t="shared" si="5"/>
        <v>0</v>
      </c>
      <c r="BF78" s="88"/>
      <c r="BG78" s="88">
        <v>0</v>
      </c>
      <c r="BH78" s="88"/>
      <c r="BI78" s="88"/>
      <c r="BJ78" s="88"/>
      <c r="BK78" s="88"/>
      <c r="BL78" s="88"/>
      <c r="BM78" s="88">
        <v>0</v>
      </c>
      <c r="BN78" s="88"/>
      <c r="BO78" s="90">
        <f t="shared" si="4"/>
        <v>0</v>
      </c>
      <c r="BP78" s="89" t="s">
        <v>276</v>
      </c>
      <c r="BR78" s="89" t="s">
        <v>155</v>
      </c>
      <c r="BT78" s="90">
        <f>GovRev!AV78-BO78</f>
        <v>0</v>
      </c>
      <c r="BU78" s="88"/>
      <c r="BV78" s="88">
        <v>0</v>
      </c>
      <c r="BW78" s="88"/>
      <c r="BX78" s="88"/>
      <c r="BY78" s="88"/>
      <c r="BZ78" s="90">
        <f t="shared" si="2"/>
        <v>0</v>
      </c>
      <c r="CA78" s="90"/>
      <c r="CB78" s="90">
        <f>-BZ78+GovBS!AE78</f>
        <v>0</v>
      </c>
    </row>
    <row r="79" spans="1:80" s="103" customFormat="1">
      <c r="A79" s="103" t="s">
        <v>304</v>
      </c>
      <c r="C79" s="103" t="s">
        <v>156</v>
      </c>
      <c r="E79" s="103">
        <v>46417</v>
      </c>
      <c r="G79" s="3">
        <v>982099</v>
      </c>
      <c r="H79" s="3"/>
      <c r="I79" s="3">
        <v>2244574</v>
      </c>
      <c r="J79" s="3"/>
      <c r="K79" s="3">
        <v>0</v>
      </c>
      <c r="L79" s="3"/>
      <c r="M79" s="3">
        <v>0</v>
      </c>
      <c r="N79" s="3"/>
      <c r="O79" s="3">
        <v>0</v>
      </c>
      <c r="P79" s="3"/>
      <c r="Q79" s="3">
        <v>2759111</v>
      </c>
      <c r="R79" s="3"/>
      <c r="S79" s="3">
        <v>3165049</v>
      </c>
      <c r="T79" s="3"/>
      <c r="U79" s="3">
        <v>30898</v>
      </c>
      <c r="V79" s="3"/>
      <c r="W79" s="3">
        <v>500703</v>
      </c>
      <c r="X79" s="3"/>
      <c r="Y79" s="3">
        <v>240513</v>
      </c>
      <c r="Z79" s="3"/>
      <c r="AA79" s="3">
        <v>0</v>
      </c>
      <c r="AB79" s="3"/>
      <c r="AC79" s="3">
        <v>196107</v>
      </c>
      <c r="AD79" s="3"/>
      <c r="AE79" s="103" t="s">
        <v>304</v>
      </c>
      <c r="AG79" s="103" t="s">
        <v>156</v>
      </c>
      <c r="AH79" s="3"/>
      <c r="AI79" s="3">
        <v>471823</v>
      </c>
      <c r="AJ79" s="3"/>
      <c r="AK79" s="3">
        <v>376533</v>
      </c>
      <c r="AL79" s="3"/>
      <c r="AM79" s="3"/>
      <c r="AN79" s="3"/>
      <c r="AO79" s="3">
        <v>0</v>
      </c>
      <c r="AP79" s="3"/>
      <c r="AQ79" s="3">
        <v>109415</v>
      </c>
      <c r="AR79" s="3"/>
      <c r="AS79" s="3">
        <v>0</v>
      </c>
      <c r="AT79" s="3"/>
      <c r="AU79" s="3">
        <v>0</v>
      </c>
      <c r="AV79" s="3"/>
      <c r="AW79" s="3">
        <v>0</v>
      </c>
      <c r="AX79" s="3"/>
      <c r="AY79" s="3">
        <v>55297</v>
      </c>
      <c r="AZ79" s="3"/>
      <c r="BA79" s="3">
        <v>23819</v>
      </c>
      <c r="BB79" s="3"/>
      <c r="BC79" s="3">
        <v>0</v>
      </c>
      <c r="BD79" s="3"/>
      <c r="BE79" s="16">
        <f t="shared" si="5"/>
        <v>11155941</v>
      </c>
      <c r="BF79" s="3"/>
      <c r="BG79" s="3">
        <v>0</v>
      </c>
      <c r="BH79" s="3"/>
      <c r="BI79" s="3">
        <v>0</v>
      </c>
      <c r="BJ79" s="3"/>
      <c r="BK79" s="3">
        <v>0</v>
      </c>
      <c r="BL79" s="3"/>
      <c r="BM79" s="3">
        <v>0</v>
      </c>
      <c r="BN79" s="3"/>
      <c r="BO79" s="16">
        <f t="shared" si="4"/>
        <v>11155941</v>
      </c>
      <c r="BP79" s="103" t="s">
        <v>304</v>
      </c>
      <c r="BR79" s="103" t="s">
        <v>156</v>
      </c>
      <c r="BT79" s="16">
        <f>GovRev!AV79-BO79</f>
        <v>-502127</v>
      </c>
      <c r="BU79" s="3"/>
      <c r="BV79" s="3">
        <v>445237</v>
      </c>
      <c r="BW79" s="3"/>
      <c r="BX79" s="3">
        <v>0</v>
      </c>
      <c r="BY79" s="3"/>
      <c r="BZ79" s="16">
        <f t="shared" si="2"/>
        <v>-56890</v>
      </c>
      <c r="CA79" s="16"/>
      <c r="CB79" s="16">
        <f>-BZ79+GovBS!AE79</f>
        <v>0</v>
      </c>
    </row>
    <row r="80" spans="1:80" s="103" customFormat="1">
      <c r="A80" s="3" t="s">
        <v>306</v>
      </c>
      <c r="C80" s="103" t="s">
        <v>157</v>
      </c>
      <c r="E80" s="103">
        <v>46532</v>
      </c>
      <c r="G80" s="3">
        <v>1308197</v>
      </c>
      <c r="H80" s="3"/>
      <c r="I80" s="3">
        <v>28425868</v>
      </c>
      <c r="J80" s="3"/>
      <c r="K80" s="3">
        <v>544475</v>
      </c>
      <c r="L80" s="3"/>
      <c r="M80" s="3">
        <v>0</v>
      </c>
      <c r="N80" s="3"/>
      <c r="O80" s="3">
        <v>17242</v>
      </c>
      <c r="P80" s="3"/>
      <c r="Q80" s="3">
        <v>6142306</v>
      </c>
      <c r="R80" s="3"/>
      <c r="S80" s="3">
        <v>8875568</v>
      </c>
      <c r="T80" s="3"/>
      <c r="U80" s="3">
        <v>53504</v>
      </c>
      <c r="V80" s="3"/>
      <c r="W80" s="3">
        <v>12286126</v>
      </c>
      <c r="X80" s="3"/>
      <c r="Y80" s="3">
        <v>1356228</v>
      </c>
      <c r="Z80" s="3"/>
      <c r="AA80" s="3">
        <v>47769</v>
      </c>
      <c r="AB80" s="3"/>
      <c r="AC80" s="3">
        <v>1696002</v>
      </c>
      <c r="AD80" s="3"/>
      <c r="AE80" s="3" t="s">
        <v>306</v>
      </c>
      <c r="AG80" s="103" t="s">
        <v>157</v>
      </c>
      <c r="AH80" s="3"/>
      <c r="AI80" s="3">
        <v>3213</v>
      </c>
      <c r="AJ80" s="3"/>
      <c r="AK80" s="3">
        <v>38826</v>
      </c>
      <c r="AL80" s="3"/>
      <c r="AM80" s="3"/>
      <c r="AN80" s="3"/>
      <c r="AO80" s="3">
        <v>0</v>
      </c>
      <c r="AP80" s="3"/>
      <c r="AQ80" s="3">
        <v>5188540</v>
      </c>
      <c r="AR80" s="3"/>
      <c r="AS80" s="3">
        <v>61534</v>
      </c>
      <c r="AT80" s="3"/>
      <c r="AU80" s="3">
        <v>5997818</v>
      </c>
      <c r="AV80" s="3"/>
      <c r="AW80" s="3">
        <v>0</v>
      </c>
      <c r="AX80" s="3"/>
      <c r="AY80" s="3">
        <v>24076</v>
      </c>
      <c r="AZ80" s="3"/>
      <c r="BA80" s="3">
        <v>2840</v>
      </c>
      <c r="BB80" s="3"/>
      <c r="BC80" s="3">
        <v>0</v>
      </c>
      <c r="BD80" s="3"/>
      <c r="BE80" s="16">
        <f t="shared" si="5"/>
        <v>72070132</v>
      </c>
      <c r="BF80" s="3"/>
      <c r="BG80" s="3">
        <v>0</v>
      </c>
      <c r="BH80" s="3"/>
      <c r="BI80" s="3">
        <v>0</v>
      </c>
      <c r="BJ80" s="3"/>
      <c r="BK80" s="3">
        <v>0</v>
      </c>
      <c r="BL80" s="3"/>
      <c r="BM80" s="3">
        <v>0</v>
      </c>
      <c r="BN80" s="3"/>
      <c r="BO80" s="16">
        <f t="shared" si="4"/>
        <v>72070132</v>
      </c>
      <c r="BP80" s="3" t="s">
        <v>306</v>
      </c>
      <c r="BR80" s="103" t="s">
        <v>157</v>
      </c>
      <c r="BT80" s="16">
        <f>GovRev!AV80-BO80</f>
        <v>-3778430</v>
      </c>
      <c r="BU80" s="3"/>
      <c r="BV80" s="3">
        <v>18815393</v>
      </c>
      <c r="BW80" s="3"/>
      <c r="BX80" s="3">
        <v>0</v>
      </c>
      <c r="BY80" s="3"/>
      <c r="BZ80" s="16">
        <f t="shared" si="2"/>
        <v>15036963</v>
      </c>
      <c r="CA80" s="16"/>
      <c r="CB80" s="16">
        <f>-BZ80+GovBS!AE80</f>
        <v>0</v>
      </c>
    </row>
    <row r="81" spans="1:80" s="59" customFormat="1" hidden="1">
      <c r="A81" s="58" t="s">
        <v>309</v>
      </c>
      <c r="C81" s="59" t="s">
        <v>158</v>
      </c>
      <c r="E81" s="59">
        <v>46615</v>
      </c>
      <c r="G81" s="58">
        <v>0</v>
      </c>
      <c r="H81" s="58"/>
      <c r="I81" s="58">
        <v>0</v>
      </c>
      <c r="J81" s="58"/>
      <c r="K81" s="58">
        <v>0</v>
      </c>
      <c r="L81" s="58"/>
      <c r="M81" s="58">
        <v>0</v>
      </c>
      <c r="N81" s="58"/>
      <c r="O81" s="58">
        <v>0</v>
      </c>
      <c r="P81" s="58"/>
      <c r="Q81" s="58">
        <v>0</v>
      </c>
      <c r="R81" s="58"/>
      <c r="S81" s="58">
        <v>0</v>
      </c>
      <c r="T81" s="58"/>
      <c r="U81" s="58">
        <v>0</v>
      </c>
      <c r="V81" s="58"/>
      <c r="W81" s="58">
        <v>0</v>
      </c>
      <c r="X81" s="58"/>
      <c r="Y81" s="58">
        <v>0</v>
      </c>
      <c r="Z81" s="58"/>
      <c r="AA81" s="58">
        <v>0</v>
      </c>
      <c r="AB81" s="58"/>
      <c r="AC81" s="58">
        <v>0</v>
      </c>
      <c r="AD81" s="58"/>
      <c r="AE81" s="58" t="s">
        <v>309</v>
      </c>
      <c r="AG81" s="59" t="s">
        <v>158</v>
      </c>
      <c r="AH81" s="58"/>
      <c r="AI81" s="58">
        <v>0</v>
      </c>
      <c r="AJ81" s="58"/>
      <c r="AK81" s="58">
        <v>0</v>
      </c>
      <c r="AL81" s="58"/>
      <c r="AM81" s="58"/>
      <c r="AN81" s="58"/>
      <c r="AO81" s="58">
        <v>0</v>
      </c>
      <c r="AP81" s="58"/>
      <c r="AQ81" s="58">
        <v>0</v>
      </c>
      <c r="AR81" s="58"/>
      <c r="AS81" s="58">
        <v>0</v>
      </c>
      <c r="AT81" s="58"/>
      <c r="AU81" s="58">
        <v>0</v>
      </c>
      <c r="AV81" s="58"/>
      <c r="AW81" s="58">
        <v>0</v>
      </c>
      <c r="AX81" s="58"/>
      <c r="AY81" s="58">
        <v>0</v>
      </c>
      <c r="AZ81" s="58"/>
      <c r="BA81" s="58">
        <v>0</v>
      </c>
      <c r="BB81" s="58"/>
      <c r="BC81" s="58"/>
      <c r="BD81" s="58"/>
      <c r="BE81" s="60">
        <f t="shared" si="5"/>
        <v>0</v>
      </c>
      <c r="BF81" s="58"/>
      <c r="BG81" s="58">
        <v>0</v>
      </c>
      <c r="BH81" s="58"/>
      <c r="BI81" s="58"/>
      <c r="BJ81" s="58"/>
      <c r="BK81" s="58"/>
      <c r="BL81" s="58"/>
      <c r="BM81" s="58">
        <v>0</v>
      </c>
      <c r="BN81" s="58"/>
      <c r="BO81" s="60">
        <f t="shared" si="4"/>
        <v>0</v>
      </c>
      <c r="BP81" s="58" t="s">
        <v>309</v>
      </c>
      <c r="BR81" s="59" t="s">
        <v>158</v>
      </c>
      <c r="BT81" s="60">
        <f>GovRev!AV81-BO81</f>
        <v>0</v>
      </c>
      <c r="BU81" s="58"/>
      <c r="BV81" s="58">
        <v>0</v>
      </c>
      <c r="BW81" s="58"/>
      <c r="BX81" s="58"/>
      <c r="BY81" s="58"/>
      <c r="BZ81" s="60">
        <f t="shared" si="2"/>
        <v>0</v>
      </c>
      <c r="CA81" s="60"/>
      <c r="CB81" s="60">
        <f>-BZ81+GovBS!AE81</f>
        <v>0</v>
      </c>
    </row>
    <row r="82" spans="1:80" s="89" customFormat="1" hidden="1">
      <c r="A82" s="88" t="s">
        <v>305</v>
      </c>
      <c r="C82" s="89" t="s">
        <v>159</v>
      </c>
      <c r="E82" s="89">
        <v>46730</v>
      </c>
      <c r="G82" s="88">
        <v>0</v>
      </c>
      <c r="H82" s="88"/>
      <c r="I82" s="88">
        <v>0</v>
      </c>
      <c r="J82" s="88"/>
      <c r="K82" s="88">
        <v>0</v>
      </c>
      <c r="L82" s="88"/>
      <c r="M82" s="88">
        <v>0</v>
      </c>
      <c r="N82" s="88"/>
      <c r="O82" s="88">
        <v>0</v>
      </c>
      <c r="P82" s="88"/>
      <c r="Q82" s="88">
        <v>0</v>
      </c>
      <c r="R82" s="88"/>
      <c r="S82" s="88">
        <v>0</v>
      </c>
      <c r="T82" s="88"/>
      <c r="U82" s="88">
        <v>0</v>
      </c>
      <c r="V82" s="88"/>
      <c r="W82" s="88">
        <v>0</v>
      </c>
      <c r="X82" s="88"/>
      <c r="Y82" s="88">
        <v>0</v>
      </c>
      <c r="Z82" s="88"/>
      <c r="AA82" s="88">
        <v>0</v>
      </c>
      <c r="AB82" s="88"/>
      <c r="AC82" s="88">
        <v>0</v>
      </c>
      <c r="AD82" s="88"/>
      <c r="AE82" s="88" t="s">
        <v>305</v>
      </c>
      <c r="AG82" s="89" t="s">
        <v>159</v>
      </c>
      <c r="AH82" s="88"/>
      <c r="AI82" s="88">
        <v>0</v>
      </c>
      <c r="AJ82" s="88"/>
      <c r="AK82" s="88">
        <v>0</v>
      </c>
      <c r="AL82" s="88"/>
      <c r="AM82" s="88"/>
      <c r="AN82" s="88"/>
      <c r="AO82" s="88">
        <v>0</v>
      </c>
      <c r="AP82" s="88"/>
      <c r="AQ82" s="88">
        <v>0</v>
      </c>
      <c r="AR82" s="88"/>
      <c r="AS82" s="88">
        <v>0</v>
      </c>
      <c r="AT82" s="88"/>
      <c r="AU82" s="88">
        <v>0</v>
      </c>
      <c r="AV82" s="88"/>
      <c r="AW82" s="88">
        <v>0</v>
      </c>
      <c r="AX82" s="88"/>
      <c r="AY82" s="88">
        <v>0</v>
      </c>
      <c r="AZ82" s="88"/>
      <c r="BA82" s="88">
        <v>0</v>
      </c>
      <c r="BB82" s="88"/>
      <c r="BC82" s="88"/>
      <c r="BD82" s="88"/>
      <c r="BE82" s="90">
        <f t="shared" si="5"/>
        <v>0</v>
      </c>
      <c r="BF82" s="88"/>
      <c r="BG82" s="88">
        <v>0</v>
      </c>
      <c r="BH82" s="88"/>
      <c r="BI82" s="88"/>
      <c r="BJ82" s="88"/>
      <c r="BK82" s="88"/>
      <c r="BL82" s="88"/>
      <c r="BM82" s="88">
        <v>0</v>
      </c>
      <c r="BN82" s="88"/>
      <c r="BO82" s="90">
        <f t="shared" si="4"/>
        <v>0</v>
      </c>
      <c r="BP82" s="88" t="s">
        <v>305</v>
      </c>
      <c r="BR82" s="89" t="s">
        <v>159</v>
      </c>
      <c r="BT82" s="90">
        <f>GovRev!AV82-BO82</f>
        <v>0</v>
      </c>
      <c r="BU82" s="88"/>
      <c r="BV82" s="88">
        <v>0</v>
      </c>
      <c r="BW82" s="88"/>
      <c r="BX82" s="88"/>
      <c r="BY82" s="88"/>
      <c r="BZ82" s="90">
        <f t="shared" si="2"/>
        <v>0</v>
      </c>
      <c r="CA82" s="90"/>
      <c r="CB82" s="90">
        <f>-BZ82+GovBS!AE82</f>
        <v>0</v>
      </c>
    </row>
    <row r="83" spans="1:80" s="103" customFormat="1">
      <c r="A83" s="3" t="s">
        <v>303</v>
      </c>
      <c r="C83" s="103" t="s">
        <v>198</v>
      </c>
      <c r="E83" s="103">
        <v>50260</v>
      </c>
      <c r="G83" s="3">
        <v>831824</v>
      </c>
      <c r="H83" s="3"/>
      <c r="I83" s="3">
        <v>1596615</v>
      </c>
      <c r="J83" s="3"/>
      <c r="K83" s="3">
        <v>0</v>
      </c>
      <c r="L83" s="3"/>
      <c r="M83" s="3">
        <v>0</v>
      </c>
      <c r="N83" s="3"/>
      <c r="O83" s="3">
        <v>988473</v>
      </c>
      <c r="P83" s="3"/>
      <c r="Q83" s="3">
        <v>2700717</v>
      </c>
      <c r="R83" s="3"/>
      <c r="S83" s="3">
        <v>3578741</v>
      </c>
      <c r="T83" s="3"/>
      <c r="U83" s="3">
        <v>27731</v>
      </c>
      <c r="V83" s="3"/>
      <c r="W83" s="3">
        <v>432063</v>
      </c>
      <c r="X83" s="3"/>
      <c r="Y83" s="3">
        <v>291615</v>
      </c>
      <c r="Z83" s="3"/>
      <c r="AA83" s="3">
        <v>189818</v>
      </c>
      <c r="AB83" s="3"/>
      <c r="AC83" s="3">
        <v>207853</v>
      </c>
      <c r="AD83" s="3"/>
      <c r="AE83" s="3" t="s">
        <v>303</v>
      </c>
      <c r="AG83" s="103" t="s">
        <v>198</v>
      </c>
      <c r="AH83" s="3"/>
      <c r="AI83" s="3">
        <v>39580</v>
      </c>
      <c r="AJ83" s="3"/>
      <c r="AK83" s="3">
        <v>532233</v>
      </c>
      <c r="AL83" s="3"/>
      <c r="AM83" s="3"/>
      <c r="AN83" s="3"/>
      <c r="AO83" s="3">
        <v>0</v>
      </c>
      <c r="AP83" s="3"/>
      <c r="AQ83" s="3">
        <v>0</v>
      </c>
      <c r="AR83" s="3"/>
      <c r="AS83" s="3">
        <v>0</v>
      </c>
      <c r="AT83" s="3"/>
      <c r="AU83" s="3">
        <v>170429</v>
      </c>
      <c r="AV83" s="3"/>
      <c r="AW83" s="3">
        <v>0</v>
      </c>
      <c r="AX83" s="3"/>
      <c r="AY83" s="3">
        <v>129031</v>
      </c>
      <c r="AZ83" s="3"/>
      <c r="BA83" s="3">
        <v>21942</v>
      </c>
      <c r="BB83" s="3"/>
      <c r="BC83" s="3">
        <v>0</v>
      </c>
      <c r="BD83" s="3"/>
      <c r="BE83" s="16">
        <f t="shared" si="5"/>
        <v>11738665</v>
      </c>
      <c r="BF83" s="3"/>
      <c r="BG83" s="3">
        <v>0</v>
      </c>
      <c r="BH83" s="3"/>
      <c r="BI83" s="3">
        <v>0</v>
      </c>
      <c r="BJ83" s="3"/>
      <c r="BK83" s="3">
        <v>0</v>
      </c>
      <c r="BL83" s="3"/>
      <c r="BM83" s="3">
        <v>0</v>
      </c>
      <c r="BN83" s="3"/>
      <c r="BO83" s="16">
        <f t="shared" si="4"/>
        <v>11738665</v>
      </c>
      <c r="BP83" s="3" t="s">
        <v>303</v>
      </c>
      <c r="BR83" s="103" t="s">
        <v>198</v>
      </c>
      <c r="BT83" s="16">
        <f>GovRev!AV83-BO83</f>
        <v>-245348</v>
      </c>
      <c r="BU83" s="3"/>
      <c r="BV83" s="3">
        <v>1063036</v>
      </c>
      <c r="BW83" s="3"/>
      <c r="BX83" s="3">
        <v>0</v>
      </c>
      <c r="BY83" s="3"/>
      <c r="BZ83" s="16">
        <f t="shared" ref="BZ83" si="6">+BV83+BT83+BX83</f>
        <v>817688</v>
      </c>
      <c r="CA83" s="16"/>
      <c r="CB83" s="16">
        <f>-BZ83+GovBS!AE83</f>
        <v>0</v>
      </c>
    </row>
    <row r="84" spans="1:80" s="103" customFormat="1">
      <c r="A84" s="3" t="s">
        <v>312</v>
      </c>
      <c r="C84" s="103" t="s">
        <v>162</v>
      </c>
      <c r="E84" s="103">
        <v>46938</v>
      </c>
      <c r="G84" s="3">
        <v>395051</v>
      </c>
      <c r="H84" s="3"/>
      <c r="I84" s="3">
        <v>10471132</v>
      </c>
      <c r="J84" s="3"/>
      <c r="K84" s="3">
        <v>0</v>
      </c>
      <c r="L84" s="3"/>
      <c r="M84" s="3">
        <v>0</v>
      </c>
      <c r="N84" s="3"/>
      <c r="O84" s="3">
        <v>829</v>
      </c>
      <c r="P84" s="3"/>
      <c r="Q84" s="3">
        <v>8264677</v>
      </c>
      <c r="R84" s="3"/>
      <c r="S84" s="3">
        <v>14081799</v>
      </c>
      <c r="T84" s="3"/>
      <c r="U84" s="3">
        <v>59271</v>
      </c>
      <c r="V84" s="3"/>
      <c r="W84" s="3">
        <v>9081687</v>
      </c>
      <c r="X84" s="3"/>
      <c r="Y84" s="3">
        <v>2104518</v>
      </c>
      <c r="Z84" s="3"/>
      <c r="AA84" s="3">
        <v>526946</v>
      </c>
      <c r="AB84" s="3"/>
      <c r="AC84" s="3">
        <v>1202983</v>
      </c>
      <c r="AD84" s="3"/>
      <c r="AE84" s="3" t="s">
        <v>312</v>
      </c>
      <c r="AG84" s="103" t="s">
        <v>162</v>
      </c>
      <c r="AH84" s="3"/>
      <c r="AI84" s="3">
        <v>182668</v>
      </c>
      <c r="AJ84" s="3"/>
      <c r="AK84" s="3">
        <v>36818301</v>
      </c>
      <c r="AL84" s="3"/>
      <c r="AM84" s="3"/>
      <c r="AN84" s="3"/>
      <c r="AO84" s="3">
        <v>0</v>
      </c>
      <c r="AP84" s="3"/>
      <c r="AQ84" s="3">
        <v>63880</v>
      </c>
      <c r="AR84" s="3"/>
      <c r="AS84" s="3">
        <v>138149</v>
      </c>
      <c r="AT84" s="3"/>
      <c r="AU84" s="3">
        <v>26908</v>
      </c>
      <c r="AV84" s="3"/>
      <c r="AW84" s="3">
        <v>0</v>
      </c>
      <c r="AX84" s="3"/>
      <c r="AY84" s="3">
        <v>314662</v>
      </c>
      <c r="AZ84" s="3"/>
      <c r="BA84" s="3">
        <v>112763</v>
      </c>
      <c r="BB84" s="3"/>
      <c r="BC84" s="3">
        <v>0</v>
      </c>
      <c r="BD84" s="3"/>
      <c r="BE84" s="16">
        <f>SUM(G84:BC84)</f>
        <v>83846224</v>
      </c>
      <c r="BF84" s="3"/>
      <c r="BG84" s="3">
        <v>221646</v>
      </c>
      <c r="BH84" s="3"/>
      <c r="BI84" s="3">
        <v>0</v>
      </c>
      <c r="BJ84" s="3"/>
      <c r="BK84" s="3">
        <v>0</v>
      </c>
      <c r="BL84" s="3"/>
      <c r="BM84" s="3">
        <v>0</v>
      </c>
      <c r="BN84" s="3"/>
      <c r="BO84" s="16">
        <f t="shared" si="4"/>
        <v>84067870</v>
      </c>
      <c r="BP84" s="3" t="s">
        <v>312</v>
      </c>
      <c r="BR84" s="103" t="s">
        <v>162</v>
      </c>
      <c r="BT84" s="16">
        <f>GovRev!AV84-BO84</f>
        <v>-6091409</v>
      </c>
      <c r="BU84" s="3"/>
      <c r="BV84" s="3">
        <v>12457021</v>
      </c>
      <c r="BW84" s="3"/>
      <c r="BX84" s="3">
        <v>0</v>
      </c>
      <c r="BY84" s="3"/>
      <c r="BZ84" s="16">
        <f>+BV84+BT84+BX84</f>
        <v>6365612</v>
      </c>
      <c r="CA84" s="16"/>
      <c r="CB84" s="16">
        <f>-BZ84+GovBS!AE84</f>
        <v>0</v>
      </c>
    </row>
    <row r="85" spans="1:80" s="89" customFormat="1" hidden="1">
      <c r="A85" s="89" t="s">
        <v>274</v>
      </c>
      <c r="C85" s="89" t="s">
        <v>160</v>
      </c>
      <c r="E85" s="89">
        <v>125690</v>
      </c>
      <c r="G85" s="88">
        <v>0</v>
      </c>
      <c r="H85" s="88"/>
      <c r="I85" s="88">
        <v>0</v>
      </c>
      <c r="J85" s="88"/>
      <c r="K85" s="88">
        <v>0</v>
      </c>
      <c r="L85" s="88"/>
      <c r="M85" s="88">
        <v>0</v>
      </c>
      <c r="N85" s="88"/>
      <c r="O85" s="88">
        <v>0</v>
      </c>
      <c r="P85" s="88"/>
      <c r="Q85" s="88">
        <v>0</v>
      </c>
      <c r="R85" s="88"/>
      <c r="S85" s="88">
        <v>0</v>
      </c>
      <c r="T85" s="88"/>
      <c r="U85" s="88">
        <v>0</v>
      </c>
      <c r="V85" s="88"/>
      <c r="W85" s="88">
        <v>0</v>
      </c>
      <c r="X85" s="88"/>
      <c r="Y85" s="88">
        <v>0</v>
      </c>
      <c r="Z85" s="88"/>
      <c r="AA85" s="88">
        <v>0</v>
      </c>
      <c r="AB85" s="88"/>
      <c r="AC85" s="88">
        <v>0</v>
      </c>
      <c r="AD85" s="88"/>
      <c r="AE85" s="89" t="s">
        <v>274</v>
      </c>
      <c r="AG85" s="89" t="s">
        <v>160</v>
      </c>
      <c r="AH85" s="88"/>
      <c r="AI85" s="88">
        <v>0</v>
      </c>
      <c r="AJ85" s="88"/>
      <c r="AK85" s="88">
        <v>0</v>
      </c>
      <c r="AL85" s="88"/>
      <c r="AM85" s="88"/>
      <c r="AN85" s="88"/>
      <c r="AO85" s="88">
        <v>0</v>
      </c>
      <c r="AP85" s="88"/>
      <c r="AQ85" s="88">
        <v>0</v>
      </c>
      <c r="AR85" s="88"/>
      <c r="AS85" s="88">
        <v>0</v>
      </c>
      <c r="AT85" s="88"/>
      <c r="AU85" s="88">
        <v>0</v>
      </c>
      <c r="AV85" s="88"/>
      <c r="AW85" s="88">
        <v>0</v>
      </c>
      <c r="AX85" s="88"/>
      <c r="AY85" s="88">
        <v>0</v>
      </c>
      <c r="AZ85" s="88"/>
      <c r="BA85" s="88">
        <v>0</v>
      </c>
      <c r="BB85" s="88"/>
      <c r="BC85" s="88"/>
      <c r="BD85" s="88"/>
      <c r="BE85" s="90">
        <f t="shared" si="5"/>
        <v>0</v>
      </c>
      <c r="BF85" s="88"/>
      <c r="BG85" s="88">
        <v>0</v>
      </c>
      <c r="BH85" s="88"/>
      <c r="BI85" s="88"/>
      <c r="BJ85" s="88"/>
      <c r="BK85" s="88"/>
      <c r="BL85" s="88"/>
      <c r="BM85" s="88">
        <v>0</v>
      </c>
      <c r="BN85" s="88"/>
      <c r="BO85" s="90">
        <f t="shared" si="4"/>
        <v>0</v>
      </c>
      <c r="BP85" s="89" t="s">
        <v>274</v>
      </c>
      <c r="BR85" s="89" t="s">
        <v>160</v>
      </c>
      <c r="BT85" s="90">
        <f>GovRev!AV85-BO85</f>
        <v>0</v>
      </c>
      <c r="BU85" s="88"/>
      <c r="BV85" s="88">
        <v>0</v>
      </c>
      <c r="BW85" s="88"/>
      <c r="BX85" s="88"/>
      <c r="BY85" s="88"/>
      <c r="BZ85" s="90">
        <f t="shared" ref="BZ85:BZ131" si="7">+BV85+BT85+BX85</f>
        <v>0</v>
      </c>
      <c r="CA85" s="90"/>
      <c r="CB85" s="90">
        <f>-BZ85+GovBS!AE85</f>
        <v>0</v>
      </c>
    </row>
    <row r="86" spans="1:80" s="103" customFormat="1">
      <c r="A86" s="3" t="s">
        <v>314</v>
      </c>
      <c r="C86" s="103" t="s">
        <v>161</v>
      </c>
      <c r="E86" s="103">
        <v>46839</v>
      </c>
      <c r="G86" s="3">
        <v>323498</v>
      </c>
      <c r="H86" s="3"/>
      <c r="I86" s="3">
        <v>2007475</v>
      </c>
      <c r="J86" s="3"/>
      <c r="K86" s="3">
        <v>0</v>
      </c>
      <c r="L86" s="3"/>
      <c r="M86" s="3">
        <v>0</v>
      </c>
      <c r="N86" s="3"/>
      <c r="O86" s="3">
        <v>0</v>
      </c>
      <c r="P86" s="3"/>
      <c r="Q86" s="3">
        <v>2064013</v>
      </c>
      <c r="R86" s="3"/>
      <c r="S86" s="3">
        <v>2617593</v>
      </c>
      <c r="T86" s="3"/>
      <c r="U86" s="3">
        <v>26925</v>
      </c>
      <c r="V86" s="3"/>
      <c r="W86" s="3">
        <v>1210221</v>
      </c>
      <c r="X86" s="3"/>
      <c r="Y86" s="3">
        <v>211651</v>
      </c>
      <c r="Z86" s="3"/>
      <c r="AA86" s="3">
        <v>0</v>
      </c>
      <c r="AB86" s="3"/>
      <c r="AC86" s="3">
        <v>117179</v>
      </c>
      <c r="AD86" s="3"/>
      <c r="AE86" s="3" t="s">
        <v>314</v>
      </c>
      <c r="AG86" s="103" t="s">
        <v>161</v>
      </c>
      <c r="AH86" s="3"/>
      <c r="AI86" s="3">
        <v>0</v>
      </c>
      <c r="AJ86" s="3"/>
      <c r="AK86" s="3">
        <v>117872</v>
      </c>
      <c r="AL86" s="3"/>
      <c r="AM86" s="3"/>
      <c r="AN86" s="3"/>
      <c r="AO86" s="3">
        <v>0</v>
      </c>
      <c r="AP86" s="3"/>
      <c r="AQ86" s="3">
        <v>0</v>
      </c>
      <c r="AR86" s="3"/>
      <c r="AS86" s="3">
        <v>0</v>
      </c>
      <c r="AT86" s="3"/>
      <c r="AU86" s="3">
        <v>0</v>
      </c>
      <c r="AV86" s="3"/>
      <c r="AW86" s="3">
        <v>0</v>
      </c>
      <c r="AX86" s="3"/>
      <c r="AY86" s="3">
        <v>7341</v>
      </c>
      <c r="AZ86" s="3"/>
      <c r="BA86" s="3">
        <v>774</v>
      </c>
      <c r="BB86" s="3"/>
      <c r="BC86" s="3">
        <v>0</v>
      </c>
      <c r="BD86" s="3"/>
      <c r="BE86" s="16">
        <f t="shared" si="5"/>
        <v>8704542</v>
      </c>
      <c r="BF86" s="3"/>
      <c r="BG86" s="3">
        <v>0</v>
      </c>
      <c r="BH86" s="3"/>
      <c r="BI86" s="3">
        <v>0</v>
      </c>
      <c r="BJ86" s="3"/>
      <c r="BK86" s="3">
        <v>0</v>
      </c>
      <c r="BL86" s="3"/>
      <c r="BM86" s="3">
        <v>0</v>
      </c>
      <c r="BN86" s="3"/>
      <c r="BO86" s="16">
        <f t="shared" si="4"/>
        <v>8704542</v>
      </c>
      <c r="BP86" s="3" t="s">
        <v>314</v>
      </c>
      <c r="BR86" s="103" t="s">
        <v>161</v>
      </c>
      <c r="BT86" s="16">
        <f>GovRev!AV86-BO86</f>
        <v>-386540</v>
      </c>
      <c r="BU86" s="3"/>
      <c r="BV86" s="3">
        <v>1455734</v>
      </c>
      <c r="BW86" s="3"/>
      <c r="BX86" s="3">
        <v>0</v>
      </c>
      <c r="BY86" s="3"/>
      <c r="BZ86" s="16">
        <f t="shared" si="7"/>
        <v>1069194</v>
      </c>
      <c r="CA86" s="16"/>
      <c r="CB86" s="16">
        <f>-BZ86+GovBS!AE86</f>
        <v>0</v>
      </c>
    </row>
    <row r="87" spans="1:80" s="103" customFormat="1">
      <c r="A87" s="3" t="s">
        <v>164</v>
      </c>
      <c r="C87" s="103" t="s">
        <v>165</v>
      </c>
      <c r="E87" s="103">
        <v>125682</v>
      </c>
      <c r="G87" s="3">
        <v>1803859</v>
      </c>
      <c r="H87" s="3"/>
      <c r="I87" s="3">
        <v>56652</v>
      </c>
      <c r="J87" s="3"/>
      <c r="K87" s="3">
        <v>0</v>
      </c>
      <c r="L87" s="3"/>
      <c r="M87" s="3">
        <v>0</v>
      </c>
      <c r="N87" s="3"/>
      <c r="O87" s="3">
        <v>0</v>
      </c>
      <c r="P87" s="3"/>
      <c r="Q87" s="3">
        <v>434684</v>
      </c>
      <c r="R87" s="3"/>
      <c r="S87" s="3">
        <v>1415177</v>
      </c>
      <c r="T87" s="3"/>
      <c r="U87" s="3">
        <v>32905</v>
      </c>
      <c r="V87" s="3"/>
      <c r="W87" s="3">
        <v>1035695</v>
      </c>
      <c r="X87" s="3"/>
      <c r="Y87" s="3">
        <v>152491</v>
      </c>
      <c r="Z87" s="3"/>
      <c r="AA87" s="3">
        <v>0</v>
      </c>
      <c r="AB87" s="3"/>
      <c r="AC87" s="3">
        <v>15491</v>
      </c>
      <c r="AD87" s="3"/>
      <c r="AE87" s="3" t="s">
        <v>164</v>
      </c>
      <c r="AG87" s="103" t="s">
        <v>165</v>
      </c>
      <c r="AH87" s="3"/>
      <c r="AI87" s="3">
        <v>444846</v>
      </c>
      <c r="AJ87" s="3"/>
      <c r="AK87" s="3">
        <v>102103</v>
      </c>
      <c r="AL87" s="3"/>
      <c r="AM87" s="3"/>
      <c r="AN87" s="3"/>
      <c r="AO87" s="3">
        <v>0</v>
      </c>
      <c r="AP87" s="3"/>
      <c r="AQ87" s="3">
        <v>42475</v>
      </c>
      <c r="AR87" s="3"/>
      <c r="AS87" s="3">
        <v>0</v>
      </c>
      <c r="AT87" s="3"/>
      <c r="AU87" s="3">
        <v>13808</v>
      </c>
      <c r="AV87" s="3"/>
      <c r="AW87" s="3">
        <v>0</v>
      </c>
      <c r="AX87" s="3"/>
      <c r="AY87" s="3">
        <v>0</v>
      </c>
      <c r="AZ87" s="3"/>
      <c r="BA87" s="3">
        <v>0</v>
      </c>
      <c r="BB87" s="3"/>
      <c r="BC87" s="3">
        <v>0</v>
      </c>
      <c r="BD87" s="3"/>
      <c r="BE87" s="16">
        <f t="shared" si="5"/>
        <v>5550186</v>
      </c>
      <c r="BF87" s="3"/>
      <c r="BG87" s="3">
        <v>9705</v>
      </c>
      <c r="BH87" s="3"/>
      <c r="BI87" s="3">
        <v>0</v>
      </c>
      <c r="BJ87" s="3"/>
      <c r="BK87" s="3">
        <v>0</v>
      </c>
      <c r="BL87" s="3"/>
      <c r="BM87" s="3">
        <v>0</v>
      </c>
      <c r="BN87" s="3"/>
      <c r="BO87" s="16">
        <f t="shared" si="4"/>
        <v>5559891</v>
      </c>
      <c r="BP87" s="3" t="s">
        <v>164</v>
      </c>
      <c r="BR87" s="103" t="s">
        <v>165</v>
      </c>
      <c r="BT87" s="16">
        <f>GovRev!AV87-BO87</f>
        <v>17646</v>
      </c>
      <c r="BU87" s="3"/>
      <c r="BV87" s="3">
        <v>1074279</v>
      </c>
      <c r="BW87" s="3"/>
      <c r="BX87" s="3">
        <v>0</v>
      </c>
      <c r="BY87" s="3"/>
      <c r="BZ87" s="16">
        <f t="shared" si="7"/>
        <v>1091925</v>
      </c>
      <c r="CA87" s="16"/>
      <c r="CB87" s="16">
        <f>-BZ87+GovBS!AE87</f>
        <v>0</v>
      </c>
    </row>
    <row r="88" spans="1:80" s="103" customFormat="1">
      <c r="A88" s="107" t="s">
        <v>313</v>
      </c>
      <c r="C88" s="103" t="s">
        <v>166</v>
      </c>
      <c r="E88" s="103">
        <v>47159</v>
      </c>
      <c r="G88" s="3">
        <v>134073</v>
      </c>
      <c r="H88" s="3"/>
      <c r="I88" s="3">
        <v>4261455</v>
      </c>
      <c r="J88" s="3"/>
      <c r="K88" s="3">
        <v>391326</v>
      </c>
      <c r="L88" s="3"/>
      <c r="M88" s="3">
        <v>7901</v>
      </c>
      <c r="N88" s="3"/>
      <c r="O88" s="3">
        <v>0</v>
      </c>
      <c r="P88" s="3"/>
      <c r="Q88" s="3">
        <v>3816247</v>
      </c>
      <c r="R88" s="3"/>
      <c r="S88" s="3">
        <v>1891947</v>
      </c>
      <c r="T88" s="3"/>
      <c r="U88" s="3">
        <v>24218</v>
      </c>
      <c r="V88" s="3"/>
      <c r="W88" s="3">
        <v>1569793</v>
      </c>
      <c r="X88" s="3"/>
      <c r="Y88" s="3">
        <v>268653</v>
      </c>
      <c r="Z88" s="3"/>
      <c r="AA88" s="3">
        <v>24280</v>
      </c>
      <c r="AB88" s="3"/>
      <c r="AC88" s="3">
        <v>98346</v>
      </c>
      <c r="AD88" s="3"/>
      <c r="AE88" s="107" t="s">
        <v>313</v>
      </c>
      <c r="AG88" s="103" t="s">
        <v>166</v>
      </c>
      <c r="AH88" s="3"/>
      <c r="AI88" s="3">
        <v>2426</v>
      </c>
      <c r="AJ88" s="3"/>
      <c r="AK88" s="3">
        <v>193002</v>
      </c>
      <c r="AL88" s="3"/>
      <c r="AM88" s="3"/>
      <c r="AN88" s="3"/>
      <c r="AO88" s="3">
        <v>0</v>
      </c>
      <c r="AP88" s="3"/>
      <c r="AQ88" s="3">
        <v>0</v>
      </c>
      <c r="AR88" s="3"/>
      <c r="AS88" s="3">
        <v>0</v>
      </c>
      <c r="AT88" s="3"/>
      <c r="AU88" s="3">
        <v>0</v>
      </c>
      <c r="AV88" s="3"/>
      <c r="AW88" s="3">
        <v>0</v>
      </c>
      <c r="AX88" s="3"/>
      <c r="AY88" s="3">
        <v>0</v>
      </c>
      <c r="AZ88" s="3"/>
      <c r="BA88" s="3">
        <v>0</v>
      </c>
      <c r="BB88" s="3"/>
      <c r="BC88" s="3">
        <v>0</v>
      </c>
      <c r="BD88" s="3"/>
      <c r="BE88" s="16">
        <f t="shared" si="5"/>
        <v>12683667</v>
      </c>
      <c r="BF88" s="3"/>
      <c r="BG88" s="3">
        <v>0</v>
      </c>
      <c r="BH88" s="3"/>
      <c r="BI88" s="3">
        <v>0</v>
      </c>
      <c r="BJ88" s="3"/>
      <c r="BK88" s="3">
        <v>0</v>
      </c>
      <c r="BL88" s="3"/>
      <c r="BM88" s="3">
        <v>0</v>
      </c>
      <c r="BN88" s="3"/>
      <c r="BO88" s="16">
        <f t="shared" si="4"/>
        <v>12683667</v>
      </c>
      <c r="BP88" s="107" t="s">
        <v>313</v>
      </c>
      <c r="BR88" s="103" t="s">
        <v>166</v>
      </c>
      <c r="BT88" s="16">
        <f>GovRev!AV88-BO88</f>
        <v>-92592</v>
      </c>
      <c r="BU88" s="3"/>
      <c r="BV88" s="3">
        <v>1268842</v>
      </c>
      <c r="BW88" s="3"/>
      <c r="BX88" s="3">
        <v>0</v>
      </c>
      <c r="BY88" s="3"/>
      <c r="BZ88" s="16">
        <f t="shared" si="7"/>
        <v>1176250</v>
      </c>
      <c r="CA88" s="16"/>
      <c r="CB88" s="16">
        <f>-BZ88+GovBS!AE88</f>
        <v>0</v>
      </c>
    </row>
    <row r="89" spans="1:80" s="103" customFormat="1">
      <c r="A89" s="103" t="s">
        <v>291</v>
      </c>
      <c r="C89" s="103" t="s">
        <v>167</v>
      </c>
      <c r="E89" s="103">
        <v>47233</v>
      </c>
      <c r="G89" s="3">
        <v>511164</v>
      </c>
      <c r="H89" s="3"/>
      <c r="I89" s="3">
        <v>2757809</v>
      </c>
      <c r="J89" s="3"/>
      <c r="K89" s="3">
        <v>0</v>
      </c>
      <c r="L89" s="3"/>
      <c r="M89" s="3">
        <v>0</v>
      </c>
      <c r="N89" s="3"/>
      <c r="O89" s="3">
        <v>0</v>
      </c>
      <c r="P89" s="3"/>
      <c r="Q89" s="3">
        <v>5652424</v>
      </c>
      <c r="R89" s="3"/>
      <c r="S89" s="3">
        <v>1945291</v>
      </c>
      <c r="T89" s="3"/>
      <c r="U89" s="3">
        <v>27540</v>
      </c>
      <c r="V89" s="3"/>
      <c r="W89" s="3">
        <v>159965</v>
      </c>
      <c r="X89" s="3"/>
      <c r="Y89" s="3">
        <v>254265</v>
      </c>
      <c r="Z89" s="3"/>
      <c r="AA89" s="3">
        <v>10742</v>
      </c>
      <c r="AB89" s="3"/>
      <c r="AC89" s="3">
        <v>170726</v>
      </c>
      <c r="AD89" s="3"/>
      <c r="AE89" s="103" t="s">
        <v>291</v>
      </c>
      <c r="AG89" s="103" t="s">
        <v>167</v>
      </c>
      <c r="AH89" s="3"/>
      <c r="AI89" s="3">
        <v>0</v>
      </c>
      <c r="AJ89" s="3"/>
      <c r="AK89" s="3">
        <v>10047</v>
      </c>
      <c r="AL89" s="3"/>
      <c r="AM89" s="3"/>
      <c r="AN89" s="3"/>
      <c r="AO89" s="3">
        <v>0</v>
      </c>
      <c r="AP89" s="3"/>
      <c r="AQ89" s="3">
        <v>1600</v>
      </c>
      <c r="AR89" s="3"/>
      <c r="AS89" s="3">
        <v>0</v>
      </c>
      <c r="AT89" s="3"/>
      <c r="AU89" s="3">
        <v>73420</v>
      </c>
      <c r="AV89" s="3"/>
      <c r="AW89" s="3">
        <v>178074</v>
      </c>
      <c r="AX89" s="3"/>
      <c r="AY89" s="3">
        <v>0</v>
      </c>
      <c r="AZ89" s="3"/>
      <c r="BA89" s="3">
        <v>0</v>
      </c>
      <c r="BB89" s="3"/>
      <c r="BC89" s="3">
        <v>0</v>
      </c>
      <c r="BD89" s="3"/>
      <c r="BE89" s="16">
        <f t="shared" si="5"/>
        <v>11753067</v>
      </c>
      <c r="BF89" s="3"/>
      <c r="BG89" s="3">
        <v>0</v>
      </c>
      <c r="BH89" s="3"/>
      <c r="BI89" s="3">
        <v>0</v>
      </c>
      <c r="BJ89" s="3"/>
      <c r="BK89" s="3">
        <v>0</v>
      </c>
      <c r="BL89" s="3"/>
      <c r="BM89" s="3">
        <v>0</v>
      </c>
      <c r="BN89" s="3"/>
      <c r="BO89" s="16">
        <f t="shared" si="4"/>
        <v>11753067</v>
      </c>
      <c r="BP89" s="103" t="s">
        <v>291</v>
      </c>
      <c r="BR89" s="103" t="s">
        <v>167</v>
      </c>
      <c r="BT89" s="16">
        <f>GovRev!AV89-BO89</f>
        <v>-6950</v>
      </c>
      <c r="BU89" s="3"/>
      <c r="BV89" s="3">
        <v>1464832</v>
      </c>
      <c r="BW89" s="3"/>
      <c r="BX89" s="3">
        <v>0</v>
      </c>
      <c r="BY89" s="3"/>
      <c r="BZ89" s="16">
        <f t="shared" si="7"/>
        <v>1457882</v>
      </c>
      <c r="CA89" s="16"/>
      <c r="CB89" s="16">
        <f>-BZ89+GovBS!AE89</f>
        <v>0</v>
      </c>
    </row>
    <row r="90" spans="1:80" s="103" customFormat="1">
      <c r="A90" s="103" t="s">
        <v>292</v>
      </c>
      <c r="C90" s="103" t="s">
        <v>168</v>
      </c>
      <c r="E90" s="103">
        <v>47324</v>
      </c>
      <c r="G90" s="3">
        <v>0</v>
      </c>
      <c r="H90" s="3"/>
      <c r="I90" s="3">
        <v>7584551</v>
      </c>
      <c r="J90" s="3"/>
      <c r="K90" s="3">
        <v>42144</v>
      </c>
      <c r="L90" s="3"/>
      <c r="M90" s="3">
        <v>0</v>
      </c>
      <c r="N90" s="3"/>
      <c r="O90" s="3">
        <v>0</v>
      </c>
      <c r="P90" s="3"/>
      <c r="Q90" s="3">
        <v>7771487</v>
      </c>
      <c r="R90" s="3"/>
      <c r="S90" s="3">
        <v>9451133</v>
      </c>
      <c r="T90" s="3"/>
      <c r="U90" s="3">
        <v>0</v>
      </c>
      <c r="V90" s="3"/>
      <c r="W90" s="3">
        <f>99489+4365359</f>
        <v>4464848</v>
      </c>
      <c r="X90" s="3"/>
      <c r="Y90" s="3">
        <v>1376996</v>
      </c>
      <c r="Z90" s="3"/>
      <c r="AA90" s="3">
        <v>406566</v>
      </c>
      <c r="AB90" s="3"/>
      <c r="AC90" s="3">
        <v>431527</v>
      </c>
      <c r="AD90" s="3"/>
      <c r="AE90" s="103" t="s">
        <v>292</v>
      </c>
      <c r="AG90" s="103" t="s">
        <v>168</v>
      </c>
      <c r="AH90" s="3"/>
      <c r="AI90" s="3">
        <v>0</v>
      </c>
      <c r="AJ90" s="3"/>
      <c r="AK90" s="3">
        <v>943287</v>
      </c>
      <c r="AL90" s="3"/>
      <c r="AM90" s="3"/>
      <c r="AN90" s="3"/>
      <c r="AO90" s="3">
        <v>0</v>
      </c>
      <c r="AP90" s="3"/>
      <c r="AQ90" s="3">
        <v>10508559</v>
      </c>
      <c r="AR90" s="3"/>
      <c r="AS90" s="3">
        <v>0</v>
      </c>
      <c r="AT90" s="3"/>
      <c r="AU90" s="3">
        <v>4225</v>
      </c>
      <c r="AV90" s="3"/>
      <c r="AW90" s="3">
        <v>0</v>
      </c>
      <c r="AX90" s="3"/>
      <c r="AY90" s="3">
        <v>47000</v>
      </c>
      <c r="AZ90" s="3"/>
      <c r="BA90" s="3">
        <v>100142</v>
      </c>
      <c r="BB90" s="3"/>
      <c r="BC90" s="3">
        <v>0</v>
      </c>
      <c r="BD90" s="3"/>
      <c r="BE90" s="16">
        <f t="shared" si="5"/>
        <v>43132465</v>
      </c>
      <c r="BF90" s="3"/>
      <c r="BG90" s="3">
        <v>0</v>
      </c>
      <c r="BH90" s="3"/>
      <c r="BI90" s="3">
        <v>0</v>
      </c>
      <c r="BJ90" s="3"/>
      <c r="BK90" s="3">
        <v>0</v>
      </c>
      <c r="BL90" s="3"/>
      <c r="BM90" s="3">
        <v>0</v>
      </c>
      <c r="BN90" s="3"/>
      <c r="BO90" s="16">
        <f t="shared" si="4"/>
        <v>43132465</v>
      </c>
      <c r="BP90" s="103" t="s">
        <v>292</v>
      </c>
      <c r="BR90" s="103" t="s">
        <v>168</v>
      </c>
      <c r="BT90" s="16">
        <f>GovRev!AV90-BO90</f>
        <v>-1075646</v>
      </c>
      <c r="BU90" s="3"/>
      <c r="BV90" s="3">
        <v>9058408</v>
      </c>
      <c r="BW90" s="3"/>
      <c r="BX90" s="3">
        <v>0</v>
      </c>
      <c r="BY90" s="3"/>
      <c r="BZ90" s="16">
        <f t="shared" si="7"/>
        <v>7982762</v>
      </c>
      <c r="CA90" s="16"/>
      <c r="CB90" s="16">
        <f>-BZ90+GovBS!AE90</f>
        <v>0</v>
      </c>
    </row>
    <row r="91" spans="1:80" s="103" customFormat="1">
      <c r="A91" s="103" t="s">
        <v>293</v>
      </c>
      <c r="C91" s="103" t="s">
        <v>169</v>
      </c>
      <c r="E91" s="103">
        <v>47407</v>
      </c>
      <c r="G91" s="3">
        <v>108004</v>
      </c>
      <c r="H91" s="3"/>
      <c r="I91" s="3">
        <v>1621563</v>
      </c>
      <c r="J91" s="3"/>
      <c r="K91" s="3">
        <v>0</v>
      </c>
      <c r="L91" s="3"/>
      <c r="M91" s="3">
        <v>0</v>
      </c>
      <c r="N91" s="3"/>
      <c r="O91" s="3">
        <v>0</v>
      </c>
      <c r="P91" s="3"/>
      <c r="Q91" s="3">
        <v>1387299</v>
      </c>
      <c r="R91" s="3"/>
      <c r="S91" s="3">
        <v>1806187</v>
      </c>
      <c r="T91" s="3"/>
      <c r="U91" s="3">
        <v>41191</v>
      </c>
      <c r="V91" s="3"/>
      <c r="W91" s="3">
        <v>577129</v>
      </c>
      <c r="X91" s="3"/>
      <c r="Y91" s="3">
        <v>254632</v>
      </c>
      <c r="Z91" s="3"/>
      <c r="AA91" s="3">
        <v>0</v>
      </c>
      <c r="AB91" s="3"/>
      <c r="AC91" s="3">
        <v>81782</v>
      </c>
      <c r="AD91" s="3"/>
      <c r="AE91" s="103" t="s">
        <v>293</v>
      </c>
      <c r="AG91" s="103" t="s">
        <v>169</v>
      </c>
      <c r="AH91" s="3"/>
      <c r="AI91" s="3">
        <v>92029</v>
      </c>
      <c r="AJ91" s="3"/>
      <c r="AK91" s="3">
        <v>16498</v>
      </c>
      <c r="AL91" s="3"/>
      <c r="AM91" s="3"/>
      <c r="AN91" s="3"/>
      <c r="AO91" s="3">
        <v>0</v>
      </c>
      <c r="AP91" s="3"/>
      <c r="AQ91" s="3">
        <v>4327</v>
      </c>
      <c r="AR91" s="3"/>
      <c r="AS91" s="3">
        <v>2</v>
      </c>
      <c r="AT91" s="3"/>
      <c r="AU91" s="3">
        <v>0</v>
      </c>
      <c r="AV91" s="3"/>
      <c r="AW91" s="3">
        <v>0</v>
      </c>
      <c r="AX91" s="3"/>
      <c r="AY91" s="3">
        <v>0</v>
      </c>
      <c r="AZ91" s="3"/>
      <c r="BA91" s="3">
        <v>0</v>
      </c>
      <c r="BB91" s="3"/>
      <c r="BC91" s="3">
        <v>0</v>
      </c>
      <c r="BD91" s="3"/>
      <c r="BE91" s="16">
        <f t="shared" si="5"/>
        <v>5990643</v>
      </c>
      <c r="BF91" s="3"/>
      <c r="BG91" s="3">
        <v>0</v>
      </c>
      <c r="BH91" s="3"/>
      <c r="BI91" s="3">
        <v>0</v>
      </c>
      <c r="BJ91" s="3"/>
      <c r="BK91" s="3">
        <v>0</v>
      </c>
      <c r="BL91" s="3"/>
      <c r="BM91" s="3">
        <v>0</v>
      </c>
      <c r="BN91" s="3"/>
      <c r="BO91" s="16">
        <f t="shared" si="4"/>
        <v>5990643</v>
      </c>
      <c r="BP91" s="103" t="s">
        <v>293</v>
      </c>
      <c r="BR91" s="103" t="s">
        <v>169</v>
      </c>
      <c r="BT91" s="16">
        <f>GovRev!AV91-BO91</f>
        <v>39311</v>
      </c>
      <c r="BU91" s="3"/>
      <c r="BV91" s="3">
        <v>401929</v>
      </c>
      <c r="BW91" s="3"/>
      <c r="BX91" s="3">
        <v>0</v>
      </c>
      <c r="BY91" s="3"/>
      <c r="BZ91" s="16">
        <f t="shared" si="7"/>
        <v>441240</v>
      </c>
      <c r="CA91" s="16"/>
      <c r="CB91" s="16">
        <f>-BZ91+GovBS!AE91</f>
        <v>0</v>
      </c>
    </row>
    <row r="92" spans="1:80" s="59" customFormat="1" hidden="1">
      <c r="A92" s="59" t="s">
        <v>349</v>
      </c>
      <c r="C92" s="59" t="s">
        <v>19</v>
      </c>
      <c r="E92" s="59">
        <v>47480</v>
      </c>
      <c r="G92" s="58">
        <v>0</v>
      </c>
      <c r="H92" s="58"/>
      <c r="I92" s="58">
        <v>0</v>
      </c>
      <c r="J92" s="58"/>
      <c r="K92" s="58">
        <v>0</v>
      </c>
      <c r="L92" s="58"/>
      <c r="M92" s="58">
        <v>0</v>
      </c>
      <c r="N92" s="58"/>
      <c r="O92" s="58">
        <v>0</v>
      </c>
      <c r="P92" s="58"/>
      <c r="Q92" s="58">
        <v>0</v>
      </c>
      <c r="R92" s="58"/>
      <c r="S92" s="58">
        <v>0</v>
      </c>
      <c r="T92" s="58"/>
      <c r="U92" s="58">
        <v>0</v>
      </c>
      <c r="V92" s="58"/>
      <c r="W92" s="58">
        <v>0</v>
      </c>
      <c r="X92" s="58"/>
      <c r="Y92" s="58">
        <v>0</v>
      </c>
      <c r="Z92" s="58"/>
      <c r="AA92" s="58">
        <v>0</v>
      </c>
      <c r="AB92" s="58"/>
      <c r="AC92" s="58">
        <v>0</v>
      </c>
      <c r="AD92" s="58"/>
      <c r="AE92" s="59" t="s">
        <v>349</v>
      </c>
      <c r="AG92" s="59" t="s">
        <v>19</v>
      </c>
      <c r="AH92" s="58"/>
      <c r="AI92" s="58">
        <v>0</v>
      </c>
      <c r="AJ92" s="58"/>
      <c r="AK92" s="58">
        <v>0</v>
      </c>
      <c r="AL92" s="58"/>
      <c r="AM92" s="58"/>
      <c r="AN92" s="58"/>
      <c r="AO92" s="58">
        <v>0</v>
      </c>
      <c r="AP92" s="58"/>
      <c r="AQ92" s="58">
        <v>0</v>
      </c>
      <c r="AR92" s="58"/>
      <c r="AS92" s="58">
        <v>0</v>
      </c>
      <c r="AT92" s="58"/>
      <c r="AU92" s="58">
        <v>0</v>
      </c>
      <c r="AV92" s="58"/>
      <c r="AW92" s="58">
        <v>0</v>
      </c>
      <c r="AX92" s="58"/>
      <c r="AY92" s="58">
        <v>0</v>
      </c>
      <c r="AZ92" s="58"/>
      <c r="BA92" s="58">
        <v>0</v>
      </c>
      <c r="BB92" s="58"/>
      <c r="BC92" s="58">
        <v>0</v>
      </c>
      <c r="BD92" s="58"/>
      <c r="BE92" s="60">
        <f t="shared" si="5"/>
        <v>0</v>
      </c>
      <c r="BF92" s="58"/>
      <c r="BG92" s="58">
        <v>0</v>
      </c>
      <c r="BH92" s="58"/>
      <c r="BI92" s="58">
        <v>0</v>
      </c>
      <c r="BJ92" s="58"/>
      <c r="BK92" s="58">
        <v>0</v>
      </c>
      <c r="BL92" s="58"/>
      <c r="BM92" s="58">
        <v>0</v>
      </c>
      <c r="BN92" s="58"/>
      <c r="BO92" s="60">
        <f t="shared" si="4"/>
        <v>0</v>
      </c>
      <c r="BP92" s="59" t="s">
        <v>349</v>
      </c>
      <c r="BR92" s="59" t="s">
        <v>19</v>
      </c>
      <c r="BT92" s="60">
        <f>GovRev!AV92-BO92</f>
        <v>0</v>
      </c>
      <c r="BU92" s="58"/>
      <c r="BV92" s="58">
        <v>0</v>
      </c>
      <c r="BW92" s="58"/>
      <c r="BX92" s="58">
        <v>0</v>
      </c>
      <c r="BY92" s="58"/>
      <c r="BZ92" s="60">
        <f t="shared" si="7"/>
        <v>0</v>
      </c>
      <c r="CA92" s="60"/>
      <c r="CB92" s="60">
        <f>-BZ92+GovBS!AE92</f>
        <v>0</v>
      </c>
    </row>
    <row r="93" spans="1:80" s="103" customFormat="1">
      <c r="A93" s="103" t="s">
        <v>294</v>
      </c>
      <c r="C93" s="103" t="s">
        <v>170</v>
      </c>
      <c r="E93" s="103">
        <v>47779</v>
      </c>
      <c r="G93" s="3">
        <v>337662</v>
      </c>
      <c r="H93" s="3"/>
      <c r="I93" s="3">
        <v>585506</v>
      </c>
      <c r="J93" s="3"/>
      <c r="K93" s="3">
        <v>0</v>
      </c>
      <c r="L93" s="3"/>
      <c r="M93" s="3">
        <v>0</v>
      </c>
      <c r="N93" s="3"/>
      <c r="O93" s="3">
        <v>6400</v>
      </c>
      <c r="P93" s="3"/>
      <c r="Q93" s="3">
        <v>1198101</v>
      </c>
      <c r="R93" s="3"/>
      <c r="S93" s="3">
        <v>2100385</v>
      </c>
      <c r="T93" s="3"/>
      <c r="U93" s="3">
        <v>17363</v>
      </c>
      <c r="V93" s="3"/>
      <c r="W93" s="3">
        <v>734544</v>
      </c>
      <c r="X93" s="3"/>
      <c r="Y93" s="3">
        <v>236628</v>
      </c>
      <c r="Z93" s="3"/>
      <c r="AA93" s="3">
        <v>9980</v>
      </c>
      <c r="AB93" s="3"/>
      <c r="AC93" s="3">
        <v>21151</v>
      </c>
      <c r="AD93" s="3"/>
      <c r="AE93" s="103" t="s">
        <v>294</v>
      </c>
      <c r="AG93" s="103" t="s">
        <v>170</v>
      </c>
      <c r="AH93" s="3"/>
      <c r="AI93" s="3">
        <v>0</v>
      </c>
      <c r="AJ93" s="3"/>
      <c r="AK93" s="3">
        <v>3752</v>
      </c>
      <c r="AL93" s="3"/>
      <c r="AM93" s="3"/>
      <c r="AN93" s="3"/>
      <c r="AO93" s="3">
        <v>0</v>
      </c>
      <c r="AP93" s="3"/>
      <c r="AQ93" s="3">
        <v>0</v>
      </c>
      <c r="AR93" s="3"/>
      <c r="AS93" s="3">
        <v>0</v>
      </c>
      <c r="AT93" s="3"/>
      <c r="AU93" s="3">
        <v>0</v>
      </c>
      <c r="AV93" s="3"/>
      <c r="AW93" s="3">
        <v>0</v>
      </c>
      <c r="AX93" s="3"/>
      <c r="AY93" s="3">
        <v>3823</v>
      </c>
      <c r="AZ93" s="3"/>
      <c r="BA93" s="3">
        <v>408</v>
      </c>
      <c r="BB93" s="3"/>
      <c r="BC93" s="3">
        <v>0</v>
      </c>
      <c r="BD93" s="3"/>
      <c r="BE93" s="16">
        <f t="shared" si="5"/>
        <v>5255703</v>
      </c>
      <c r="BF93" s="3"/>
      <c r="BG93" s="3">
        <v>0</v>
      </c>
      <c r="BH93" s="3"/>
      <c r="BI93" s="3">
        <v>0</v>
      </c>
      <c r="BJ93" s="3"/>
      <c r="BK93" s="3">
        <v>0</v>
      </c>
      <c r="BL93" s="3"/>
      <c r="BM93" s="3">
        <v>0</v>
      </c>
      <c r="BN93" s="3"/>
      <c r="BO93" s="16">
        <f t="shared" si="4"/>
        <v>5255703</v>
      </c>
      <c r="BP93" s="103" t="s">
        <v>294</v>
      </c>
      <c r="BR93" s="103" t="s">
        <v>170</v>
      </c>
      <c r="BT93" s="16">
        <f>GovRev!AV93-BO93</f>
        <v>-248131</v>
      </c>
      <c r="BU93" s="3"/>
      <c r="BV93" s="3">
        <v>2472586</v>
      </c>
      <c r="BW93" s="3"/>
      <c r="BX93" s="3">
        <v>0</v>
      </c>
      <c r="BY93" s="3"/>
      <c r="BZ93" s="16">
        <f t="shared" si="7"/>
        <v>2224455</v>
      </c>
      <c r="CA93" s="16"/>
      <c r="CB93" s="16">
        <f>-BZ93+GovBS!AE93</f>
        <v>0</v>
      </c>
    </row>
    <row r="94" spans="1:80" s="103" customFormat="1">
      <c r="A94" s="103" t="s">
        <v>295</v>
      </c>
      <c r="C94" s="103" t="s">
        <v>171</v>
      </c>
      <c r="E94" s="103">
        <v>47811</v>
      </c>
      <c r="G94" s="3">
        <v>153926</v>
      </c>
      <c r="H94" s="3"/>
      <c r="I94" s="3">
        <v>3158251</v>
      </c>
      <c r="J94" s="3"/>
      <c r="K94" s="3">
        <v>0</v>
      </c>
      <c r="L94" s="3"/>
      <c r="M94" s="3">
        <v>0</v>
      </c>
      <c r="N94" s="3"/>
      <c r="O94" s="3">
        <v>0</v>
      </c>
      <c r="P94" s="3"/>
      <c r="Q94" s="3">
        <v>721191</v>
      </c>
      <c r="R94" s="3"/>
      <c r="S94" s="3">
        <v>774169</v>
      </c>
      <c r="T94" s="3"/>
      <c r="U94" s="3">
        <v>26176</v>
      </c>
      <c r="V94" s="3"/>
      <c r="W94" s="3">
        <v>573063</v>
      </c>
      <c r="X94" s="3"/>
      <c r="Y94" s="3">
        <v>99833</v>
      </c>
      <c r="Z94" s="3"/>
      <c r="AA94" s="3">
        <v>0</v>
      </c>
      <c r="AB94" s="3"/>
      <c r="AC94" s="3">
        <v>27379</v>
      </c>
      <c r="AD94" s="3"/>
      <c r="AE94" s="103" t="s">
        <v>295</v>
      </c>
      <c r="AG94" s="103" t="s">
        <v>171</v>
      </c>
      <c r="AH94" s="3"/>
      <c r="AI94" s="3">
        <v>0</v>
      </c>
      <c r="AJ94" s="3"/>
      <c r="AK94" s="3">
        <v>3530</v>
      </c>
      <c r="AL94" s="3"/>
      <c r="AM94" s="3"/>
      <c r="AN94" s="3"/>
      <c r="AO94" s="3">
        <v>0</v>
      </c>
      <c r="AP94" s="3"/>
      <c r="AQ94" s="3">
        <v>0</v>
      </c>
      <c r="AR94" s="3"/>
      <c r="AS94" s="3">
        <v>4689</v>
      </c>
      <c r="AT94" s="3"/>
      <c r="AU94" s="3">
        <v>0</v>
      </c>
      <c r="AV94" s="3"/>
      <c r="AW94" s="3">
        <v>0</v>
      </c>
      <c r="AX94" s="3"/>
      <c r="AY94" s="3">
        <v>0</v>
      </c>
      <c r="AZ94" s="3"/>
      <c r="BA94" s="3">
        <v>0</v>
      </c>
      <c r="BB94" s="3"/>
      <c r="BC94" s="3">
        <v>0</v>
      </c>
      <c r="BD94" s="3"/>
      <c r="BE94" s="16">
        <v>5542207</v>
      </c>
      <c r="BF94" s="3"/>
      <c r="BG94" s="3">
        <v>0</v>
      </c>
      <c r="BH94" s="3"/>
      <c r="BI94" s="3">
        <v>0</v>
      </c>
      <c r="BJ94" s="3"/>
      <c r="BK94" s="3">
        <v>0</v>
      </c>
      <c r="BL94" s="3"/>
      <c r="BM94" s="3">
        <v>0</v>
      </c>
      <c r="BN94" s="3"/>
      <c r="BO94" s="16">
        <v>5542207</v>
      </c>
      <c r="BP94" s="103" t="s">
        <v>295</v>
      </c>
      <c r="BR94" s="103" t="s">
        <v>171</v>
      </c>
      <c r="BT94" s="16">
        <v>456905</v>
      </c>
      <c r="BU94" s="3"/>
      <c r="BV94" s="3">
        <v>-330147</v>
      </c>
      <c r="BW94" s="3"/>
      <c r="BX94" s="3">
        <v>0</v>
      </c>
      <c r="BY94" s="3"/>
      <c r="BZ94" s="16">
        <v>126758</v>
      </c>
      <c r="CA94" s="16"/>
      <c r="CB94" s="16">
        <v>0</v>
      </c>
    </row>
    <row r="95" spans="1:80" s="103" customFormat="1">
      <c r="A95" s="103" t="s">
        <v>296</v>
      </c>
      <c r="C95" s="103" t="s">
        <v>146</v>
      </c>
      <c r="E95" s="103">
        <v>47860</v>
      </c>
      <c r="G95" s="3">
        <v>676931</v>
      </c>
      <c r="H95" s="3"/>
      <c r="I95" s="3">
        <v>3631953</v>
      </c>
      <c r="J95" s="3"/>
      <c r="K95" s="3">
        <v>149199</v>
      </c>
      <c r="L95" s="3"/>
      <c r="M95" s="3">
        <v>0</v>
      </c>
      <c r="N95" s="3"/>
      <c r="O95" s="3">
        <v>202033</v>
      </c>
      <c r="P95" s="3"/>
      <c r="Q95" s="3">
        <v>3180984</v>
      </c>
      <c r="R95" s="3"/>
      <c r="S95" s="3">
        <v>2381849</v>
      </c>
      <c r="T95" s="3"/>
      <c r="U95" s="3">
        <v>0</v>
      </c>
      <c r="V95" s="3"/>
      <c r="W95" s="3">
        <v>8014423</v>
      </c>
      <c r="X95" s="3"/>
      <c r="Y95" s="3">
        <v>226991</v>
      </c>
      <c r="Z95" s="3"/>
      <c r="AA95" s="3">
        <v>0</v>
      </c>
      <c r="AB95" s="3"/>
      <c r="AC95" s="3">
        <v>119029</v>
      </c>
      <c r="AD95" s="3"/>
      <c r="AE95" s="103" t="s">
        <v>296</v>
      </c>
      <c r="AG95" s="103" t="s">
        <v>146</v>
      </c>
      <c r="AH95" s="3"/>
      <c r="AI95" s="3">
        <v>136022</v>
      </c>
      <c r="AJ95" s="3"/>
      <c r="AK95" s="3">
        <v>817320</v>
      </c>
      <c r="AL95" s="3"/>
      <c r="AM95" s="3"/>
      <c r="AN95" s="3"/>
      <c r="AO95" s="3">
        <v>0</v>
      </c>
      <c r="AP95" s="3"/>
      <c r="AQ95" s="3">
        <v>3053</v>
      </c>
      <c r="AR95" s="3"/>
      <c r="AS95" s="3">
        <v>0</v>
      </c>
      <c r="AT95" s="3"/>
      <c r="AU95" s="3">
        <v>0</v>
      </c>
      <c r="AV95" s="3"/>
      <c r="AW95" s="3">
        <v>0</v>
      </c>
      <c r="AX95" s="3"/>
      <c r="AY95" s="3">
        <v>0</v>
      </c>
      <c r="AZ95" s="3"/>
      <c r="BA95" s="3">
        <v>0</v>
      </c>
      <c r="BB95" s="3"/>
      <c r="BC95" s="3">
        <v>0</v>
      </c>
      <c r="BD95" s="3"/>
      <c r="BE95" s="16">
        <v>19539787</v>
      </c>
      <c r="BF95" s="3"/>
      <c r="BG95" s="3">
        <v>13937</v>
      </c>
      <c r="BH95" s="3"/>
      <c r="BI95" s="3">
        <v>0</v>
      </c>
      <c r="BJ95" s="3"/>
      <c r="BK95" s="3">
        <v>0</v>
      </c>
      <c r="BL95" s="3"/>
      <c r="BM95" s="3">
        <v>0</v>
      </c>
      <c r="BN95" s="3"/>
      <c r="BO95" s="16">
        <v>19553724</v>
      </c>
      <c r="BP95" s="103" t="s">
        <v>296</v>
      </c>
      <c r="BR95" s="103" t="s">
        <v>146</v>
      </c>
      <c r="BT95" s="16">
        <v>-326529</v>
      </c>
      <c r="BU95" s="3"/>
      <c r="BV95" s="3">
        <v>1653945</v>
      </c>
      <c r="BW95" s="3"/>
      <c r="BX95" s="3">
        <v>0</v>
      </c>
      <c r="BY95" s="3"/>
      <c r="BZ95" s="16">
        <v>1327416</v>
      </c>
      <c r="CA95" s="16"/>
      <c r="CB95" s="16">
        <v>0</v>
      </c>
    </row>
    <row r="96" spans="1:80" s="103" customFormat="1">
      <c r="A96" s="103" t="s">
        <v>297</v>
      </c>
      <c r="C96" s="103" t="s">
        <v>172</v>
      </c>
      <c r="E96" s="103">
        <v>47910</v>
      </c>
      <c r="G96" s="3">
        <v>141998</v>
      </c>
      <c r="H96" s="3"/>
      <c r="I96" s="3">
        <v>388509</v>
      </c>
      <c r="J96" s="3"/>
      <c r="K96" s="3">
        <v>0</v>
      </c>
      <c r="L96" s="3"/>
      <c r="M96" s="3">
        <v>0</v>
      </c>
      <c r="N96" s="3"/>
      <c r="O96" s="3">
        <v>0</v>
      </c>
      <c r="P96" s="3"/>
      <c r="Q96" s="3">
        <v>399339</v>
      </c>
      <c r="R96" s="3"/>
      <c r="S96" s="3">
        <v>592638</v>
      </c>
      <c r="T96" s="3"/>
      <c r="U96" s="3">
        <v>51460</v>
      </c>
      <c r="V96" s="3"/>
      <c r="W96" s="3">
        <v>217170</v>
      </c>
      <c r="X96" s="3"/>
      <c r="Y96" s="3">
        <v>198558</v>
      </c>
      <c r="Z96" s="3"/>
      <c r="AA96" s="3">
        <v>0</v>
      </c>
      <c r="AB96" s="3"/>
      <c r="AC96" s="3">
        <v>44708</v>
      </c>
      <c r="AD96" s="3"/>
      <c r="AE96" s="103" t="s">
        <v>297</v>
      </c>
      <c r="AG96" s="103" t="s">
        <v>172</v>
      </c>
      <c r="AI96" s="3">
        <v>0</v>
      </c>
      <c r="AJ96" s="3"/>
      <c r="AK96" s="3">
        <v>544421</v>
      </c>
      <c r="AL96" s="3"/>
      <c r="AM96" s="3"/>
      <c r="AN96" s="3"/>
      <c r="AO96" s="3">
        <v>0</v>
      </c>
      <c r="AP96" s="3"/>
      <c r="AQ96" s="3">
        <v>0</v>
      </c>
      <c r="AR96" s="3"/>
      <c r="AS96" s="3">
        <v>0</v>
      </c>
      <c r="AT96" s="3"/>
      <c r="AU96" s="3">
        <v>0</v>
      </c>
      <c r="AV96" s="3"/>
      <c r="AW96" s="3">
        <v>0</v>
      </c>
      <c r="AX96" s="3"/>
      <c r="AY96" s="3">
        <v>0</v>
      </c>
      <c r="AZ96" s="3"/>
      <c r="BA96" s="3">
        <v>0</v>
      </c>
      <c r="BB96" s="3"/>
      <c r="BC96" s="3">
        <v>0</v>
      </c>
      <c r="BD96" s="3"/>
      <c r="BE96" s="16">
        <f t="shared" si="5"/>
        <v>2578801</v>
      </c>
      <c r="BF96" s="3"/>
      <c r="BG96" s="3">
        <v>0</v>
      </c>
      <c r="BH96" s="3"/>
      <c r="BI96" s="3">
        <v>0</v>
      </c>
      <c r="BJ96" s="3"/>
      <c r="BK96" s="3">
        <v>0</v>
      </c>
      <c r="BL96" s="3"/>
      <c r="BM96" s="3">
        <v>0</v>
      </c>
      <c r="BN96" s="3"/>
      <c r="BO96" s="16">
        <f t="shared" ref="BO96:BO131" si="8">+BE96+BG96+BI96+BM96+BK96</f>
        <v>2578801</v>
      </c>
      <c r="BP96" s="103" t="s">
        <v>297</v>
      </c>
      <c r="BR96" s="103" t="s">
        <v>172</v>
      </c>
      <c r="BT96" s="16">
        <f>GovRev!AV96-BO96</f>
        <v>309507</v>
      </c>
      <c r="BU96" s="3"/>
      <c r="BV96" s="3">
        <v>952845</v>
      </c>
      <c r="BW96" s="3"/>
      <c r="BX96" s="3">
        <v>0</v>
      </c>
      <c r="BY96" s="3"/>
      <c r="BZ96" s="16">
        <f t="shared" si="7"/>
        <v>1262352</v>
      </c>
      <c r="CA96" s="16"/>
      <c r="CB96" s="16">
        <f>-BZ96+GovBS!AE96</f>
        <v>0</v>
      </c>
    </row>
    <row r="97" spans="1:80" s="59" customFormat="1" hidden="1">
      <c r="A97" s="58" t="s">
        <v>386</v>
      </c>
      <c r="B97" s="58"/>
      <c r="C97" s="58" t="s">
        <v>173</v>
      </c>
      <c r="E97" s="59">
        <v>47977</v>
      </c>
      <c r="G97" s="58">
        <v>0</v>
      </c>
      <c r="H97" s="58"/>
      <c r="I97" s="58">
        <v>0</v>
      </c>
      <c r="J97" s="58"/>
      <c r="K97" s="58">
        <v>0</v>
      </c>
      <c r="L97" s="58"/>
      <c r="M97" s="58">
        <v>0</v>
      </c>
      <c r="N97" s="58"/>
      <c r="O97" s="58">
        <v>0</v>
      </c>
      <c r="P97" s="58"/>
      <c r="Q97" s="58">
        <v>0</v>
      </c>
      <c r="R97" s="58"/>
      <c r="S97" s="58">
        <v>0</v>
      </c>
      <c r="T97" s="58"/>
      <c r="U97" s="58">
        <v>0</v>
      </c>
      <c r="V97" s="58"/>
      <c r="W97" s="58">
        <v>0</v>
      </c>
      <c r="X97" s="58"/>
      <c r="Y97" s="58">
        <v>0</v>
      </c>
      <c r="Z97" s="58"/>
      <c r="AA97" s="58">
        <v>0</v>
      </c>
      <c r="AB97" s="58"/>
      <c r="AC97" s="58">
        <v>0</v>
      </c>
      <c r="AD97" s="58"/>
      <c r="AE97" s="58" t="s">
        <v>386</v>
      </c>
      <c r="AF97" s="58"/>
      <c r="AG97" s="58" t="s">
        <v>173</v>
      </c>
      <c r="AI97" s="58">
        <v>0</v>
      </c>
      <c r="AJ97" s="58"/>
      <c r="AK97" s="58">
        <v>0</v>
      </c>
      <c r="AL97" s="58"/>
      <c r="AM97" s="58"/>
      <c r="AN97" s="58"/>
      <c r="AO97" s="58">
        <v>0</v>
      </c>
      <c r="AP97" s="58"/>
      <c r="AQ97" s="58">
        <v>0</v>
      </c>
      <c r="AR97" s="58"/>
      <c r="AS97" s="58">
        <v>0</v>
      </c>
      <c r="AT97" s="58"/>
      <c r="AU97" s="58">
        <v>0</v>
      </c>
      <c r="AV97" s="58"/>
      <c r="AW97" s="58">
        <v>0</v>
      </c>
      <c r="AX97" s="58"/>
      <c r="AY97" s="58">
        <v>0</v>
      </c>
      <c r="AZ97" s="58"/>
      <c r="BA97" s="58">
        <v>0</v>
      </c>
      <c r="BB97" s="58"/>
      <c r="BC97" s="58">
        <v>0</v>
      </c>
      <c r="BD97" s="58"/>
      <c r="BE97" s="60">
        <f>SUM(G97:BC97)</f>
        <v>0</v>
      </c>
      <c r="BF97" s="58"/>
      <c r="BG97" s="58">
        <v>0</v>
      </c>
      <c r="BH97" s="58"/>
      <c r="BI97" s="58">
        <v>0</v>
      </c>
      <c r="BJ97" s="58"/>
      <c r="BK97" s="58">
        <v>0</v>
      </c>
      <c r="BL97" s="58"/>
      <c r="BM97" s="58">
        <v>0</v>
      </c>
      <c r="BN97" s="58"/>
      <c r="BO97" s="60">
        <f t="shared" si="8"/>
        <v>0</v>
      </c>
      <c r="BP97" s="58" t="s">
        <v>386</v>
      </c>
      <c r="BQ97" s="58"/>
      <c r="BR97" s="58" t="s">
        <v>173</v>
      </c>
      <c r="BS97" s="58"/>
      <c r="BT97" s="60">
        <f>GovRev!AV97-BO97</f>
        <v>0</v>
      </c>
      <c r="BU97" s="58"/>
      <c r="BV97" s="58">
        <v>0</v>
      </c>
      <c r="BW97" s="58"/>
      <c r="BX97" s="58">
        <v>0</v>
      </c>
      <c r="BY97" s="58"/>
      <c r="BZ97" s="60">
        <f t="shared" si="7"/>
        <v>0</v>
      </c>
      <c r="CA97" s="60"/>
      <c r="CB97" s="60">
        <f>-BZ97+GovBS!AE97</f>
        <v>0</v>
      </c>
    </row>
    <row r="98" spans="1:80" s="103" customFormat="1">
      <c r="A98" s="103" t="s">
        <v>298</v>
      </c>
      <c r="C98" s="103" t="s">
        <v>174</v>
      </c>
      <c r="E98" s="103">
        <v>48058</v>
      </c>
      <c r="G98" s="3">
        <v>0</v>
      </c>
      <c r="H98" s="3"/>
      <c r="I98" s="3">
        <v>2760013</v>
      </c>
      <c r="J98" s="3"/>
      <c r="K98" s="3">
        <v>0</v>
      </c>
      <c r="L98" s="3"/>
      <c r="M98" s="3">
        <v>0</v>
      </c>
      <c r="N98" s="3"/>
      <c r="O98" s="3">
        <v>0</v>
      </c>
      <c r="P98" s="3"/>
      <c r="Q98" s="3">
        <v>381512</v>
      </c>
      <c r="R98" s="3"/>
      <c r="S98" s="3">
        <v>304630</v>
      </c>
      <c r="T98" s="3"/>
      <c r="U98" s="3">
        <v>15981</v>
      </c>
      <c r="V98" s="3"/>
      <c r="W98" s="3">
        <v>381631</v>
      </c>
      <c r="X98" s="3"/>
      <c r="Y98" s="3">
        <v>368366</v>
      </c>
      <c r="Z98" s="3"/>
      <c r="AA98" s="3">
        <v>0</v>
      </c>
      <c r="AB98" s="3"/>
      <c r="AC98" s="3">
        <v>12370</v>
      </c>
      <c r="AD98" s="3"/>
      <c r="AE98" s="103" t="s">
        <v>298</v>
      </c>
      <c r="AG98" s="103" t="s">
        <v>174</v>
      </c>
      <c r="AH98" s="3"/>
      <c r="AI98" s="3">
        <v>0</v>
      </c>
      <c r="AJ98" s="3"/>
      <c r="AK98" s="3">
        <v>29839</v>
      </c>
      <c r="AL98" s="3"/>
      <c r="AM98" s="3"/>
      <c r="AN98" s="3"/>
      <c r="AO98" s="3">
        <v>0</v>
      </c>
      <c r="AP98" s="3"/>
      <c r="AQ98" s="3">
        <v>37296</v>
      </c>
      <c r="AR98" s="3"/>
      <c r="AS98" s="3">
        <v>463</v>
      </c>
      <c r="AT98" s="3"/>
      <c r="AU98" s="3">
        <v>0</v>
      </c>
      <c r="AV98" s="3"/>
      <c r="AW98" s="3">
        <v>0</v>
      </c>
      <c r="AX98" s="3"/>
      <c r="AY98" s="3">
        <v>0</v>
      </c>
      <c r="AZ98" s="3"/>
      <c r="BA98" s="3">
        <v>0</v>
      </c>
      <c r="BB98" s="3"/>
      <c r="BC98" s="3">
        <v>0</v>
      </c>
      <c r="BD98" s="3"/>
      <c r="BE98" s="16">
        <f t="shared" si="5"/>
        <v>4292101</v>
      </c>
      <c r="BF98" s="3"/>
      <c r="BG98" s="3">
        <v>0</v>
      </c>
      <c r="BH98" s="3"/>
      <c r="BI98" s="3">
        <v>0</v>
      </c>
      <c r="BJ98" s="3"/>
      <c r="BK98" s="3">
        <v>0</v>
      </c>
      <c r="BL98" s="3"/>
      <c r="BM98" s="3">
        <v>0</v>
      </c>
      <c r="BN98" s="3"/>
      <c r="BO98" s="16">
        <f t="shared" si="8"/>
        <v>4292101</v>
      </c>
      <c r="BP98" s="103" t="s">
        <v>298</v>
      </c>
      <c r="BR98" s="103" t="s">
        <v>174</v>
      </c>
      <c r="BT98" s="16">
        <f>GovRev!AV98-BO98</f>
        <v>123015</v>
      </c>
      <c r="BU98" s="3"/>
      <c r="BV98" s="3">
        <v>966527</v>
      </c>
      <c r="BW98" s="3"/>
      <c r="BX98" s="3">
        <v>0</v>
      </c>
      <c r="BY98" s="3"/>
      <c r="BZ98" s="16">
        <f t="shared" si="7"/>
        <v>1089542</v>
      </c>
      <c r="CA98" s="16"/>
      <c r="CB98" s="16">
        <f>-BZ98+GovBS!AE98</f>
        <v>0</v>
      </c>
    </row>
    <row r="99" spans="1:80" s="89" customFormat="1" hidden="1">
      <c r="A99" s="89" t="s">
        <v>351</v>
      </c>
      <c r="C99" s="89" t="s">
        <v>142</v>
      </c>
      <c r="E99" s="89">
        <v>48108</v>
      </c>
      <c r="G99" s="88">
        <v>0</v>
      </c>
      <c r="H99" s="88"/>
      <c r="I99" s="88">
        <v>0</v>
      </c>
      <c r="J99" s="88"/>
      <c r="K99" s="88">
        <v>0</v>
      </c>
      <c r="L99" s="88"/>
      <c r="M99" s="88">
        <v>0</v>
      </c>
      <c r="N99" s="88"/>
      <c r="O99" s="88">
        <v>0</v>
      </c>
      <c r="P99" s="88"/>
      <c r="Q99" s="88">
        <v>0</v>
      </c>
      <c r="R99" s="88"/>
      <c r="S99" s="88">
        <v>0</v>
      </c>
      <c r="T99" s="88"/>
      <c r="U99" s="88">
        <v>0</v>
      </c>
      <c r="V99" s="88"/>
      <c r="W99" s="88">
        <v>0</v>
      </c>
      <c r="X99" s="88"/>
      <c r="Y99" s="88">
        <v>0</v>
      </c>
      <c r="Z99" s="88"/>
      <c r="AA99" s="88">
        <v>0</v>
      </c>
      <c r="AB99" s="88"/>
      <c r="AC99" s="88">
        <v>0</v>
      </c>
      <c r="AD99" s="88"/>
      <c r="AE99" s="89" t="s">
        <v>351</v>
      </c>
      <c r="AG99" s="89" t="s">
        <v>142</v>
      </c>
      <c r="AH99" s="88"/>
      <c r="AI99" s="88">
        <v>0</v>
      </c>
      <c r="AJ99" s="88"/>
      <c r="AK99" s="88">
        <v>0</v>
      </c>
      <c r="AL99" s="88"/>
      <c r="AM99" s="88"/>
      <c r="AN99" s="88"/>
      <c r="AO99" s="88">
        <v>0</v>
      </c>
      <c r="AP99" s="88"/>
      <c r="AQ99" s="88">
        <v>0</v>
      </c>
      <c r="AR99" s="88"/>
      <c r="AS99" s="88">
        <v>0</v>
      </c>
      <c r="AT99" s="88"/>
      <c r="AU99" s="88">
        <v>0</v>
      </c>
      <c r="AV99" s="88"/>
      <c r="AW99" s="88">
        <v>0</v>
      </c>
      <c r="AX99" s="88"/>
      <c r="AY99" s="88">
        <v>0</v>
      </c>
      <c r="AZ99" s="88"/>
      <c r="BA99" s="88">
        <v>0</v>
      </c>
      <c r="BB99" s="88"/>
      <c r="BC99" s="88">
        <v>0</v>
      </c>
      <c r="BD99" s="88"/>
      <c r="BE99" s="90">
        <f t="shared" si="5"/>
        <v>0</v>
      </c>
      <c r="BF99" s="88"/>
      <c r="BG99" s="88">
        <v>0</v>
      </c>
      <c r="BH99" s="88"/>
      <c r="BI99" s="88">
        <v>0</v>
      </c>
      <c r="BJ99" s="88"/>
      <c r="BK99" s="88">
        <v>0</v>
      </c>
      <c r="BL99" s="88"/>
      <c r="BM99" s="88">
        <v>0</v>
      </c>
      <c r="BN99" s="88"/>
      <c r="BO99" s="90">
        <f t="shared" si="8"/>
        <v>0</v>
      </c>
      <c r="BP99" s="89" t="s">
        <v>351</v>
      </c>
      <c r="BR99" s="89" t="s">
        <v>142</v>
      </c>
      <c r="BT99" s="90">
        <f>GovRev!AV99-BO99</f>
        <v>0</v>
      </c>
      <c r="BU99" s="88"/>
      <c r="BV99" s="88">
        <v>0</v>
      </c>
      <c r="BW99" s="88"/>
      <c r="BX99" s="88">
        <v>0</v>
      </c>
      <c r="BY99" s="88"/>
      <c r="BZ99" s="90">
        <f t="shared" si="7"/>
        <v>0</v>
      </c>
      <c r="CA99" s="90"/>
      <c r="CB99" s="90">
        <f>-BZ99+GovBS!AE99</f>
        <v>0</v>
      </c>
    </row>
    <row r="100" spans="1:80" s="103" customFormat="1">
      <c r="A100" s="103" t="s">
        <v>350</v>
      </c>
      <c r="C100" s="103" t="s">
        <v>175</v>
      </c>
      <c r="E100" s="103">
        <v>48199</v>
      </c>
      <c r="G100" s="3">
        <v>9523</v>
      </c>
      <c r="H100" s="3"/>
      <c r="I100" s="3">
        <v>5722327</v>
      </c>
      <c r="J100" s="3"/>
      <c r="K100" s="3">
        <v>88854</v>
      </c>
      <c r="L100" s="3"/>
      <c r="M100" s="3">
        <v>41346</v>
      </c>
      <c r="N100" s="3"/>
      <c r="O100" s="3">
        <v>25099</v>
      </c>
      <c r="P100" s="3"/>
      <c r="Q100" s="3">
        <v>5209455</v>
      </c>
      <c r="R100" s="3"/>
      <c r="S100" s="3">
        <v>4643166</v>
      </c>
      <c r="T100" s="3"/>
      <c r="U100" s="3">
        <v>19171</v>
      </c>
      <c r="V100" s="3"/>
      <c r="W100" s="3">
        <v>2473841</v>
      </c>
      <c r="X100" s="3"/>
      <c r="Y100" s="3">
        <v>1081936</v>
      </c>
      <c r="Z100" s="3"/>
      <c r="AA100" s="3">
        <v>68979</v>
      </c>
      <c r="AB100" s="3"/>
      <c r="AC100" s="3">
        <v>924969</v>
      </c>
      <c r="AD100" s="3"/>
      <c r="AE100" s="103" t="s">
        <v>350</v>
      </c>
      <c r="AG100" s="103" t="s">
        <v>175</v>
      </c>
      <c r="AH100" s="3"/>
      <c r="AI100" s="3">
        <v>2857</v>
      </c>
      <c r="AJ100" s="3"/>
      <c r="AK100" s="3">
        <v>308761</v>
      </c>
      <c r="AL100" s="3"/>
      <c r="AM100" s="3"/>
      <c r="AN100" s="3"/>
      <c r="AO100" s="3">
        <v>34888</v>
      </c>
      <c r="AP100" s="3"/>
      <c r="AQ100" s="3">
        <v>3739865</v>
      </c>
      <c r="AR100" s="3"/>
      <c r="AS100" s="3">
        <v>0</v>
      </c>
      <c r="AT100" s="3"/>
      <c r="AU100" s="3">
        <v>4304</v>
      </c>
      <c r="AV100" s="3"/>
      <c r="AW100" s="3">
        <v>0</v>
      </c>
      <c r="AX100" s="3"/>
      <c r="AY100" s="3">
        <v>2216</v>
      </c>
      <c r="AZ100" s="3"/>
      <c r="BA100" s="3">
        <v>293</v>
      </c>
      <c r="BB100" s="3"/>
      <c r="BC100" s="3">
        <v>0</v>
      </c>
      <c r="BD100" s="3"/>
      <c r="BE100" s="16">
        <f t="shared" si="5"/>
        <v>24401850</v>
      </c>
      <c r="BF100" s="3"/>
      <c r="BG100" s="3">
        <v>108977</v>
      </c>
      <c r="BH100" s="3"/>
      <c r="BI100" s="3">
        <v>0</v>
      </c>
      <c r="BJ100" s="3"/>
      <c r="BK100" s="3">
        <v>0</v>
      </c>
      <c r="BL100" s="3"/>
      <c r="BM100" s="3">
        <v>0</v>
      </c>
      <c r="BN100" s="3"/>
      <c r="BO100" s="16">
        <f t="shared" si="8"/>
        <v>24510827</v>
      </c>
      <c r="BP100" s="103" t="s">
        <v>350</v>
      </c>
      <c r="BR100" s="103" t="s">
        <v>175</v>
      </c>
      <c r="BT100" s="16">
        <f>GovRev!AV100-BO100</f>
        <v>-498273</v>
      </c>
      <c r="BU100" s="3"/>
      <c r="BV100" s="3">
        <v>3377075</v>
      </c>
      <c r="BW100" s="3"/>
      <c r="BX100" s="3">
        <v>0</v>
      </c>
      <c r="BY100" s="3"/>
      <c r="BZ100" s="16">
        <f t="shared" si="7"/>
        <v>2878802</v>
      </c>
      <c r="CA100" s="16"/>
      <c r="CB100" s="16">
        <f>-BZ100+GovBS!AE100</f>
        <v>0</v>
      </c>
    </row>
    <row r="101" spans="1:80" s="59" customFormat="1" hidden="1">
      <c r="A101" s="58" t="s">
        <v>316</v>
      </c>
      <c r="C101" s="59" t="s">
        <v>151</v>
      </c>
      <c r="E101" s="59">
        <v>137364</v>
      </c>
      <c r="G101" s="58">
        <v>0</v>
      </c>
      <c r="H101" s="58"/>
      <c r="I101" s="58">
        <v>0</v>
      </c>
      <c r="J101" s="58"/>
      <c r="K101" s="58">
        <v>0</v>
      </c>
      <c r="L101" s="58"/>
      <c r="M101" s="58">
        <v>0</v>
      </c>
      <c r="N101" s="58"/>
      <c r="O101" s="58">
        <v>0</v>
      </c>
      <c r="P101" s="58"/>
      <c r="Q101" s="58">
        <v>0</v>
      </c>
      <c r="R101" s="58"/>
      <c r="S101" s="58">
        <v>0</v>
      </c>
      <c r="T101" s="58"/>
      <c r="U101" s="58">
        <v>0</v>
      </c>
      <c r="V101" s="58"/>
      <c r="W101" s="58">
        <v>0</v>
      </c>
      <c r="X101" s="58"/>
      <c r="Y101" s="58">
        <v>0</v>
      </c>
      <c r="Z101" s="58"/>
      <c r="AA101" s="58">
        <v>0</v>
      </c>
      <c r="AB101" s="58"/>
      <c r="AC101" s="58">
        <v>0</v>
      </c>
      <c r="AD101" s="58"/>
      <c r="AE101" s="58" t="s">
        <v>316</v>
      </c>
      <c r="AG101" s="59" t="s">
        <v>151</v>
      </c>
      <c r="AH101" s="58"/>
      <c r="AI101" s="58">
        <v>0</v>
      </c>
      <c r="AJ101" s="58"/>
      <c r="AK101" s="58">
        <v>0</v>
      </c>
      <c r="AL101" s="58"/>
      <c r="AM101" s="58"/>
      <c r="AN101" s="58"/>
      <c r="AO101" s="58">
        <v>0</v>
      </c>
      <c r="AP101" s="58"/>
      <c r="AQ101" s="58">
        <v>0</v>
      </c>
      <c r="AR101" s="58"/>
      <c r="AS101" s="58">
        <v>0</v>
      </c>
      <c r="AT101" s="58"/>
      <c r="AU101" s="58">
        <v>0</v>
      </c>
      <c r="AV101" s="58"/>
      <c r="AW101" s="58">
        <v>0</v>
      </c>
      <c r="AX101" s="58"/>
      <c r="AY101" s="58">
        <v>0</v>
      </c>
      <c r="AZ101" s="58"/>
      <c r="BA101" s="58">
        <v>0</v>
      </c>
      <c r="BB101" s="58"/>
      <c r="BC101" s="58"/>
      <c r="BD101" s="58"/>
      <c r="BE101" s="60">
        <f t="shared" si="5"/>
        <v>0</v>
      </c>
      <c r="BF101" s="58"/>
      <c r="BG101" s="58">
        <v>0</v>
      </c>
      <c r="BH101" s="58"/>
      <c r="BI101" s="58">
        <v>0</v>
      </c>
      <c r="BJ101" s="58"/>
      <c r="BK101" s="58">
        <v>0</v>
      </c>
      <c r="BL101" s="58"/>
      <c r="BM101" s="58">
        <v>0</v>
      </c>
      <c r="BN101" s="58"/>
      <c r="BO101" s="60">
        <f t="shared" si="8"/>
        <v>0</v>
      </c>
      <c r="BP101" s="58" t="s">
        <v>316</v>
      </c>
      <c r="BR101" s="59" t="s">
        <v>151</v>
      </c>
      <c r="BT101" s="60">
        <f>GovRev!AV101-BO101</f>
        <v>0</v>
      </c>
      <c r="BU101" s="58"/>
      <c r="BV101" s="58">
        <v>0</v>
      </c>
      <c r="BW101" s="58"/>
      <c r="BX101" s="58"/>
      <c r="BY101" s="58"/>
      <c r="BZ101" s="60">
        <f t="shared" si="7"/>
        <v>0</v>
      </c>
      <c r="CA101" s="60"/>
      <c r="CB101" s="60">
        <f>-BZ101+GovBS!AE101</f>
        <v>0</v>
      </c>
    </row>
    <row r="102" spans="1:80" s="103" customFormat="1" ht="12.75" customHeight="1">
      <c r="A102" s="3" t="s">
        <v>317</v>
      </c>
      <c r="C102" s="103" t="s">
        <v>176</v>
      </c>
      <c r="E102" s="103">
        <v>48280</v>
      </c>
      <c r="G102" s="3">
        <v>1891535</v>
      </c>
      <c r="H102" s="3"/>
      <c r="I102" s="3">
        <v>5892536</v>
      </c>
      <c r="J102" s="3"/>
      <c r="K102" s="3">
        <v>63637</v>
      </c>
      <c r="L102" s="3"/>
      <c r="M102" s="3">
        <v>82228</v>
      </c>
      <c r="N102" s="3"/>
      <c r="O102" s="3">
        <v>0</v>
      </c>
      <c r="P102" s="3"/>
      <c r="Q102" s="3">
        <v>5935759</v>
      </c>
      <c r="R102" s="3"/>
      <c r="S102" s="3">
        <v>6288444</v>
      </c>
      <c r="T102" s="3"/>
      <c r="U102" s="3">
        <v>39283</v>
      </c>
      <c r="V102" s="3"/>
      <c r="W102" s="3">
        <v>1206159</v>
      </c>
      <c r="X102" s="3"/>
      <c r="Y102" s="3">
        <v>633003</v>
      </c>
      <c r="Z102" s="3"/>
      <c r="AA102" s="3">
        <v>362708</v>
      </c>
      <c r="AB102" s="3"/>
      <c r="AC102" s="3">
        <v>268068</v>
      </c>
      <c r="AD102" s="3"/>
      <c r="AE102" s="3" t="s">
        <v>317</v>
      </c>
      <c r="AG102" s="103" t="s">
        <v>176</v>
      </c>
      <c r="AH102" s="3"/>
      <c r="AI102" s="3">
        <v>5235</v>
      </c>
      <c r="AJ102" s="3"/>
      <c r="AK102" s="3">
        <v>923216</v>
      </c>
      <c r="AL102" s="3"/>
      <c r="AM102" s="3"/>
      <c r="AN102" s="3"/>
      <c r="AO102" s="3">
        <v>0</v>
      </c>
      <c r="AP102" s="3"/>
      <c r="AQ102" s="3">
        <v>125654</v>
      </c>
      <c r="AR102" s="3"/>
      <c r="AS102" s="3">
        <v>7518</v>
      </c>
      <c r="AT102" s="3"/>
      <c r="AU102" s="3">
        <v>0</v>
      </c>
      <c r="AV102" s="3"/>
      <c r="AW102" s="3">
        <v>0</v>
      </c>
      <c r="AX102" s="3"/>
      <c r="AY102" s="3">
        <v>5259</v>
      </c>
      <c r="AZ102" s="3"/>
      <c r="BA102" s="3">
        <v>2067</v>
      </c>
      <c r="BB102" s="3"/>
      <c r="BC102" s="3">
        <v>0</v>
      </c>
      <c r="BD102" s="3"/>
      <c r="BE102" s="16">
        <f t="shared" si="5"/>
        <v>23732309</v>
      </c>
      <c r="BF102" s="3"/>
      <c r="BG102" s="3">
        <v>120000</v>
      </c>
      <c r="BH102" s="3"/>
      <c r="BI102" s="3">
        <v>0</v>
      </c>
      <c r="BJ102" s="3"/>
      <c r="BK102" s="3">
        <v>0</v>
      </c>
      <c r="BL102" s="3"/>
      <c r="BM102" s="3">
        <v>0</v>
      </c>
      <c r="BN102" s="3"/>
      <c r="BO102" s="16">
        <f t="shared" si="8"/>
        <v>23852309</v>
      </c>
      <c r="BP102" s="3" t="s">
        <v>317</v>
      </c>
      <c r="BR102" s="103" t="s">
        <v>176</v>
      </c>
      <c r="BT102" s="16">
        <f>GovRev!AV102-BO102</f>
        <v>238447</v>
      </c>
      <c r="BU102" s="3"/>
      <c r="BV102" s="3">
        <v>1612051</v>
      </c>
      <c r="BW102" s="3"/>
      <c r="BX102" s="3">
        <v>0</v>
      </c>
      <c r="BY102" s="3"/>
      <c r="BZ102" s="16">
        <f t="shared" si="7"/>
        <v>1850498</v>
      </c>
      <c r="CA102" s="16"/>
      <c r="CB102" s="16">
        <f>-BZ102+GovBS!AE102</f>
        <v>0</v>
      </c>
    </row>
    <row r="103" spans="1:80" s="103" customFormat="1">
      <c r="A103" s="3" t="s">
        <v>177</v>
      </c>
      <c r="C103" s="103" t="s">
        <v>178</v>
      </c>
      <c r="E103" s="103">
        <v>48454</v>
      </c>
      <c r="G103" s="3">
        <v>804111</v>
      </c>
      <c r="H103" s="3"/>
      <c r="I103" s="3">
        <v>96539</v>
      </c>
      <c r="J103" s="3"/>
      <c r="K103" s="3">
        <v>0</v>
      </c>
      <c r="L103" s="3"/>
      <c r="M103" s="3">
        <v>204076</v>
      </c>
      <c r="N103" s="3"/>
      <c r="O103" s="3">
        <v>757</v>
      </c>
      <c r="P103" s="3"/>
      <c r="Q103" s="3">
        <v>432578</v>
      </c>
      <c r="R103" s="3"/>
      <c r="S103" s="3">
        <v>1942429</v>
      </c>
      <c r="T103" s="3"/>
      <c r="U103" s="3">
        <v>43368</v>
      </c>
      <c r="V103" s="3"/>
      <c r="W103" s="3">
        <v>271640</v>
      </c>
      <c r="X103" s="3"/>
      <c r="Y103" s="3">
        <v>231220</v>
      </c>
      <c r="Z103" s="3"/>
      <c r="AA103" s="3">
        <v>194366</v>
      </c>
      <c r="AB103" s="3"/>
      <c r="AC103" s="3">
        <v>0</v>
      </c>
      <c r="AD103" s="3"/>
      <c r="AE103" s="3" t="s">
        <v>177</v>
      </c>
      <c r="AG103" s="103" t="s">
        <v>178</v>
      </c>
      <c r="AH103" s="3"/>
      <c r="AI103" s="3">
        <v>176632</v>
      </c>
      <c r="AJ103" s="3"/>
      <c r="AK103" s="3">
        <v>161113</v>
      </c>
      <c r="AL103" s="3"/>
      <c r="AM103" s="3"/>
      <c r="AN103" s="3"/>
      <c r="AO103" s="3">
        <v>0</v>
      </c>
      <c r="AP103" s="3"/>
      <c r="AQ103" s="3">
        <v>545</v>
      </c>
      <c r="AR103" s="3"/>
      <c r="AS103" s="3">
        <v>12840</v>
      </c>
      <c r="AT103" s="3"/>
      <c r="AU103" s="3">
        <v>0</v>
      </c>
      <c r="AV103" s="3"/>
      <c r="AW103" s="3">
        <v>0</v>
      </c>
      <c r="AX103" s="3"/>
      <c r="AY103" s="3">
        <v>0</v>
      </c>
      <c r="AZ103" s="3"/>
      <c r="BA103" s="3">
        <v>0</v>
      </c>
      <c r="BB103" s="3"/>
      <c r="BC103" s="3">
        <v>0</v>
      </c>
      <c r="BD103" s="3"/>
      <c r="BE103" s="16">
        <f t="shared" si="5"/>
        <v>4572214</v>
      </c>
      <c r="BF103" s="3"/>
      <c r="BG103" s="3">
        <v>9030</v>
      </c>
      <c r="BH103" s="3"/>
      <c r="BI103" s="3">
        <v>0</v>
      </c>
      <c r="BJ103" s="3"/>
      <c r="BK103" s="3">
        <v>0</v>
      </c>
      <c r="BL103" s="3"/>
      <c r="BM103" s="3">
        <v>0</v>
      </c>
      <c r="BN103" s="3"/>
      <c r="BO103" s="16">
        <f t="shared" si="8"/>
        <v>4581244</v>
      </c>
      <c r="BP103" s="3" t="s">
        <v>177</v>
      </c>
      <c r="BR103" s="103" t="s">
        <v>178</v>
      </c>
      <c r="BT103" s="16">
        <f>GovRev!AV103-BO103</f>
        <v>330249</v>
      </c>
      <c r="BU103" s="3"/>
      <c r="BV103" s="3">
        <v>749579</v>
      </c>
      <c r="BW103" s="3"/>
      <c r="BX103" s="3">
        <v>0</v>
      </c>
      <c r="BY103" s="3"/>
      <c r="BZ103" s="16">
        <f t="shared" si="7"/>
        <v>1079828</v>
      </c>
      <c r="CA103" s="16"/>
      <c r="CB103" s="16">
        <f>-BZ103+GovBS!AE103</f>
        <v>0</v>
      </c>
    </row>
    <row r="104" spans="1:80" s="59" customFormat="1" hidden="1">
      <c r="A104" s="58" t="s">
        <v>318</v>
      </c>
      <c r="C104" s="59" t="s">
        <v>179</v>
      </c>
      <c r="E104" s="59">
        <v>48546</v>
      </c>
      <c r="G104" s="58">
        <v>0</v>
      </c>
      <c r="H104" s="58"/>
      <c r="I104" s="58">
        <v>0</v>
      </c>
      <c r="J104" s="58"/>
      <c r="K104" s="58">
        <v>0</v>
      </c>
      <c r="L104" s="58"/>
      <c r="M104" s="58">
        <v>0</v>
      </c>
      <c r="N104" s="58"/>
      <c r="O104" s="58">
        <v>0</v>
      </c>
      <c r="P104" s="58"/>
      <c r="Q104" s="58">
        <v>0</v>
      </c>
      <c r="R104" s="58"/>
      <c r="S104" s="58">
        <v>0</v>
      </c>
      <c r="T104" s="58"/>
      <c r="U104" s="58">
        <v>0</v>
      </c>
      <c r="V104" s="58"/>
      <c r="W104" s="58">
        <v>0</v>
      </c>
      <c r="X104" s="58"/>
      <c r="Y104" s="58">
        <v>0</v>
      </c>
      <c r="Z104" s="58"/>
      <c r="AA104" s="58">
        <v>0</v>
      </c>
      <c r="AB104" s="58"/>
      <c r="AC104" s="58">
        <v>0</v>
      </c>
      <c r="AD104" s="58"/>
      <c r="AE104" s="58" t="s">
        <v>318</v>
      </c>
      <c r="AG104" s="59" t="s">
        <v>179</v>
      </c>
      <c r="AH104" s="58"/>
      <c r="AI104" s="58">
        <v>0</v>
      </c>
      <c r="AJ104" s="58"/>
      <c r="AK104" s="58">
        <v>0</v>
      </c>
      <c r="AL104" s="58"/>
      <c r="AM104" s="58"/>
      <c r="AN104" s="58"/>
      <c r="AO104" s="58">
        <v>0</v>
      </c>
      <c r="AP104" s="58"/>
      <c r="AQ104" s="58">
        <v>0</v>
      </c>
      <c r="AR104" s="58"/>
      <c r="AS104" s="58">
        <v>0</v>
      </c>
      <c r="AT104" s="58"/>
      <c r="AU104" s="58">
        <v>0</v>
      </c>
      <c r="AV104" s="58"/>
      <c r="AW104" s="58">
        <v>0</v>
      </c>
      <c r="AX104" s="58"/>
      <c r="AY104" s="58">
        <v>0</v>
      </c>
      <c r="AZ104" s="58"/>
      <c r="BA104" s="58">
        <v>0</v>
      </c>
      <c r="BB104" s="58"/>
      <c r="BC104" s="58"/>
      <c r="BD104" s="58"/>
      <c r="BE104" s="60">
        <f t="shared" si="5"/>
        <v>0</v>
      </c>
      <c r="BF104" s="58"/>
      <c r="BG104" s="58">
        <v>0</v>
      </c>
      <c r="BH104" s="58"/>
      <c r="BI104" s="58">
        <v>0</v>
      </c>
      <c r="BJ104" s="58"/>
      <c r="BK104" s="58">
        <v>0</v>
      </c>
      <c r="BL104" s="58"/>
      <c r="BM104" s="58">
        <v>0</v>
      </c>
      <c r="BN104" s="58"/>
      <c r="BO104" s="60">
        <f t="shared" si="8"/>
        <v>0</v>
      </c>
      <c r="BP104" s="58" t="s">
        <v>318</v>
      </c>
      <c r="BR104" s="59" t="s">
        <v>179</v>
      </c>
      <c r="BT104" s="60">
        <f>GovRev!AV104-BO104</f>
        <v>0</v>
      </c>
      <c r="BU104" s="58"/>
      <c r="BV104" s="58">
        <v>0</v>
      </c>
      <c r="BW104" s="58"/>
      <c r="BX104" s="58"/>
      <c r="BY104" s="58"/>
      <c r="BZ104" s="60">
        <f t="shared" si="7"/>
        <v>0</v>
      </c>
      <c r="CA104" s="60"/>
      <c r="CB104" s="60">
        <f>-BZ104+GovBS!AE104</f>
        <v>0</v>
      </c>
    </row>
    <row r="105" spans="1:80" s="103" customFormat="1">
      <c r="A105" s="3" t="s">
        <v>319</v>
      </c>
      <c r="C105" s="103" t="s">
        <v>180</v>
      </c>
      <c r="E105" s="103">
        <v>48603</v>
      </c>
      <c r="G105" s="3">
        <v>397625</v>
      </c>
      <c r="H105" s="3"/>
      <c r="I105" s="3">
        <v>5190273</v>
      </c>
      <c r="J105" s="3"/>
      <c r="K105" s="3">
        <v>0</v>
      </c>
      <c r="L105" s="3"/>
      <c r="M105" s="3">
        <v>0</v>
      </c>
      <c r="N105" s="3"/>
      <c r="O105" s="3">
        <v>0</v>
      </c>
      <c r="P105" s="3"/>
      <c r="Q105" s="3">
        <v>3079123</v>
      </c>
      <c r="R105" s="3"/>
      <c r="S105" s="3">
        <v>2939898</v>
      </c>
      <c r="T105" s="3"/>
      <c r="U105" s="3">
        <v>15182</v>
      </c>
      <c r="V105" s="3"/>
      <c r="W105" s="3">
        <v>970538</v>
      </c>
      <c r="X105" s="3"/>
      <c r="Y105" s="3">
        <v>209050</v>
      </c>
      <c r="Z105" s="3"/>
      <c r="AA105" s="3">
        <v>0</v>
      </c>
      <c r="AB105" s="3"/>
      <c r="AC105" s="3">
        <v>96642</v>
      </c>
      <c r="AD105" s="3"/>
      <c r="AE105" s="3" t="s">
        <v>319</v>
      </c>
      <c r="AG105" s="103" t="s">
        <v>180</v>
      </c>
      <c r="AH105" s="3"/>
      <c r="AI105" s="3">
        <v>2185</v>
      </c>
      <c r="AJ105" s="3"/>
      <c r="AK105" s="3">
        <v>220881</v>
      </c>
      <c r="AL105" s="3"/>
      <c r="AM105" s="3"/>
      <c r="AN105" s="3"/>
      <c r="AO105" s="3">
        <v>0</v>
      </c>
      <c r="AP105" s="3"/>
      <c r="AQ105" s="3">
        <v>0</v>
      </c>
      <c r="AR105" s="3"/>
      <c r="AS105" s="3">
        <v>257</v>
      </c>
      <c r="AT105" s="3"/>
      <c r="AU105" s="3">
        <v>7033</v>
      </c>
      <c r="AV105" s="3"/>
      <c r="AW105" s="3">
        <v>0</v>
      </c>
      <c r="AX105" s="3"/>
      <c r="AY105" s="3">
        <v>9875</v>
      </c>
      <c r="AZ105" s="3"/>
      <c r="BA105" s="3">
        <v>5847</v>
      </c>
      <c r="BB105" s="3"/>
      <c r="BC105" s="3">
        <v>0</v>
      </c>
      <c r="BD105" s="3"/>
      <c r="BE105" s="16">
        <f t="shared" si="5"/>
        <v>13144409</v>
      </c>
      <c r="BF105" s="3"/>
      <c r="BG105" s="3">
        <v>0</v>
      </c>
      <c r="BH105" s="3"/>
      <c r="BI105" s="3">
        <v>0</v>
      </c>
      <c r="BJ105" s="3"/>
      <c r="BK105" s="3">
        <v>0</v>
      </c>
      <c r="BL105" s="3"/>
      <c r="BM105" s="3">
        <v>0</v>
      </c>
      <c r="BN105" s="3"/>
      <c r="BO105" s="16">
        <f t="shared" si="8"/>
        <v>13144409</v>
      </c>
      <c r="BP105" s="3" t="s">
        <v>319</v>
      </c>
      <c r="BR105" s="103" t="s">
        <v>180</v>
      </c>
      <c r="BT105" s="16">
        <f>GovRev!AV105-BO105</f>
        <v>230492</v>
      </c>
      <c r="BU105" s="3"/>
      <c r="BV105" s="3">
        <v>2607071</v>
      </c>
      <c r="BW105" s="3"/>
      <c r="BX105" s="3">
        <v>0</v>
      </c>
      <c r="BY105" s="3"/>
      <c r="BZ105" s="16">
        <f t="shared" si="7"/>
        <v>2837563</v>
      </c>
      <c r="CA105" s="16"/>
      <c r="CB105" s="16">
        <f>-BZ105+GovBS!AE105</f>
        <v>0</v>
      </c>
    </row>
    <row r="106" spans="1:80" s="59" customFormat="1" hidden="1">
      <c r="A106" s="58" t="s">
        <v>275</v>
      </c>
      <c r="B106" s="58"/>
      <c r="C106" s="58" t="s">
        <v>189</v>
      </c>
      <c r="E106" s="59">
        <v>12351</v>
      </c>
      <c r="G106" s="58">
        <v>0</v>
      </c>
      <c r="H106" s="58"/>
      <c r="I106" s="58">
        <v>0</v>
      </c>
      <c r="J106" s="58"/>
      <c r="K106" s="58">
        <v>0</v>
      </c>
      <c r="L106" s="58"/>
      <c r="M106" s="58">
        <v>0</v>
      </c>
      <c r="N106" s="58"/>
      <c r="O106" s="58">
        <v>0</v>
      </c>
      <c r="P106" s="58"/>
      <c r="Q106" s="58">
        <v>0</v>
      </c>
      <c r="R106" s="58"/>
      <c r="S106" s="58">
        <v>0</v>
      </c>
      <c r="T106" s="58"/>
      <c r="U106" s="58">
        <v>0</v>
      </c>
      <c r="V106" s="58"/>
      <c r="W106" s="58">
        <v>0</v>
      </c>
      <c r="X106" s="58"/>
      <c r="Y106" s="58">
        <v>0</v>
      </c>
      <c r="Z106" s="58"/>
      <c r="AA106" s="58">
        <v>0</v>
      </c>
      <c r="AB106" s="58"/>
      <c r="AC106" s="58">
        <v>0</v>
      </c>
      <c r="AD106" s="58"/>
      <c r="AE106" s="58" t="s">
        <v>275</v>
      </c>
      <c r="AF106" s="58"/>
      <c r="AG106" s="58" t="s">
        <v>189</v>
      </c>
      <c r="AH106" s="58"/>
      <c r="AI106" s="58">
        <v>0</v>
      </c>
      <c r="AJ106" s="58"/>
      <c r="AK106" s="58">
        <v>0</v>
      </c>
      <c r="AL106" s="58"/>
      <c r="AM106" s="58"/>
      <c r="AN106" s="58"/>
      <c r="AO106" s="58">
        <v>0</v>
      </c>
      <c r="AP106" s="58"/>
      <c r="AQ106" s="58">
        <v>0</v>
      </c>
      <c r="AR106" s="58"/>
      <c r="AS106" s="58">
        <v>0</v>
      </c>
      <c r="AT106" s="58"/>
      <c r="AU106" s="58">
        <v>0</v>
      </c>
      <c r="AV106" s="58"/>
      <c r="AW106" s="58">
        <v>0</v>
      </c>
      <c r="AX106" s="58"/>
      <c r="AY106" s="58">
        <v>0</v>
      </c>
      <c r="AZ106" s="58"/>
      <c r="BA106" s="58">
        <v>0</v>
      </c>
      <c r="BB106" s="58"/>
      <c r="BC106" s="58"/>
      <c r="BD106" s="58"/>
      <c r="BE106" s="60">
        <f t="shared" si="5"/>
        <v>0</v>
      </c>
      <c r="BF106" s="58"/>
      <c r="BG106" s="58">
        <v>0</v>
      </c>
      <c r="BH106" s="58"/>
      <c r="BI106" s="58">
        <v>0</v>
      </c>
      <c r="BJ106" s="58"/>
      <c r="BK106" s="58">
        <v>0</v>
      </c>
      <c r="BL106" s="58"/>
      <c r="BM106" s="58">
        <v>0</v>
      </c>
      <c r="BN106" s="58"/>
      <c r="BO106" s="60">
        <f t="shared" si="8"/>
        <v>0</v>
      </c>
      <c r="BP106" s="58" t="s">
        <v>275</v>
      </c>
      <c r="BQ106" s="58"/>
      <c r="BR106" s="58" t="s">
        <v>189</v>
      </c>
      <c r="BS106" s="58"/>
      <c r="BT106" s="60">
        <f>GovRev!AV106-BO106</f>
        <v>0</v>
      </c>
      <c r="BU106" s="58"/>
      <c r="BV106" s="58">
        <v>0</v>
      </c>
      <c r="BW106" s="58"/>
      <c r="BX106" s="58"/>
      <c r="BY106" s="58"/>
      <c r="BZ106" s="60">
        <f t="shared" si="7"/>
        <v>0</v>
      </c>
      <c r="CA106" s="60"/>
      <c r="CB106" s="60">
        <f>-BZ106+GovBS!AE106</f>
        <v>0</v>
      </c>
    </row>
    <row r="107" spans="1:80" s="103" customFormat="1">
      <c r="A107" s="3" t="s">
        <v>320</v>
      </c>
      <c r="C107" s="103" t="s">
        <v>181</v>
      </c>
      <c r="E107" s="103">
        <v>48660</v>
      </c>
      <c r="G107" s="3">
        <v>0</v>
      </c>
      <c r="H107" s="3"/>
      <c r="I107" s="3">
        <v>6092225</v>
      </c>
      <c r="J107" s="3"/>
      <c r="K107" s="3">
        <v>0</v>
      </c>
      <c r="L107" s="3"/>
      <c r="M107" s="3">
        <v>0</v>
      </c>
      <c r="N107" s="3"/>
      <c r="O107" s="3">
        <v>0</v>
      </c>
      <c r="P107" s="3"/>
      <c r="Q107" s="3">
        <v>9145654</v>
      </c>
      <c r="R107" s="3"/>
      <c r="S107" s="3">
        <v>8718813</v>
      </c>
      <c r="T107" s="3"/>
      <c r="U107" s="3">
        <v>0</v>
      </c>
      <c r="V107" s="3"/>
      <c r="W107" s="3">
        <f>101207+1416316</f>
        <v>1517523</v>
      </c>
      <c r="X107" s="3"/>
      <c r="Y107" s="3">
        <v>651464</v>
      </c>
      <c r="Z107" s="3"/>
      <c r="AA107" s="3">
        <v>2069</v>
      </c>
      <c r="AB107" s="3"/>
      <c r="AC107" s="3">
        <v>1526651</v>
      </c>
      <c r="AD107" s="3"/>
      <c r="AE107" s="3" t="s">
        <v>320</v>
      </c>
      <c r="AG107" s="103" t="s">
        <v>181</v>
      </c>
      <c r="AH107" s="3"/>
      <c r="AI107" s="3">
        <v>963757</v>
      </c>
      <c r="AJ107" s="3"/>
      <c r="AK107" s="3">
        <v>1182858</v>
      </c>
      <c r="AL107" s="3"/>
      <c r="AM107" s="3"/>
      <c r="AN107" s="3"/>
      <c r="AO107" s="3">
        <v>0</v>
      </c>
      <c r="AP107" s="3"/>
      <c r="AQ107" s="3">
        <v>231277</v>
      </c>
      <c r="AR107" s="3"/>
      <c r="AS107" s="3">
        <v>0</v>
      </c>
      <c r="AT107" s="3"/>
      <c r="AU107" s="3">
        <v>33386</v>
      </c>
      <c r="AV107" s="3"/>
      <c r="AW107" s="3">
        <v>0</v>
      </c>
      <c r="AX107" s="3"/>
      <c r="AY107" s="3">
        <v>0</v>
      </c>
      <c r="AZ107" s="3"/>
      <c r="BA107" s="3">
        <v>0</v>
      </c>
      <c r="BB107" s="3"/>
      <c r="BC107" s="3">
        <v>0</v>
      </c>
      <c r="BD107" s="3"/>
      <c r="BE107" s="16">
        <f t="shared" si="5"/>
        <v>30065677</v>
      </c>
      <c r="BF107" s="3"/>
      <c r="BG107" s="3">
        <v>82112</v>
      </c>
      <c r="BH107" s="3"/>
      <c r="BI107" s="3">
        <v>0</v>
      </c>
      <c r="BJ107" s="3"/>
      <c r="BK107" s="3">
        <v>0</v>
      </c>
      <c r="BL107" s="3"/>
      <c r="BM107" s="3">
        <v>0</v>
      </c>
      <c r="BN107" s="3"/>
      <c r="BO107" s="16">
        <f t="shared" si="8"/>
        <v>30147789</v>
      </c>
      <c r="BP107" s="3" t="s">
        <v>320</v>
      </c>
      <c r="BR107" s="103" t="s">
        <v>181</v>
      </c>
      <c r="BT107" s="16">
        <f>GovRev!AV107-BO107</f>
        <v>1345037</v>
      </c>
      <c r="BU107" s="3"/>
      <c r="BV107" s="3">
        <v>13901559</v>
      </c>
      <c r="BW107" s="3"/>
      <c r="BX107" s="3">
        <v>0</v>
      </c>
      <c r="BY107" s="3"/>
      <c r="BZ107" s="16">
        <f t="shared" si="7"/>
        <v>15246596</v>
      </c>
      <c r="CA107" s="16"/>
      <c r="CB107" s="16">
        <f>-BZ107+GovBS!AE107</f>
        <v>0</v>
      </c>
    </row>
    <row r="108" spans="1:80" s="103" customFormat="1">
      <c r="A108" s="3" t="s">
        <v>182</v>
      </c>
      <c r="C108" s="103" t="s">
        <v>183</v>
      </c>
      <c r="E108" s="103">
        <v>125252</v>
      </c>
      <c r="G108" s="3">
        <v>888691</v>
      </c>
      <c r="H108" s="3"/>
      <c r="I108" s="3">
        <v>4841574</v>
      </c>
      <c r="J108" s="3"/>
      <c r="K108" s="3">
        <v>0</v>
      </c>
      <c r="L108" s="3"/>
      <c r="M108" s="3">
        <v>34640</v>
      </c>
      <c r="N108" s="3"/>
      <c r="O108" s="3">
        <v>639826</v>
      </c>
      <c r="P108" s="3"/>
      <c r="Q108" s="3">
        <v>3795934</v>
      </c>
      <c r="R108" s="3"/>
      <c r="S108" s="3">
        <v>5488812</v>
      </c>
      <c r="T108" s="3"/>
      <c r="U108" s="3">
        <v>42588</v>
      </c>
      <c r="V108" s="3"/>
      <c r="W108" s="3">
        <v>1610063</v>
      </c>
      <c r="X108" s="3"/>
      <c r="Y108" s="3">
        <v>493394</v>
      </c>
      <c r="Z108" s="3"/>
      <c r="AA108" s="3">
        <v>0</v>
      </c>
      <c r="AB108" s="3"/>
      <c r="AC108" s="3">
        <v>127275</v>
      </c>
      <c r="AD108" s="3"/>
      <c r="AE108" s="3" t="s">
        <v>182</v>
      </c>
      <c r="AG108" s="103" t="s">
        <v>183</v>
      </c>
      <c r="AH108" s="3"/>
      <c r="AI108" s="3">
        <v>49793</v>
      </c>
      <c r="AJ108" s="3"/>
      <c r="AK108" s="3">
        <v>396503</v>
      </c>
      <c r="AL108" s="3"/>
      <c r="AM108" s="3"/>
      <c r="AN108" s="3"/>
      <c r="AO108" s="3">
        <v>0</v>
      </c>
      <c r="AP108" s="3"/>
      <c r="AQ108" s="3">
        <v>133861</v>
      </c>
      <c r="AR108" s="3"/>
      <c r="AS108" s="3">
        <v>15108</v>
      </c>
      <c r="AT108" s="3"/>
      <c r="AU108" s="3">
        <v>0</v>
      </c>
      <c r="AV108" s="3"/>
      <c r="AW108" s="3">
        <v>0</v>
      </c>
      <c r="AX108" s="3"/>
      <c r="AY108" s="3">
        <v>14134</v>
      </c>
      <c r="AZ108" s="3"/>
      <c r="BA108" s="3">
        <v>571</v>
      </c>
      <c r="BB108" s="3"/>
      <c r="BC108" s="3">
        <v>0</v>
      </c>
      <c r="BD108" s="3"/>
      <c r="BE108" s="16">
        <f t="shared" si="5"/>
        <v>18572767</v>
      </c>
      <c r="BF108" s="3"/>
      <c r="BG108" s="3">
        <v>0</v>
      </c>
      <c r="BH108" s="3"/>
      <c r="BI108" s="3">
        <v>0</v>
      </c>
      <c r="BJ108" s="3"/>
      <c r="BK108" s="3">
        <v>0</v>
      </c>
      <c r="BL108" s="3"/>
      <c r="BM108" s="3">
        <v>0</v>
      </c>
      <c r="BN108" s="3"/>
      <c r="BO108" s="16">
        <f t="shared" si="8"/>
        <v>18572767</v>
      </c>
      <c r="BP108" s="3" t="s">
        <v>182</v>
      </c>
      <c r="BR108" s="103" t="s">
        <v>183</v>
      </c>
      <c r="BT108" s="16">
        <f>GovRev!AV108-BO108</f>
        <v>-346003</v>
      </c>
      <c r="BU108" s="3"/>
      <c r="BV108" s="3">
        <v>3310305</v>
      </c>
      <c r="BW108" s="3"/>
      <c r="BX108" s="3">
        <v>0</v>
      </c>
      <c r="BY108" s="3"/>
      <c r="BZ108" s="16">
        <f t="shared" si="7"/>
        <v>2964302</v>
      </c>
      <c r="CA108" s="16"/>
      <c r="CB108" s="16">
        <f>-BZ108+GovBS!AE108</f>
        <v>0</v>
      </c>
    </row>
    <row r="109" spans="1:80" s="103" customFormat="1">
      <c r="A109" s="3" t="s">
        <v>265</v>
      </c>
      <c r="C109" s="103" t="s">
        <v>193</v>
      </c>
      <c r="E109" s="103">
        <v>123257</v>
      </c>
      <c r="G109" s="3">
        <v>1440956</v>
      </c>
      <c r="H109" s="3"/>
      <c r="I109" s="3">
        <v>5099607</v>
      </c>
      <c r="J109" s="3"/>
      <c r="K109" s="3">
        <v>0</v>
      </c>
      <c r="L109" s="3"/>
      <c r="M109" s="3">
        <v>0</v>
      </c>
      <c r="N109" s="3"/>
      <c r="O109" s="3">
        <v>84216</v>
      </c>
      <c r="P109" s="3"/>
      <c r="Q109" s="3">
        <v>4072296</v>
      </c>
      <c r="R109" s="3"/>
      <c r="S109" s="3">
        <v>3917179</v>
      </c>
      <c r="T109" s="3"/>
      <c r="U109" s="3">
        <v>70079</v>
      </c>
      <c r="V109" s="3"/>
      <c r="W109" s="3">
        <v>1952095</v>
      </c>
      <c r="X109" s="3"/>
      <c r="Y109" s="3">
        <v>785806</v>
      </c>
      <c r="Z109" s="3"/>
      <c r="AA109" s="3">
        <v>159702</v>
      </c>
      <c r="AB109" s="3"/>
      <c r="AC109" s="3">
        <v>562088</v>
      </c>
      <c r="AD109" s="3"/>
      <c r="AE109" s="3" t="s">
        <v>265</v>
      </c>
      <c r="AG109" s="103" t="s">
        <v>193</v>
      </c>
      <c r="AH109" s="3"/>
      <c r="AI109" s="3">
        <v>153792</v>
      </c>
      <c r="AJ109" s="3"/>
      <c r="AK109" s="3">
        <v>1236246</v>
      </c>
      <c r="AL109" s="3"/>
      <c r="AM109" s="3"/>
      <c r="AN109" s="3"/>
      <c r="AO109" s="3">
        <v>39694</v>
      </c>
      <c r="AP109" s="3"/>
      <c r="AQ109" s="3">
        <v>84008</v>
      </c>
      <c r="AR109" s="3"/>
      <c r="AS109" s="3">
        <v>2233</v>
      </c>
      <c r="AT109" s="3"/>
      <c r="AU109" s="3">
        <v>0</v>
      </c>
      <c r="AV109" s="3"/>
      <c r="AW109" s="3">
        <v>0</v>
      </c>
      <c r="AX109" s="3"/>
      <c r="AY109" s="3">
        <v>125000</v>
      </c>
      <c r="AZ109" s="3"/>
      <c r="BA109" s="3">
        <v>123096</v>
      </c>
      <c r="BB109" s="3"/>
      <c r="BC109" s="3">
        <v>0</v>
      </c>
      <c r="BD109" s="3"/>
      <c r="BE109" s="16">
        <f t="shared" si="5"/>
        <v>19908093</v>
      </c>
      <c r="BF109" s="3"/>
      <c r="BG109" s="3">
        <v>253154</v>
      </c>
      <c r="BH109" s="3"/>
      <c r="BI109" s="3">
        <v>0</v>
      </c>
      <c r="BJ109" s="3"/>
      <c r="BK109" s="3">
        <v>0</v>
      </c>
      <c r="BL109" s="3"/>
      <c r="BM109" s="3">
        <v>0</v>
      </c>
      <c r="BN109" s="3"/>
      <c r="BO109" s="16">
        <f t="shared" si="8"/>
        <v>20161247</v>
      </c>
      <c r="BP109" s="3" t="s">
        <v>265</v>
      </c>
      <c r="BR109" s="103" t="s">
        <v>193</v>
      </c>
      <c r="BT109" s="16">
        <f>GovRev!AV109-BO109</f>
        <v>-1115083</v>
      </c>
      <c r="BU109" s="3"/>
      <c r="BV109" s="3">
        <v>452334</v>
      </c>
      <c r="BW109" s="3"/>
      <c r="BX109" s="3">
        <v>0</v>
      </c>
      <c r="BY109" s="3"/>
      <c r="BZ109" s="16">
        <f t="shared" si="7"/>
        <v>-662749</v>
      </c>
      <c r="CA109" s="16"/>
      <c r="CB109" s="16">
        <f>-BZ109+GovBS!AE109</f>
        <v>0</v>
      </c>
    </row>
    <row r="110" spans="1:80" s="103" customFormat="1">
      <c r="A110" s="103" t="s">
        <v>299</v>
      </c>
      <c r="C110" s="103" t="s">
        <v>160</v>
      </c>
      <c r="E110" s="116">
        <v>125690</v>
      </c>
      <c r="G110" s="3">
        <v>476259</v>
      </c>
      <c r="H110" s="3"/>
      <c r="I110" s="3">
        <v>5531278</v>
      </c>
      <c r="J110" s="3"/>
      <c r="K110" s="3">
        <v>0</v>
      </c>
      <c r="L110" s="3"/>
      <c r="M110" s="3">
        <v>0</v>
      </c>
      <c r="N110" s="3"/>
      <c r="O110" s="3">
        <v>0</v>
      </c>
      <c r="P110" s="3"/>
      <c r="Q110" s="3">
        <v>5473735</v>
      </c>
      <c r="R110" s="3"/>
      <c r="S110" s="3">
        <v>6426502</v>
      </c>
      <c r="T110" s="3"/>
      <c r="U110" s="3">
        <v>258503</v>
      </c>
      <c r="V110" s="3"/>
      <c r="W110" s="3">
        <v>891755</v>
      </c>
      <c r="X110" s="3"/>
      <c r="Y110" s="3">
        <v>433784</v>
      </c>
      <c r="Z110" s="3"/>
      <c r="AA110" s="3">
        <v>177172</v>
      </c>
      <c r="AB110" s="3"/>
      <c r="AC110" s="3">
        <v>562672</v>
      </c>
      <c r="AD110" s="3"/>
      <c r="AE110" s="103" t="s">
        <v>299</v>
      </c>
      <c r="AG110" s="103" t="s">
        <v>160</v>
      </c>
      <c r="AH110" s="3"/>
      <c r="AI110" s="3">
        <v>0</v>
      </c>
      <c r="AJ110" s="3"/>
      <c r="AK110" s="3">
        <v>22051</v>
      </c>
      <c r="AL110" s="3"/>
      <c r="AM110" s="3"/>
      <c r="AN110" s="3"/>
      <c r="AO110" s="3">
        <v>0</v>
      </c>
      <c r="AP110" s="3"/>
      <c r="AQ110" s="3">
        <v>100994</v>
      </c>
      <c r="AR110" s="3"/>
      <c r="AS110" s="3">
        <v>15616</v>
      </c>
      <c r="AT110" s="3"/>
      <c r="AU110" s="3">
        <v>0</v>
      </c>
      <c r="AV110" s="3"/>
      <c r="AW110" s="3">
        <v>0</v>
      </c>
      <c r="AX110" s="3"/>
      <c r="AY110" s="3">
        <v>0</v>
      </c>
      <c r="AZ110" s="3"/>
      <c r="BA110" s="3">
        <v>0</v>
      </c>
      <c r="BB110" s="3"/>
      <c r="BC110" s="3">
        <v>0</v>
      </c>
      <c r="BD110" s="3"/>
      <c r="BE110" s="16">
        <f t="shared" si="5"/>
        <v>20370321</v>
      </c>
      <c r="BF110" s="3"/>
      <c r="BG110" s="3">
        <v>0</v>
      </c>
      <c r="BH110" s="3"/>
      <c r="BI110" s="3">
        <v>0</v>
      </c>
      <c r="BJ110" s="3"/>
      <c r="BK110" s="3">
        <v>0</v>
      </c>
      <c r="BL110" s="3"/>
      <c r="BM110" s="3">
        <v>0</v>
      </c>
      <c r="BN110" s="3"/>
      <c r="BO110" s="16">
        <f t="shared" si="8"/>
        <v>20370321</v>
      </c>
      <c r="BP110" s="103" t="s">
        <v>299</v>
      </c>
      <c r="BR110" s="103" t="s">
        <v>160</v>
      </c>
      <c r="BT110" s="16">
        <f>GovRev!AV110-BO110</f>
        <v>670866</v>
      </c>
      <c r="BU110" s="3"/>
      <c r="BV110" s="3">
        <v>5350225</v>
      </c>
      <c r="BW110" s="3"/>
      <c r="BX110" s="3">
        <v>0</v>
      </c>
      <c r="BY110" s="3"/>
      <c r="BZ110" s="16">
        <f t="shared" ref="BZ110" si="9">+BV110+BT110+BX110</f>
        <v>6021091</v>
      </c>
      <c r="CA110" s="16"/>
      <c r="CB110" s="16">
        <f>-BZ110+GovBS!AE110</f>
        <v>0</v>
      </c>
    </row>
    <row r="111" spans="1:80" s="103" customFormat="1">
      <c r="A111" s="3" t="s">
        <v>163</v>
      </c>
      <c r="C111" s="3" t="s">
        <v>321</v>
      </c>
      <c r="E111" s="103">
        <v>124297</v>
      </c>
      <c r="G111" s="3">
        <v>1363669</v>
      </c>
      <c r="H111" s="3"/>
      <c r="I111" s="3">
        <v>6631432</v>
      </c>
      <c r="J111" s="3"/>
      <c r="K111" s="3">
        <v>0</v>
      </c>
      <c r="L111" s="3"/>
      <c r="M111" s="3">
        <v>0</v>
      </c>
      <c r="N111" s="3"/>
      <c r="O111" s="3">
        <v>0</v>
      </c>
      <c r="P111" s="3"/>
      <c r="Q111" s="3">
        <v>4495565</v>
      </c>
      <c r="R111" s="3"/>
      <c r="S111" s="3">
        <v>6800386</v>
      </c>
      <c r="T111" s="3"/>
      <c r="U111" s="3">
        <v>109158</v>
      </c>
      <c r="V111" s="3"/>
      <c r="W111" s="3">
        <v>721037</v>
      </c>
      <c r="X111" s="3"/>
      <c r="Y111" s="3">
        <v>470955</v>
      </c>
      <c r="Z111" s="3"/>
      <c r="AA111" s="3">
        <v>55533</v>
      </c>
      <c r="AB111" s="3"/>
      <c r="AC111" s="3">
        <v>379765</v>
      </c>
      <c r="AD111" s="3"/>
      <c r="AE111" s="3" t="s">
        <v>163</v>
      </c>
      <c r="AG111" s="3" t="s">
        <v>321</v>
      </c>
      <c r="AH111" s="3"/>
      <c r="AI111" s="3">
        <v>215708</v>
      </c>
      <c r="AJ111" s="3"/>
      <c r="AK111" s="3">
        <v>102047</v>
      </c>
      <c r="AL111" s="3"/>
      <c r="AM111" s="3"/>
      <c r="AN111" s="3"/>
      <c r="AO111" s="3">
        <v>0</v>
      </c>
      <c r="AP111" s="3"/>
      <c r="AQ111" s="3">
        <v>56295</v>
      </c>
      <c r="AR111" s="3"/>
      <c r="AS111" s="3">
        <v>0</v>
      </c>
      <c r="AT111" s="3"/>
      <c r="AU111" s="3">
        <v>0</v>
      </c>
      <c r="AV111" s="3"/>
      <c r="AW111" s="3">
        <v>3306784</v>
      </c>
      <c r="AX111" s="3"/>
      <c r="AY111" s="3">
        <v>144146</v>
      </c>
      <c r="AZ111" s="3"/>
      <c r="BA111" s="3">
        <v>29856</v>
      </c>
      <c r="BB111" s="3"/>
      <c r="BC111" s="3">
        <v>0</v>
      </c>
      <c r="BD111" s="3"/>
      <c r="BE111" s="16">
        <f t="shared" si="5"/>
        <v>24882336</v>
      </c>
      <c r="BF111" s="3"/>
      <c r="BG111" s="3">
        <v>0</v>
      </c>
      <c r="BH111" s="3"/>
      <c r="BI111" s="3">
        <v>0</v>
      </c>
      <c r="BJ111" s="3"/>
      <c r="BK111" s="3">
        <v>0</v>
      </c>
      <c r="BL111" s="3"/>
      <c r="BM111" s="3">
        <v>0</v>
      </c>
      <c r="BN111" s="3"/>
      <c r="BO111" s="16">
        <f t="shared" si="8"/>
        <v>24882336</v>
      </c>
      <c r="BP111" s="3" t="s">
        <v>163</v>
      </c>
      <c r="BR111" s="3" t="s">
        <v>321</v>
      </c>
      <c r="BS111" s="3"/>
      <c r="BT111" s="16">
        <f>GovRev!AV111-BO111</f>
        <v>201797</v>
      </c>
      <c r="BU111" s="3"/>
      <c r="BV111" s="3">
        <v>1510844</v>
      </c>
      <c r="BW111" s="3"/>
      <c r="BX111" s="3">
        <v>0</v>
      </c>
      <c r="BY111" s="3"/>
      <c r="BZ111" s="16">
        <f t="shared" si="7"/>
        <v>1712641</v>
      </c>
      <c r="CA111" s="16"/>
      <c r="CB111" s="16">
        <f>-BZ111+GovBS!AE111</f>
        <v>0</v>
      </c>
    </row>
    <row r="112" spans="1:80" s="103" customFormat="1">
      <c r="A112" s="3" t="s">
        <v>308</v>
      </c>
      <c r="C112" s="3" t="s">
        <v>259</v>
      </c>
      <c r="E112" s="103">
        <v>123281</v>
      </c>
      <c r="G112" s="3">
        <v>238561</v>
      </c>
      <c r="H112" s="3"/>
      <c r="I112" s="3">
        <v>2406799</v>
      </c>
      <c r="J112" s="3"/>
      <c r="K112" s="3">
        <v>0</v>
      </c>
      <c r="L112" s="3"/>
      <c r="M112" s="3">
        <v>44600</v>
      </c>
      <c r="N112" s="3"/>
      <c r="O112" s="3">
        <v>0</v>
      </c>
      <c r="P112" s="3"/>
      <c r="Q112" s="3">
        <v>1779198</v>
      </c>
      <c r="R112" s="3"/>
      <c r="S112" s="3">
        <v>2641525</v>
      </c>
      <c r="T112" s="3"/>
      <c r="U112" s="3">
        <v>34089</v>
      </c>
      <c r="V112" s="3"/>
      <c r="W112" s="3">
        <v>739264</v>
      </c>
      <c r="X112" s="3"/>
      <c r="Y112" s="3">
        <v>285504</v>
      </c>
      <c r="Z112" s="3"/>
      <c r="AA112" s="3">
        <v>0</v>
      </c>
      <c r="AB112" s="3"/>
      <c r="AC112" s="3">
        <v>76828</v>
      </c>
      <c r="AD112" s="3"/>
      <c r="AE112" s="3" t="s">
        <v>308</v>
      </c>
      <c r="AG112" s="3" t="s">
        <v>259</v>
      </c>
      <c r="AH112" s="3"/>
      <c r="AI112" s="3">
        <v>13112</v>
      </c>
      <c r="AJ112" s="3"/>
      <c r="AK112" s="3">
        <v>53931</v>
      </c>
      <c r="AL112" s="3"/>
      <c r="AM112" s="3"/>
      <c r="AN112" s="3"/>
      <c r="AO112" s="3">
        <v>0</v>
      </c>
      <c r="AP112" s="3"/>
      <c r="AQ112" s="3">
        <v>2614</v>
      </c>
      <c r="AR112" s="3"/>
      <c r="AS112" s="3">
        <v>51649</v>
      </c>
      <c r="AT112" s="3"/>
      <c r="AU112" s="3">
        <v>7094</v>
      </c>
      <c r="AV112" s="3"/>
      <c r="AW112" s="3">
        <v>120090</v>
      </c>
      <c r="AX112" s="3"/>
      <c r="AY112" s="3">
        <v>7527</v>
      </c>
      <c r="AZ112" s="3"/>
      <c r="BA112" s="3">
        <v>564</v>
      </c>
      <c r="BB112" s="3"/>
      <c r="BC112" s="3">
        <v>0</v>
      </c>
      <c r="BD112" s="3"/>
      <c r="BE112" s="16">
        <f t="shared" si="5"/>
        <v>8502949</v>
      </c>
      <c r="BF112" s="3"/>
      <c r="BG112" s="3">
        <v>28000</v>
      </c>
      <c r="BH112" s="3"/>
      <c r="BI112" s="3">
        <v>0</v>
      </c>
      <c r="BJ112" s="3"/>
      <c r="BK112" s="3">
        <v>0</v>
      </c>
      <c r="BL112" s="3"/>
      <c r="BM112" s="3">
        <v>0</v>
      </c>
      <c r="BN112" s="3"/>
      <c r="BO112" s="16">
        <f t="shared" si="8"/>
        <v>8530949</v>
      </c>
      <c r="BP112" s="3" t="s">
        <v>308</v>
      </c>
      <c r="BR112" s="3" t="s">
        <v>259</v>
      </c>
      <c r="BS112" s="3"/>
      <c r="BT112" s="16">
        <f>GovRev!AV112-BO112</f>
        <v>356319</v>
      </c>
      <c r="BU112" s="3"/>
      <c r="BV112" s="3">
        <v>1272952</v>
      </c>
      <c r="BW112" s="3"/>
      <c r="BX112" s="3">
        <v>0</v>
      </c>
      <c r="BY112" s="3"/>
      <c r="BZ112" s="16">
        <f t="shared" si="7"/>
        <v>1629271</v>
      </c>
      <c r="CA112" s="16"/>
      <c r="CB112" s="16">
        <f>-BZ112+GovBS!AE112</f>
        <v>0</v>
      </c>
    </row>
    <row r="113" spans="1:80" s="89" customFormat="1" hidden="1">
      <c r="A113" s="88" t="s">
        <v>355</v>
      </c>
      <c r="C113" s="89" t="s">
        <v>184</v>
      </c>
      <c r="E113" s="89">
        <v>125674</v>
      </c>
      <c r="G113" s="88">
        <v>0</v>
      </c>
      <c r="H113" s="88"/>
      <c r="I113" s="88">
        <v>0</v>
      </c>
      <c r="J113" s="88"/>
      <c r="K113" s="88">
        <v>0</v>
      </c>
      <c r="L113" s="88"/>
      <c r="M113" s="88">
        <v>0</v>
      </c>
      <c r="N113" s="88"/>
      <c r="O113" s="88">
        <v>0</v>
      </c>
      <c r="P113" s="88"/>
      <c r="Q113" s="88">
        <v>0</v>
      </c>
      <c r="R113" s="88"/>
      <c r="S113" s="88">
        <v>0</v>
      </c>
      <c r="T113" s="88"/>
      <c r="U113" s="88">
        <v>0</v>
      </c>
      <c r="V113" s="88"/>
      <c r="W113" s="88">
        <v>0</v>
      </c>
      <c r="X113" s="88"/>
      <c r="Y113" s="88">
        <v>0</v>
      </c>
      <c r="Z113" s="88"/>
      <c r="AA113" s="88">
        <v>0</v>
      </c>
      <c r="AB113" s="88"/>
      <c r="AC113" s="88">
        <v>0</v>
      </c>
      <c r="AD113" s="88"/>
      <c r="AE113" s="88" t="s">
        <v>355</v>
      </c>
      <c r="AG113" s="89" t="s">
        <v>184</v>
      </c>
      <c r="AH113" s="88"/>
      <c r="AI113" s="88">
        <v>0</v>
      </c>
      <c r="AJ113" s="88"/>
      <c r="AK113" s="88">
        <v>0</v>
      </c>
      <c r="AL113" s="88"/>
      <c r="AM113" s="88"/>
      <c r="AN113" s="88"/>
      <c r="AO113" s="88">
        <v>0</v>
      </c>
      <c r="AP113" s="88"/>
      <c r="AQ113" s="88">
        <v>0</v>
      </c>
      <c r="AR113" s="88"/>
      <c r="AS113" s="88">
        <v>0</v>
      </c>
      <c r="AT113" s="88"/>
      <c r="AU113" s="88">
        <v>0</v>
      </c>
      <c r="AV113" s="88"/>
      <c r="AW113" s="88">
        <v>0</v>
      </c>
      <c r="AX113" s="88"/>
      <c r="AY113" s="88">
        <v>0</v>
      </c>
      <c r="AZ113" s="88"/>
      <c r="BA113" s="88">
        <v>0</v>
      </c>
      <c r="BB113" s="88"/>
      <c r="BC113" s="88">
        <v>0</v>
      </c>
      <c r="BD113" s="88"/>
      <c r="BE113" s="90">
        <f t="shared" si="5"/>
        <v>0</v>
      </c>
      <c r="BF113" s="88"/>
      <c r="BG113" s="88">
        <v>0</v>
      </c>
      <c r="BH113" s="88"/>
      <c r="BI113" s="88">
        <v>0</v>
      </c>
      <c r="BJ113" s="88"/>
      <c r="BK113" s="88">
        <v>0</v>
      </c>
      <c r="BL113" s="88"/>
      <c r="BM113" s="88">
        <v>0</v>
      </c>
      <c r="BN113" s="88"/>
      <c r="BO113" s="90">
        <f t="shared" si="8"/>
        <v>0</v>
      </c>
      <c r="BP113" s="88" t="s">
        <v>355</v>
      </c>
      <c r="BR113" s="89" t="s">
        <v>184</v>
      </c>
      <c r="BT113" s="90">
        <f>GovRev!AV113-BO113</f>
        <v>0</v>
      </c>
      <c r="BU113" s="88"/>
      <c r="BV113" s="88">
        <v>0</v>
      </c>
      <c r="BW113" s="88"/>
      <c r="BX113" s="88">
        <v>0</v>
      </c>
      <c r="BY113" s="88"/>
      <c r="BZ113" s="90">
        <f t="shared" si="7"/>
        <v>0</v>
      </c>
      <c r="CA113" s="90"/>
      <c r="CB113" s="90">
        <f>-BZ113+GovBS!AE113</f>
        <v>0</v>
      </c>
    </row>
    <row r="114" spans="1:80" s="103" customFormat="1">
      <c r="A114" s="3" t="s">
        <v>332</v>
      </c>
      <c r="C114" s="103" t="s">
        <v>185</v>
      </c>
      <c r="E114" s="103">
        <v>49072</v>
      </c>
      <c r="G114" s="3">
        <v>81600</v>
      </c>
      <c r="H114" s="3"/>
      <c r="I114" s="3">
        <v>388487</v>
      </c>
      <c r="J114" s="3"/>
      <c r="K114" s="3">
        <v>0</v>
      </c>
      <c r="L114" s="3"/>
      <c r="M114" s="3">
        <v>69538</v>
      </c>
      <c r="N114" s="3"/>
      <c r="O114" s="3">
        <v>12852</v>
      </c>
      <c r="P114" s="3"/>
      <c r="Q114" s="3">
        <v>2000622</v>
      </c>
      <c r="R114" s="3"/>
      <c r="S114" s="3">
        <v>654717</v>
      </c>
      <c r="T114" s="3"/>
      <c r="U114" s="3">
        <v>43579</v>
      </c>
      <c r="V114" s="3"/>
      <c r="W114" s="3">
        <v>455717</v>
      </c>
      <c r="X114" s="3"/>
      <c r="Y114" s="3">
        <v>142215</v>
      </c>
      <c r="Z114" s="3"/>
      <c r="AA114" s="3">
        <v>22468</v>
      </c>
      <c r="AB114" s="3"/>
      <c r="AC114" s="3">
        <v>117251</v>
      </c>
      <c r="AD114" s="3"/>
      <c r="AE114" s="3" t="s">
        <v>332</v>
      </c>
      <c r="AG114" s="103" t="s">
        <v>185</v>
      </c>
      <c r="AH114" s="3"/>
      <c r="AI114" s="3">
        <v>175283</v>
      </c>
      <c r="AJ114" s="3"/>
      <c r="AK114" s="3">
        <v>169641</v>
      </c>
      <c r="AL114" s="3"/>
      <c r="AM114" s="3"/>
      <c r="AN114" s="3"/>
      <c r="AO114" s="3">
        <v>0</v>
      </c>
      <c r="AP114" s="3"/>
      <c r="AQ114" s="3">
        <v>567</v>
      </c>
      <c r="AR114" s="3"/>
      <c r="AS114" s="3">
        <v>0</v>
      </c>
      <c r="AT114" s="3"/>
      <c r="AU114" s="3">
        <v>3495</v>
      </c>
      <c r="AV114" s="3"/>
      <c r="AW114" s="3">
        <v>0</v>
      </c>
      <c r="AX114" s="3"/>
      <c r="AY114" s="3">
        <v>0</v>
      </c>
      <c r="AZ114" s="3"/>
      <c r="BA114" s="3">
        <v>0</v>
      </c>
      <c r="BB114" s="3"/>
      <c r="BC114" s="3">
        <v>0</v>
      </c>
      <c r="BD114" s="3"/>
      <c r="BE114" s="16">
        <f t="shared" si="5"/>
        <v>4338032</v>
      </c>
      <c r="BF114" s="3"/>
      <c r="BG114" s="3">
        <v>0</v>
      </c>
      <c r="BH114" s="3"/>
      <c r="BI114" s="3">
        <v>0</v>
      </c>
      <c r="BJ114" s="3"/>
      <c r="BK114" s="3">
        <v>0</v>
      </c>
      <c r="BL114" s="3"/>
      <c r="BM114" s="3">
        <v>0</v>
      </c>
      <c r="BN114" s="3"/>
      <c r="BO114" s="16">
        <f t="shared" si="8"/>
        <v>4338032</v>
      </c>
      <c r="BP114" s="3" t="s">
        <v>332</v>
      </c>
      <c r="BR114" s="103" t="s">
        <v>185</v>
      </c>
      <c r="BT114" s="16">
        <f>GovRev!AV114-BO114</f>
        <v>-10352</v>
      </c>
      <c r="BU114" s="3"/>
      <c r="BV114" s="3">
        <v>524296</v>
      </c>
      <c r="BW114" s="3"/>
      <c r="BX114" s="3">
        <v>0</v>
      </c>
      <c r="BY114" s="3"/>
      <c r="BZ114" s="16">
        <f t="shared" si="7"/>
        <v>513944</v>
      </c>
      <c r="CA114" s="16"/>
      <c r="CB114" s="16">
        <f>-BZ114+GovBS!AE114</f>
        <v>0</v>
      </c>
    </row>
    <row r="115" spans="1:80" s="103" customFormat="1">
      <c r="A115" s="3" t="s">
        <v>323</v>
      </c>
      <c r="C115" s="103" t="s">
        <v>186</v>
      </c>
      <c r="E115" s="103">
        <v>49163</v>
      </c>
      <c r="G115" s="3">
        <v>210833</v>
      </c>
      <c r="H115" s="3"/>
      <c r="I115" s="3">
        <v>3530529</v>
      </c>
      <c r="J115" s="3"/>
      <c r="K115" s="3">
        <v>0</v>
      </c>
      <c r="L115" s="3"/>
      <c r="M115" s="3">
        <v>0</v>
      </c>
      <c r="N115" s="3"/>
      <c r="O115" s="3">
        <v>21513</v>
      </c>
      <c r="P115" s="3"/>
      <c r="Q115" s="3">
        <v>1639284</v>
      </c>
      <c r="R115" s="3"/>
      <c r="S115" s="3">
        <v>2197504</v>
      </c>
      <c r="T115" s="3"/>
      <c r="U115" s="3">
        <v>257714</v>
      </c>
      <c r="V115" s="3"/>
      <c r="W115" s="3">
        <v>666397</v>
      </c>
      <c r="X115" s="3"/>
      <c r="Y115" s="3">
        <v>331643</v>
      </c>
      <c r="Z115" s="3"/>
      <c r="AA115" s="3">
        <v>101399</v>
      </c>
      <c r="AB115" s="3"/>
      <c r="AC115" s="3">
        <v>43326</v>
      </c>
      <c r="AD115" s="3"/>
      <c r="AE115" s="3" t="s">
        <v>323</v>
      </c>
      <c r="AG115" s="103" t="s">
        <v>186</v>
      </c>
      <c r="AH115" s="3"/>
      <c r="AI115" s="3">
        <v>13301</v>
      </c>
      <c r="AJ115" s="3"/>
      <c r="AK115" s="3">
        <v>0</v>
      </c>
      <c r="AL115" s="3"/>
      <c r="AM115" s="3"/>
      <c r="AN115" s="3"/>
      <c r="AO115" s="3">
        <v>143292</v>
      </c>
      <c r="AP115" s="3"/>
      <c r="AQ115" s="3">
        <v>0</v>
      </c>
      <c r="AR115" s="3"/>
      <c r="AS115" s="3">
        <v>7953</v>
      </c>
      <c r="AT115" s="3"/>
      <c r="AU115" s="3">
        <v>0</v>
      </c>
      <c r="AV115" s="3"/>
      <c r="AW115" s="3">
        <v>0</v>
      </c>
      <c r="AX115" s="3"/>
      <c r="AY115" s="3">
        <v>7165</v>
      </c>
      <c r="AZ115" s="3"/>
      <c r="BA115" s="3">
        <v>1523</v>
      </c>
      <c r="BB115" s="3"/>
      <c r="BC115" s="3">
        <v>0</v>
      </c>
      <c r="BD115" s="3"/>
      <c r="BE115" s="16">
        <f t="shared" si="5"/>
        <v>9173376</v>
      </c>
      <c r="BF115" s="3"/>
      <c r="BG115" s="3">
        <v>0</v>
      </c>
      <c r="BH115" s="3"/>
      <c r="BI115" s="3">
        <v>0</v>
      </c>
      <c r="BJ115" s="3"/>
      <c r="BK115" s="3">
        <v>0</v>
      </c>
      <c r="BL115" s="3"/>
      <c r="BM115" s="3">
        <v>0</v>
      </c>
      <c r="BN115" s="3"/>
      <c r="BO115" s="16">
        <f t="shared" si="8"/>
        <v>9173376</v>
      </c>
      <c r="BP115" s="3" t="s">
        <v>323</v>
      </c>
      <c r="BR115" s="103" t="s">
        <v>186</v>
      </c>
      <c r="BT115" s="16">
        <f>GovRev!AV115-BO115</f>
        <v>-453103</v>
      </c>
      <c r="BU115" s="3"/>
      <c r="BV115" s="3">
        <v>488298</v>
      </c>
      <c r="BW115" s="3"/>
      <c r="BX115" s="3">
        <v>0</v>
      </c>
      <c r="BY115" s="3"/>
      <c r="BZ115" s="16">
        <f t="shared" si="7"/>
        <v>35195</v>
      </c>
      <c r="CA115" s="16"/>
      <c r="CB115" s="16">
        <f>-BZ115+GovBS!AE115</f>
        <v>0</v>
      </c>
    </row>
    <row r="116" spans="1:80" s="59" customFormat="1" hidden="1">
      <c r="A116" s="59" t="s">
        <v>324</v>
      </c>
      <c r="C116" s="59" t="s">
        <v>187</v>
      </c>
      <c r="E116" s="59">
        <v>49254</v>
      </c>
      <c r="G116" s="58">
        <v>0</v>
      </c>
      <c r="H116" s="58"/>
      <c r="I116" s="58">
        <v>0</v>
      </c>
      <c r="J116" s="58"/>
      <c r="K116" s="58">
        <v>0</v>
      </c>
      <c r="L116" s="58"/>
      <c r="M116" s="58">
        <v>0</v>
      </c>
      <c r="N116" s="58"/>
      <c r="O116" s="58">
        <v>0</v>
      </c>
      <c r="P116" s="58"/>
      <c r="Q116" s="58">
        <v>0</v>
      </c>
      <c r="R116" s="58"/>
      <c r="S116" s="58">
        <v>0</v>
      </c>
      <c r="T116" s="58"/>
      <c r="U116" s="58">
        <v>0</v>
      </c>
      <c r="V116" s="58"/>
      <c r="W116" s="58">
        <v>0</v>
      </c>
      <c r="X116" s="58"/>
      <c r="Y116" s="58">
        <v>0</v>
      </c>
      <c r="Z116" s="58"/>
      <c r="AA116" s="58">
        <v>0</v>
      </c>
      <c r="AB116" s="58"/>
      <c r="AC116" s="58">
        <v>0</v>
      </c>
      <c r="AD116" s="58"/>
      <c r="AE116" s="59" t="s">
        <v>324</v>
      </c>
      <c r="AG116" s="59" t="s">
        <v>187</v>
      </c>
      <c r="AH116" s="58"/>
      <c r="AI116" s="58">
        <v>0</v>
      </c>
      <c r="AJ116" s="58"/>
      <c r="AK116" s="58">
        <v>0</v>
      </c>
      <c r="AL116" s="58"/>
      <c r="AM116" s="58"/>
      <c r="AN116" s="58"/>
      <c r="AO116" s="58">
        <v>0</v>
      </c>
      <c r="AP116" s="58"/>
      <c r="AQ116" s="58">
        <v>0</v>
      </c>
      <c r="AR116" s="58"/>
      <c r="AS116" s="58">
        <v>0</v>
      </c>
      <c r="AT116" s="58"/>
      <c r="AU116" s="58">
        <v>0</v>
      </c>
      <c r="AV116" s="58"/>
      <c r="AW116" s="58">
        <v>0</v>
      </c>
      <c r="AX116" s="58"/>
      <c r="AY116" s="58">
        <v>0</v>
      </c>
      <c r="AZ116" s="58"/>
      <c r="BA116" s="58">
        <v>0</v>
      </c>
      <c r="BB116" s="58"/>
      <c r="BC116" s="58"/>
      <c r="BD116" s="58"/>
      <c r="BE116" s="60">
        <f t="shared" si="5"/>
        <v>0</v>
      </c>
      <c r="BF116" s="58"/>
      <c r="BG116" s="58">
        <v>0</v>
      </c>
      <c r="BH116" s="58"/>
      <c r="BI116" s="58">
        <v>0</v>
      </c>
      <c r="BJ116" s="58"/>
      <c r="BK116" s="58">
        <v>0</v>
      </c>
      <c r="BL116" s="58"/>
      <c r="BM116" s="58">
        <v>0</v>
      </c>
      <c r="BN116" s="58"/>
      <c r="BO116" s="60">
        <f t="shared" si="8"/>
        <v>0</v>
      </c>
      <c r="BP116" s="59" t="s">
        <v>324</v>
      </c>
      <c r="BR116" s="59" t="s">
        <v>187</v>
      </c>
      <c r="BT116" s="60">
        <f>GovRev!AV116-BO116</f>
        <v>0</v>
      </c>
      <c r="BU116" s="58"/>
      <c r="BV116" s="58">
        <v>0</v>
      </c>
      <c r="BW116" s="58"/>
      <c r="BX116" s="58"/>
      <c r="BY116" s="58"/>
      <c r="BZ116" s="60">
        <f t="shared" si="7"/>
        <v>0</v>
      </c>
      <c r="CA116" s="60"/>
      <c r="CB116" s="60">
        <f>-BZ116+GovBS!AE116</f>
        <v>0</v>
      </c>
    </row>
    <row r="117" spans="1:80" s="103" customFormat="1">
      <c r="A117" s="3" t="s">
        <v>325</v>
      </c>
      <c r="C117" s="103" t="s">
        <v>188</v>
      </c>
      <c r="E117" s="103">
        <v>49304</v>
      </c>
      <c r="G117" s="3">
        <v>386913</v>
      </c>
      <c r="H117" s="3"/>
      <c r="I117" s="3">
        <v>975826</v>
      </c>
      <c r="J117" s="3"/>
      <c r="K117" s="3">
        <v>0</v>
      </c>
      <c r="L117" s="3"/>
      <c r="M117" s="3">
        <v>44438</v>
      </c>
      <c r="N117" s="3"/>
      <c r="O117" s="3">
        <v>117</v>
      </c>
      <c r="P117" s="3"/>
      <c r="Q117" s="3">
        <v>837093</v>
      </c>
      <c r="R117" s="3"/>
      <c r="S117" s="3">
        <v>1581575</v>
      </c>
      <c r="T117" s="3"/>
      <c r="U117" s="3">
        <v>25926</v>
      </c>
      <c r="V117" s="3"/>
      <c r="W117" s="3">
        <v>295330</v>
      </c>
      <c r="X117" s="3"/>
      <c r="Y117" s="3">
        <v>356549</v>
      </c>
      <c r="Z117" s="3"/>
      <c r="AA117" s="3">
        <v>22991</v>
      </c>
      <c r="AB117" s="3"/>
      <c r="AC117" s="3">
        <v>94421</v>
      </c>
      <c r="AD117" s="3"/>
      <c r="AE117" s="3" t="s">
        <v>325</v>
      </c>
      <c r="AG117" s="103" t="s">
        <v>188</v>
      </c>
      <c r="AH117" s="3"/>
      <c r="AI117" s="3">
        <v>106407</v>
      </c>
      <c r="AJ117" s="3"/>
      <c r="AK117" s="3">
        <v>108341</v>
      </c>
      <c r="AL117" s="3"/>
      <c r="AM117" s="3"/>
      <c r="AN117" s="3"/>
      <c r="AO117" s="3">
        <v>0</v>
      </c>
      <c r="AP117" s="3"/>
      <c r="AQ117" s="3">
        <v>19650</v>
      </c>
      <c r="AR117" s="3"/>
      <c r="AS117" s="3">
        <v>0</v>
      </c>
      <c r="AT117" s="3"/>
      <c r="AU117" s="3">
        <v>0</v>
      </c>
      <c r="AV117" s="3"/>
      <c r="AW117" s="3">
        <v>1021951</v>
      </c>
      <c r="AX117" s="3"/>
      <c r="AY117" s="3">
        <v>33086</v>
      </c>
      <c r="AZ117" s="3"/>
      <c r="BA117" s="3">
        <v>25427</v>
      </c>
      <c r="BB117" s="3"/>
      <c r="BC117" s="3">
        <v>0</v>
      </c>
      <c r="BD117" s="3"/>
      <c r="BE117" s="16">
        <f t="shared" si="5"/>
        <v>5936041</v>
      </c>
      <c r="BF117" s="3"/>
      <c r="BG117" s="3">
        <v>0</v>
      </c>
      <c r="BH117" s="3"/>
      <c r="BI117" s="3">
        <v>0</v>
      </c>
      <c r="BJ117" s="3"/>
      <c r="BK117" s="3">
        <v>0</v>
      </c>
      <c r="BL117" s="3"/>
      <c r="BM117" s="3">
        <v>0</v>
      </c>
      <c r="BN117" s="3"/>
      <c r="BO117" s="16">
        <f t="shared" si="8"/>
        <v>5936041</v>
      </c>
      <c r="BP117" s="3" t="s">
        <v>325</v>
      </c>
      <c r="BR117" s="103" t="s">
        <v>188</v>
      </c>
      <c r="BT117" s="16">
        <f>GovRev!AV117-BO117</f>
        <v>-258785</v>
      </c>
      <c r="BU117" s="3"/>
      <c r="BV117" s="3">
        <v>1215649</v>
      </c>
      <c r="BW117" s="3"/>
      <c r="BX117" s="3">
        <v>0</v>
      </c>
      <c r="BY117" s="3"/>
      <c r="BZ117" s="16">
        <f t="shared" si="7"/>
        <v>956864</v>
      </c>
      <c r="CA117" s="16"/>
      <c r="CB117" s="16">
        <f>-BZ117+GovBS!AE117</f>
        <v>0</v>
      </c>
    </row>
    <row r="118" spans="1:80" s="103" customFormat="1">
      <c r="A118" s="3" t="s">
        <v>326</v>
      </c>
      <c r="C118" s="103" t="s">
        <v>190</v>
      </c>
      <c r="E118" s="103">
        <v>138222</v>
      </c>
      <c r="G118" s="3">
        <v>44747</v>
      </c>
      <c r="H118" s="3"/>
      <c r="I118" s="3">
        <v>3541359</v>
      </c>
      <c r="J118" s="3"/>
      <c r="K118" s="3">
        <v>0</v>
      </c>
      <c r="L118" s="3"/>
      <c r="M118" s="3">
        <v>0</v>
      </c>
      <c r="N118" s="3"/>
      <c r="O118" s="3">
        <v>3392</v>
      </c>
      <c r="P118" s="3"/>
      <c r="Q118" s="3">
        <v>1468026</v>
      </c>
      <c r="R118" s="3"/>
      <c r="S118" s="3">
        <v>2235604</v>
      </c>
      <c r="T118" s="3"/>
      <c r="U118" s="3">
        <v>64226</v>
      </c>
      <c r="V118" s="3"/>
      <c r="W118" s="3">
        <v>900723</v>
      </c>
      <c r="X118" s="3"/>
      <c r="Y118" s="3">
        <v>306213</v>
      </c>
      <c r="Z118" s="3"/>
      <c r="AA118" s="3">
        <v>0</v>
      </c>
      <c r="AB118" s="3"/>
      <c r="AC118" s="3">
        <v>140685</v>
      </c>
      <c r="AD118" s="3"/>
      <c r="AE118" s="3" t="s">
        <v>326</v>
      </c>
      <c r="AG118" s="103" t="s">
        <v>190</v>
      </c>
      <c r="AH118" s="3"/>
      <c r="AI118" s="3">
        <v>0</v>
      </c>
      <c r="AJ118" s="3"/>
      <c r="AK118" s="3">
        <v>75113</v>
      </c>
      <c r="AL118" s="3"/>
      <c r="AM118" s="3"/>
      <c r="AN118" s="3"/>
      <c r="AO118" s="3">
        <v>0</v>
      </c>
      <c r="AP118" s="3"/>
      <c r="AQ118" s="3">
        <v>0</v>
      </c>
      <c r="AR118" s="3"/>
      <c r="AS118" s="3">
        <v>0</v>
      </c>
      <c r="AT118" s="3"/>
      <c r="AU118" s="3">
        <v>0</v>
      </c>
      <c r="AV118" s="3"/>
      <c r="AW118" s="3">
        <v>0</v>
      </c>
      <c r="AX118" s="3"/>
      <c r="AY118" s="3">
        <v>0</v>
      </c>
      <c r="AZ118" s="3"/>
      <c r="BA118" s="3">
        <v>0</v>
      </c>
      <c r="BB118" s="3"/>
      <c r="BC118" s="3">
        <v>0</v>
      </c>
      <c r="BD118" s="3"/>
      <c r="BE118" s="16">
        <f t="shared" si="5"/>
        <v>8780088</v>
      </c>
      <c r="BF118" s="3"/>
      <c r="BG118" s="3">
        <v>0</v>
      </c>
      <c r="BH118" s="3"/>
      <c r="BI118" s="3">
        <v>0</v>
      </c>
      <c r="BJ118" s="3"/>
      <c r="BK118" s="3">
        <v>0</v>
      </c>
      <c r="BL118" s="3"/>
      <c r="BM118" s="3">
        <v>0</v>
      </c>
      <c r="BN118" s="3"/>
      <c r="BO118" s="16">
        <f t="shared" si="8"/>
        <v>8780088</v>
      </c>
      <c r="BP118" s="3" t="s">
        <v>326</v>
      </c>
      <c r="BR118" s="103" t="s">
        <v>190</v>
      </c>
      <c r="BT118" s="16">
        <f>GovRev!AV118-BO118</f>
        <v>226272</v>
      </c>
      <c r="BU118" s="3"/>
      <c r="BV118" s="3">
        <v>2785610</v>
      </c>
      <c r="BW118" s="3"/>
      <c r="BX118" s="3">
        <v>0</v>
      </c>
      <c r="BY118" s="3"/>
      <c r="BZ118" s="16">
        <f t="shared" si="7"/>
        <v>3011882</v>
      </c>
      <c r="CA118" s="16"/>
      <c r="CB118" s="16">
        <f>-BZ118+GovBS!AE118</f>
        <v>0</v>
      </c>
    </row>
    <row r="119" spans="1:80" s="89" customFormat="1" hidden="1">
      <c r="A119" s="88" t="s">
        <v>300</v>
      </c>
      <c r="C119" s="89" t="s">
        <v>191</v>
      </c>
      <c r="E119" s="89">
        <v>49551</v>
      </c>
      <c r="G119" s="88">
        <v>0</v>
      </c>
      <c r="H119" s="88"/>
      <c r="I119" s="88">
        <v>0</v>
      </c>
      <c r="J119" s="88"/>
      <c r="K119" s="88">
        <v>0</v>
      </c>
      <c r="L119" s="88"/>
      <c r="M119" s="88">
        <v>0</v>
      </c>
      <c r="N119" s="88"/>
      <c r="O119" s="88">
        <v>0</v>
      </c>
      <c r="P119" s="88"/>
      <c r="Q119" s="88">
        <v>0</v>
      </c>
      <c r="R119" s="88"/>
      <c r="S119" s="88">
        <v>0</v>
      </c>
      <c r="T119" s="88"/>
      <c r="U119" s="88">
        <v>0</v>
      </c>
      <c r="V119" s="88"/>
      <c r="W119" s="88">
        <v>0</v>
      </c>
      <c r="X119" s="88"/>
      <c r="Y119" s="88">
        <v>0</v>
      </c>
      <c r="Z119" s="88"/>
      <c r="AA119" s="88">
        <v>0</v>
      </c>
      <c r="AB119" s="88"/>
      <c r="AC119" s="88">
        <v>0</v>
      </c>
      <c r="AD119" s="88"/>
      <c r="AE119" s="88" t="s">
        <v>300</v>
      </c>
      <c r="AG119" s="89" t="s">
        <v>191</v>
      </c>
      <c r="AH119" s="88"/>
      <c r="AI119" s="88">
        <v>0</v>
      </c>
      <c r="AJ119" s="88"/>
      <c r="AK119" s="88">
        <v>0</v>
      </c>
      <c r="AL119" s="88"/>
      <c r="AM119" s="88"/>
      <c r="AN119" s="88"/>
      <c r="AO119" s="88">
        <v>0</v>
      </c>
      <c r="AP119" s="88"/>
      <c r="AQ119" s="88">
        <v>0</v>
      </c>
      <c r="AR119" s="88"/>
      <c r="AS119" s="88">
        <v>0</v>
      </c>
      <c r="AT119" s="88"/>
      <c r="AU119" s="88">
        <v>0</v>
      </c>
      <c r="AV119" s="88"/>
      <c r="AW119" s="88">
        <v>0</v>
      </c>
      <c r="AX119" s="88"/>
      <c r="AY119" s="88">
        <v>0</v>
      </c>
      <c r="AZ119" s="88"/>
      <c r="BA119" s="88">
        <v>0</v>
      </c>
      <c r="BB119" s="88"/>
      <c r="BC119" s="88"/>
      <c r="BD119" s="88"/>
      <c r="BE119" s="90">
        <f t="shared" si="5"/>
        <v>0</v>
      </c>
      <c r="BF119" s="88"/>
      <c r="BG119" s="88">
        <v>0</v>
      </c>
      <c r="BH119" s="88"/>
      <c r="BI119" s="88"/>
      <c r="BJ119" s="88"/>
      <c r="BK119" s="88"/>
      <c r="BL119" s="88"/>
      <c r="BM119" s="88">
        <v>0</v>
      </c>
      <c r="BN119" s="88"/>
      <c r="BO119" s="90">
        <f t="shared" si="8"/>
        <v>0</v>
      </c>
      <c r="BP119" s="88" t="s">
        <v>300</v>
      </c>
      <c r="BR119" s="89" t="s">
        <v>191</v>
      </c>
      <c r="BT119" s="90">
        <f>GovRev!AV119-BO119</f>
        <v>0</v>
      </c>
      <c r="BU119" s="88"/>
      <c r="BV119" s="88">
        <v>0</v>
      </c>
      <c r="BW119" s="88"/>
      <c r="BX119" s="88"/>
      <c r="BY119" s="88"/>
      <c r="BZ119" s="90">
        <f t="shared" si="7"/>
        <v>0</v>
      </c>
      <c r="CA119" s="90"/>
      <c r="CB119" s="90">
        <f>-BZ119+GovBS!AE119</f>
        <v>0</v>
      </c>
    </row>
    <row r="120" spans="1:80" s="59" customFormat="1" hidden="1">
      <c r="A120" s="58" t="s">
        <v>384</v>
      </c>
      <c r="C120" s="59" t="s">
        <v>194</v>
      </c>
      <c r="E120" s="59">
        <v>49742</v>
      </c>
      <c r="G120" s="58">
        <v>0</v>
      </c>
      <c r="H120" s="58"/>
      <c r="I120" s="58">
        <v>0</v>
      </c>
      <c r="J120" s="58"/>
      <c r="K120" s="58">
        <v>0</v>
      </c>
      <c r="L120" s="58"/>
      <c r="M120" s="58">
        <v>0</v>
      </c>
      <c r="N120" s="58"/>
      <c r="O120" s="58">
        <v>0</v>
      </c>
      <c r="P120" s="58"/>
      <c r="Q120" s="58">
        <v>0</v>
      </c>
      <c r="R120" s="58"/>
      <c r="S120" s="58">
        <v>0</v>
      </c>
      <c r="T120" s="58"/>
      <c r="U120" s="58">
        <v>0</v>
      </c>
      <c r="V120" s="58"/>
      <c r="W120" s="58">
        <v>0</v>
      </c>
      <c r="X120" s="58"/>
      <c r="Y120" s="58">
        <v>0</v>
      </c>
      <c r="Z120" s="58"/>
      <c r="AA120" s="58">
        <v>0</v>
      </c>
      <c r="AB120" s="58"/>
      <c r="AC120" s="58">
        <v>0</v>
      </c>
      <c r="AD120" s="58"/>
      <c r="AE120" s="58" t="s">
        <v>384</v>
      </c>
      <c r="AG120" s="59" t="s">
        <v>194</v>
      </c>
      <c r="AH120" s="58"/>
      <c r="AI120" s="58">
        <v>0</v>
      </c>
      <c r="AJ120" s="58"/>
      <c r="AK120" s="58">
        <v>0</v>
      </c>
      <c r="AL120" s="58"/>
      <c r="AM120" s="58"/>
      <c r="AN120" s="58"/>
      <c r="AO120" s="58">
        <v>0</v>
      </c>
      <c r="AP120" s="58"/>
      <c r="AQ120" s="58">
        <v>0</v>
      </c>
      <c r="AR120" s="58"/>
      <c r="AS120" s="58">
        <v>0</v>
      </c>
      <c r="AT120" s="58"/>
      <c r="AU120" s="58">
        <v>0</v>
      </c>
      <c r="AV120" s="58"/>
      <c r="AW120" s="58">
        <v>0</v>
      </c>
      <c r="AX120" s="58"/>
      <c r="AY120" s="58">
        <v>0</v>
      </c>
      <c r="AZ120" s="58"/>
      <c r="BA120" s="58">
        <v>0</v>
      </c>
      <c r="BB120" s="58"/>
      <c r="BC120" s="58">
        <v>0</v>
      </c>
      <c r="BD120" s="58"/>
      <c r="BE120" s="60">
        <f t="shared" si="5"/>
        <v>0</v>
      </c>
      <c r="BF120" s="58"/>
      <c r="BG120" s="58">
        <v>0</v>
      </c>
      <c r="BH120" s="58"/>
      <c r="BI120" s="58">
        <v>0</v>
      </c>
      <c r="BJ120" s="58"/>
      <c r="BK120" s="58">
        <v>0</v>
      </c>
      <c r="BL120" s="58"/>
      <c r="BM120" s="58">
        <v>0</v>
      </c>
      <c r="BN120" s="58"/>
      <c r="BO120" s="60">
        <f t="shared" si="8"/>
        <v>0</v>
      </c>
      <c r="BP120" s="58" t="s">
        <v>384</v>
      </c>
      <c r="BR120" s="59" t="s">
        <v>194</v>
      </c>
      <c r="BT120" s="60">
        <f>GovRev!AV120-BO120</f>
        <v>0</v>
      </c>
      <c r="BU120" s="58"/>
      <c r="BV120" s="58">
        <v>0</v>
      </c>
      <c r="BW120" s="58"/>
      <c r="BX120" s="58">
        <v>0</v>
      </c>
      <c r="BY120" s="58"/>
      <c r="BZ120" s="60">
        <f t="shared" si="7"/>
        <v>0</v>
      </c>
      <c r="CA120" s="60"/>
      <c r="CB120" s="60">
        <f>-BZ120+GovBS!AE120</f>
        <v>0</v>
      </c>
    </row>
    <row r="121" spans="1:80" s="103" customFormat="1">
      <c r="A121" s="3" t="s">
        <v>263</v>
      </c>
      <c r="C121" s="103" t="s">
        <v>192</v>
      </c>
      <c r="E121" s="103">
        <v>125658</v>
      </c>
      <c r="G121" s="3">
        <v>318712</v>
      </c>
      <c r="H121" s="3"/>
      <c r="I121" s="3">
        <v>4170817</v>
      </c>
      <c r="J121" s="3"/>
      <c r="K121" s="3">
        <v>0</v>
      </c>
      <c r="L121" s="3"/>
      <c r="M121" s="3">
        <v>155778</v>
      </c>
      <c r="N121" s="3"/>
      <c r="O121" s="3">
        <v>0</v>
      </c>
      <c r="P121" s="3"/>
      <c r="Q121" s="3">
        <v>2132579</v>
      </c>
      <c r="R121" s="3"/>
      <c r="S121" s="3">
        <v>1562093</v>
      </c>
      <c r="T121" s="3"/>
      <c r="U121" s="3">
        <v>32386</v>
      </c>
      <c r="V121" s="3"/>
      <c r="W121" s="3">
        <v>685204</v>
      </c>
      <c r="X121" s="3"/>
      <c r="Y121" s="3">
        <v>233242</v>
      </c>
      <c r="Z121" s="3"/>
      <c r="AA121" s="3">
        <v>0</v>
      </c>
      <c r="AB121" s="3"/>
      <c r="AC121" s="3">
        <v>239970</v>
      </c>
      <c r="AD121" s="3"/>
      <c r="AE121" s="3" t="s">
        <v>263</v>
      </c>
      <c r="AG121" s="103" t="s">
        <v>192</v>
      </c>
      <c r="AH121" s="3"/>
      <c r="AI121" s="3">
        <v>0</v>
      </c>
      <c r="AJ121" s="3"/>
      <c r="AK121" s="3">
        <v>163990</v>
      </c>
      <c r="AL121" s="3"/>
      <c r="AM121" s="3"/>
      <c r="AN121" s="3"/>
      <c r="AO121" s="3">
        <v>0</v>
      </c>
      <c r="AP121" s="3"/>
      <c r="AQ121" s="3">
        <v>0</v>
      </c>
      <c r="AR121" s="3"/>
      <c r="AS121" s="3">
        <v>0</v>
      </c>
      <c r="AT121" s="3"/>
      <c r="AU121" s="3">
        <v>0</v>
      </c>
      <c r="AV121" s="3"/>
      <c r="AW121" s="3">
        <v>0</v>
      </c>
      <c r="AX121" s="3"/>
      <c r="AY121" s="3">
        <v>0</v>
      </c>
      <c r="AZ121" s="3"/>
      <c r="BA121" s="3">
        <v>0</v>
      </c>
      <c r="BB121" s="3"/>
      <c r="BC121" s="3">
        <v>0</v>
      </c>
      <c r="BD121" s="3"/>
      <c r="BE121" s="16">
        <f t="shared" si="5"/>
        <v>9694771</v>
      </c>
      <c r="BF121" s="3"/>
      <c r="BG121" s="3">
        <v>0</v>
      </c>
      <c r="BH121" s="3"/>
      <c r="BI121" s="3">
        <v>0</v>
      </c>
      <c r="BJ121" s="3"/>
      <c r="BK121" s="3">
        <v>0</v>
      </c>
      <c r="BL121" s="3"/>
      <c r="BM121" s="3">
        <v>0</v>
      </c>
      <c r="BN121" s="3"/>
      <c r="BO121" s="16">
        <f t="shared" si="8"/>
        <v>9694771</v>
      </c>
      <c r="BP121" s="3" t="s">
        <v>263</v>
      </c>
      <c r="BR121" s="103" t="s">
        <v>192</v>
      </c>
      <c r="BT121" s="16">
        <f>GovRev!AV121-BO121</f>
        <v>171952</v>
      </c>
      <c r="BU121" s="3"/>
      <c r="BV121" s="3">
        <v>1171204</v>
      </c>
      <c r="BW121" s="3"/>
      <c r="BX121" s="3">
        <v>0</v>
      </c>
      <c r="BY121" s="3"/>
      <c r="BZ121" s="16">
        <f t="shared" si="7"/>
        <v>1343156</v>
      </c>
      <c r="CA121" s="16"/>
      <c r="CB121" s="16">
        <f>-BZ121+GovBS!AE121</f>
        <v>0</v>
      </c>
    </row>
    <row r="122" spans="1:80" s="103" customFormat="1">
      <c r="A122" s="3" t="s">
        <v>262</v>
      </c>
      <c r="B122" s="3"/>
      <c r="C122" s="3" t="s">
        <v>155</v>
      </c>
      <c r="E122" s="103">
        <v>46375</v>
      </c>
      <c r="G122" s="3">
        <v>226303</v>
      </c>
      <c r="H122" s="3"/>
      <c r="I122" s="3">
        <v>596415</v>
      </c>
      <c r="J122" s="3"/>
      <c r="K122" s="3">
        <v>0</v>
      </c>
      <c r="L122" s="3"/>
      <c r="M122" s="3">
        <v>0</v>
      </c>
      <c r="N122" s="3"/>
      <c r="O122" s="3">
        <v>0</v>
      </c>
      <c r="P122" s="3"/>
      <c r="Q122" s="3">
        <v>850717</v>
      </c>
      <c r="R122" s="3"/>
      <c r="S122" s="3">
        <v>1241803</v>
      </c>
      <c r="T122" s="3"/>
      <c r="U122" s="3">
        <v>0</v>
      </c>
      <c r="V122" s="3"/>
      <c r="W122" s="3">
        <f>45755+495516</f>
        <v>541271</v>
      </c>
      <c r="X122" s="3"/>
      <c r="Y122" s="3">
        <v>258634</v>
      </c>
      <c r="Z122" s="3"/>
      <c r="AA122" s="3">
        <v>0</v>
      </c>
      <c r="AB122" s="3"/>
      <c r="AC122" s="3">
        <v>66111</v>
      </c>
      <c r="AD122" s="3"/>
      <c r="AE122" s="3" t="s">
        <v>262</v>
      </c>
      <c r="AF122" s="3"/>
      <c r="AG122" s="3" t="s">
        <v>155</v>
      </c>
      <c r="AH122" s="3"/>
      <c r="AI122" s="3">
        <v>0</v>
      </c>
      <c r="AJ122" s="3"/>
      <c r="AK122" s="3">
        <v>320421</v>
      </c>
      <c r="AL122" s="3"/>
      <c r="AM122" s="3"/>
      <c r="AN122" s="3"/>
      <c r="AO122" s="3">
        <v>0</v>
      </c>
      <c r="AP122" s="3"/>
      <c r="AQ122" s="3">
        <v>0</v>
      </c>
      <c r="AR122" s="3"/>
      <c r="AS122" s="3">
        <v>0</v>
      </c>
      <c r="AT122" s="3"/>
      <c r="AU122" s="3">
        <v>0</v>
      </c>
      <c r="AV122" s="3"/>
      <c r="AW122" s="3">
        <v>0</v>
      </c>
      <c r="AX122" s="3"/>
      <c r="AY122" s="3">
        <v>0</v>
      </c>
      <c r="AZ122" s="3"/>
      <c r="BA122" s="3">
        <v>0</v>
      </c>
      <c r="BB122" s="3"/>
      <c r="BC122" s="3">
        <v>0</v>
      </c>
      <c r="BD122" s="3"/>
      <c r="BE122" s="16">
        <f>SUM(G122:BC122)</f>
        <v>4101675</v>
      </c>
      <c r="BF122" s="3"/>
      <c r="BG122" s="3">
        <v>0</v>
      </c>
      <c r="BH122" s="3"/>
      <c r="BI122" s="3">
        <v>0</v>
      </c>
      <c r="BJ122" s="3"/>
      <c r="BK122" s="3">
        <v>0</v>
      </c>
      <c r="BL122" s="3"/>
      <c r="BM122" s="3">
        <v>0</v>
      </c>
      <c r="BN122" s="3"/>
      <c r="BO122" s="16">
        <f t="shared" si="8"/>
        <v>4101675</v>
      </c>
      <c r="BP122" s="3" t="s">
        <v>262</v>
      </c>
      <c r="BQ122" s="3"/>
      <c r="BR122" s="3" t="s">
        <v>155</v>
      </c>
      <c r="BS122" s="3"/>
      <c r="BT122" s="16">
        <f>GovRev!AV122-BO122</f>
        <v>-288905</v>
      </c>
      <c r="BU122" s="3"/>
      <c r="BV122" s="3">
        <v>2514194</v>
      </c>
      <c r="BW122" s="3"/>
      <c r="BX122" s="3">
        <v>0</v>
      </c>
      <c r="BY122" s="3"/>
      <c r="BZ122" s="16">
        <f t="shared" si="7"/>
        <v>2225289</v>
      </c>
      <c r="CA122" s="16"/>
      <c r="CB122" s="16">
        <f>-BZ122+GovBS!AE122</f>
        <v>0</v>
      </c>
    </row>
    <row r="123" spans="1:80" s="103" customFormat="1">
      <c r="A123" s="103" t="s">
        <v>330</v>
      </c>
      <c r="C123" s="103" t="s">
        <v>195</v>
      </c>
      <c r="E123" s="103">
        <v>49825</v>
      </c>
      <c r="G123" s="3">
        <v>51823</v>
      </c>
      <c r="H123" s="3"/>
      <c r="I123" s="3">
        <v>5556499</v>
      </c>
      <c r="J123" s="3"/>
      <c r="K123" s="3">
        <v>0</v>
      </c>
      <c r="L123" s="3"/>
      <c r="M123" s="3">
        <v>0</v>
      </c>
      <c r="N123" s="3"/>
      <c r="O123" s="3">
        <v>0</v>
      </c>
      <c r="P123" s="3"/>
      <c r="Q123" s="3">
        <v>3447173</v>
      </c>
      <c r="R123" s="3"/>
      <c r="S123" s="3">
        <v>6382827</v>
      </c>
      <c r="T123" s="3"/>
      <c r="U123" s="3">
        <v>24276</v>
      </c>
      <c r="V123" s="3"/>
      <c r="W123" s="3">
        <v>3321116</v>
      </c>
      <c r="X123" s="3"/>
      <c r="Y123" s="3">
        <v>504240</v>
      </c>
      <c r="Z123" s="3"/>
      <c r="AA123" s="3">
        <v>720697</v>
      </c>
      <c r="AB123" s="3"/>
      <c r="AC123" s="3">
        <v>433466</v>
      </c>
      <c r="AD123" s="3"/>
      <c r="AE123" s="103" t="s">
        <v>330</v>
      </c>
      <c r="AG123" s="103" t="s">
        <v>195</v>
      </c>
      <c r="AH123" s="3"/>
      <c r="AI123" s="3">
        <v>0</v>
      </c>
      <c r="AJ123" s="3"/>
      <c r="AK123" s="3">
        <v>38622</v>
      </c>
      <c r="AL123" s="3"/>
      <c r="AM123" s="3"/>
      <c r="AN123" s="3"/>
      <c r="AO123" s="3">
        <v>29556</v>
      </c>
      <c r="AP123" s="3"/>
      <c r="AQ123" s="3">
        <v>0</v>
      </c>
      <c r="AR123" s="3"/>
      <c r="AS123" s="3">
        <v>0</v>
      </c>
      <c r="AT123" s="3"/>
      <c r="AU123" s="3">
        <v>0</v>
      </c>
      <c r="AV123" s="3"/>
      <c r="AW123" s="3">
        <v>0</v>
      </c>
      <c r="AX123" s="3"/>
      <c r="AY123" s="3">
        <v>0</v>
      </c>
      <c r="AZ123" s="3"/>
      <c r="BA123" s="3">
        <v>0</v>
      </c>
      <c r="BB123" s="3"/>
      <c r="BC123" s="3">
        <v>0</v>
      </c>
      <c r="BD123" s="3"/>
      <c r="BE123" s="16">
        <f t="shared" si="5"/>
        <v>20510295</v>
      </c>
      <c r="BF123" s="3"/>
      <c r="BG123" s="3">
        <v>0</v>
      </c>
      <c r="BH123" s="3"/>
      <c r="BI123" s="3">
        <v>0</v>
      </c>
      <c r="BJ123" s="3"/>
      <c r="BK123" s="3">
        <v>0</v>
      </c>
      <c r="BL123" s="3"/>
      <c r="BM123" s="3">
        <v>0</v>
      </c>
      <c r="BN123" s="3"/>
      <c r="BO123" s="16">
        <f t="shared" si="8"/>
        <v>20510295</v>
      </c>
      <c r="BP123" s="103" t="s">
        <v>330</v>
      </c>
      <c r="BR123" s="103" t="s">
        <v>195</v>
      </c>
      <c r="BT123" s="16">
        <f>GovRev!AV123-BO123</f>
        <v>670926</v>
      </c>
      <c r="BU123" s="3"/>
      <c r="BV123" s="3">
        <v>250768</v>
      </c>
      <c r="BW123" s="3"/>
      <c r="BX123" s="3">
        <v>0</v>
      </c>
      <c r="BY123" s="3"/>
      <c r="BZ123" s="16">
        <f t="shared" si="7"/>
        <v>921694</v>
      </c>
      <c r="CA123" s="16"/>
      <c r="CB123" s="16">
        <f>-BZ123+GovBS!AE123</f>
        <v>0</v>
      </c>
    </row>
    <row r="124" spans="1:80" s="103" customFormat="1">
      <c r="A124" s="3" t="s">
        <v>331</v>
      </c>
      <c r="C124" s="103" t="s">
        <v>196</v>
      </c>
      <c r="E124" s="103">
        <v>49965</v>
      </c>
      <c r="G124" s="3">
        <v>543923</v>
      </c>
      <c r="H124" s="3"/>
      <c r="I124" s="3">
        <v>6748033</v>
      </c>
      <c r="J124" s="3"/>
      <c r="K124" s="3">
        <v>69135</v>
      </c>
      <c r="L124" s="3"/>
      <c r="M124" s="3">
        <v>0</v>
      </c>
      <c r="N124" s="3"/>
      <c r="O124" s="3">
        <v>0</v>
      </c>
      <c r="P124" s="3"/>
      <c r="Q124" s="3">
        <v>3754038</v>
      </c>
      <c r="R124" s="3"/>
      <c r="S124" s="3">
        <v>4502347</v>
      </c>
      <c r="T124" s="3"/>
      <c r="U124" s="3">
        <v>56629</v>
      </c>
      <c r="V124" s="3"/>
      <c r="W124" s="3">
        <v>978948</v>
      </c>
      <c r="X124" s="3"/>
      <c r="Y124" s="3">
        <v>432623</v>
      </c>
      <c r="Z124" s="3"/>
      <c r="AA124" s="3">
        <v>32874</v>
      </c>
      <c r="AB124" s="3"/>
      <c r="AC124" s="3">
        <v>645956</v>
      </c>
      <c r="AD124" s="3"/>
      <c r="AE124" s="3" t="s">
        <v>331</v>
      </c>
      <c r="AG124" s="103" t="s">
        <v>196</v>
      </c>
      <c r="AH124" s="3"/>
      <c r="AI124" s="3">
        <v>0</v>
      </c>
      <c r="AJ124" s="3"/>
      <c r="AK124" s="3">
        <v>123943</v>
      </c>
      <c r="AL124" s="3"/>
      <c r="AM124" s="3"/>
      <c r="AN124" s="3"/>
      <c r="AO124" s="3">
        <v>0</v>
      </c>
      <c r="AP124" s="3"/>
      <c r="AQ124" s="3">
        <v>0</v>
      </c>
      <c r="AR124" s="3"/>
      <c r="AS124" s="3">
        <v>56208</v>
      </c>
      <c r="AT124" s="3"/>
      <c r="AU124" s="3">
        <v>0</v>
      </c>
      <c r="AV124" s="3"/>
      <c r="AW124" s="3">
        <v>0</v>
      </c>
      <c r="AX124" s="3"/>
      <c r="AY124" s="3">
        <v>72169</v>
      </c>
      <c r="AZ124" s="3"/>
      <c r="BA124" s="3">
        <v>37763</v>
      </c>
      <c r="BB124" s="3"/>
      <c r="BC124" s="3">
        <v>0</v>
      </c>
      <c r="BD124" s="3"/>
      <c r="BE124" s="16">
        <f t="shared" si="5"/>
        <v>18054589</v>
      </c>
      <c r="BF124" s="3"/>
      <c r="BG124" s="3">
        <v>0</v>
      </c>
      <c r="BH124" s="3"/>
      <c r="BI124" s="3">
        <v>0</v>
      </c>
      <c r="BJ124" s="3"/>
      <c r="BK124" s="3">
        <v>0</v>
      </c>
      <c r="BL124" s="3"/>
      <c r="BM124" s="3">
        <v>0</v>
      </c>
      <c r="BN124" s="3"/>
      <c r="BO124" s="16">
        <f t="shared" si="8"/>
        <v>18054589</v>
      </c>
      <c r="BP124" s="3" t="s">
        <v>331</v>
      </c>
      <c r="BR124" s="103" t="s">
        <v>196</v>
      </c>
      <c r="BT124" s="16">
        <f>GovRev!AV124-BO124</f>
        <v>-486730</v>
      </c>
      <c r="BU124" s="3"/>
      <c r="BV124" s="3">
        <v>4216939</v>
      </c>
      <c r="BW124" s="3"/>
      <c r="BX124" s="3">
        <v>0</v>
      </c>
      <c r="BY124" s="3"/>
      <c r="BZ124" s="16">
        <f t="shared" si="7"/>
        <v>3730209</v>
      </c>
      <c r="CA124" s="16"/>
      <c r="CB124" s="16">
        <f>-BZ124+GovBS!AE124</f>
        <v>0</v>
      </c>
    </row>
    <row r="125" spans="1:80" s="59" customFormat="1" hidden="1">
      <c r="A125" s="58" t="s">
        <v>353</v>
      </c>
      <c r="C125" s="59" t="s">
        <v>203</v>
      </c>
      <c r="E125" s="59">
        <v>50526</v>
      </c>
      <c r="G125" s="58">
        <v>0</v>
      </c>
      <c r="H125" s="58"/>
      <c r="I125" s="58">
        <v>0</v>
      </c>
      <c r="J125" s="58"/>
      <c r="K125" s="58">
        <v>0</v>
      </c>
      <c r="L125" s="58"/>
      <c r="M125" s="58">
        <v>0</v>
      </c>
      <c r="N125" s="58"/>
      <c r="O125" s="58">
        <v>0</v>
      </c>
      <c r="P125" s="58"/>
      <c r="Q125" s="58">
        <v>0</v>
      </c>
      <c r="R125" s="58"/>
      <c r="S125" s="58">
        <v>0</v>
      </c>
      <c r="T125" s="58"/>
      <c r="U125" s="58">
        <v>0</v>
      </c>
      <c r="V125" s="58"/>
      <c r="W125" s="58">
        <v>0</v>
      </c>
      <c r="X125" s="58"/>
      <c r="Y125" s="58">
        <v>0</v>
      </c>
      <c r="Z125" s="58"/>
      <c r="AA125" s="58">
        <v>0</v>
      </c>
      <c r="AB125" s="58"/>
      <c r="AC125" s="58">
        <v>0</v>
      </c>
      <c r="AD125" s="58"/>
      <c r="AE125" s="58" t="s">
        <v>353</v>
      </c>
      <c r="AG125" s="59" t="s">
        <v>203</v>
      </c>
      <c r="AH125" s="58"/>
      <c r="AI125" s="58">
        <v>0</v>
      </c>
      <c r="AJ125" s="58"/>
      <c r="AK125" s="58">
        <v>0</v>
      </c>
      <c r="AL125" s="58"/>
      <c r="AM125" s="58"/>
      <c r="AN125" s="58"/>
      <c r="AO125" s="58">
        <v>0</v>
      </c>
      <c r="AP125" s="58"/>
      <c r="AQ125" s="58">
        <v>0</v>
      </c>
      <c r="AR125" s="58"/>
      <c r="AS125" s="58">
        <v>0</v>
      </c>
      <c r="AT125" s="58"/>
      <c r="AU125" s="58">
        <v>0</v>
      </c>
      <c r="AV125" s="58"/>
      <c r="AW125" s="58">
        <v>0</v>
      </c>
      <c r="AX125" s="58"/>
      <c r="AY125" s="58">
        <v>0</v>
      </c>
      <c r="AZ125" s="58"/>
      <c r="BA125" s="58">
        <v>0</v>
      </c>
      <c r="BB125" s="58"/>
      <c r="BC125" s="58">
        <v>0</v>
      </c>
      <c r="BD125" s="58"/>
      <c r="BE125" s="60">
        <f t="shared" si="5"/>
        <v>0</v>
      </c>
      <c r="BF125" s="58"/>
      <c r="BG125" s="58">
        <v>0</v>
      </c>
      <c r="BH125" s="58"/>
      <c r="BI125" s="58">
        <v>0</v>
      </c>
      <c r="BJ125" s="58"/>
      <c r="BK125" s="58">
        <v>0</v>
      </c>
      <c r="BL125" s="58"/>
      <c r="BM125" s="58">
        <v>0</v>
      </c>
      <c r="BN125" s="58"/>
      <c r="BO125" s="60">
        <f t="shared" si="8"/>
        <v>0</v>
      </c>
      <c r="BP125" s="58" t="s">
        <v>353</v>
      </c>
      <c r="BR125" s="59" t="s">
        <v>203</v>
      </c>
      <c r="BT125" s="60">
        <f>GovRev!AV125-BO125</f>
        <v>0</v>
      </c>
      <c r="BU125" s="58"/>
      <c r="BV125" s="58">
        <v>0</v>
      </c>
      <c r="BW125" s="58"/>
      <c r="BX125" s="58">
        <v>0</v>
      </c>
      <c r="BY125" s="58"/>
      <c r="BZ125" s="60">
        <f t="shared" si="7"/>
        <v>0</v>
      </c>
      <c r="CA125" s="60"/>
      <c r="CB125" s="60">
        <f>-BZ125+GovBS!AE125</f>
        <v>0</v>
      </c>
    </row>
    <row r="126" spans="1:80" s="103" customFormat="1">
      <c r="A126" s="3" t="s">
        <v>333</v>
      </c>
      <c r="C126" s="103" t="s">
        <v>197</v>
      </c>
      <c r="E126" s="103">
        <v>50088</v>
      </c>
      <c r="G126" s="3">
        <v>507830</v>
      </c>
      <c r="H126" s="3"/>
      <c r="I126" s="3">
        <v>6523299</v>
      </c>
      <c r="J126" s="3"/>
      <c r="K126" s="3">
        <v>0</v>
      </c>
      <c r="L126" s="3"/>
      <c r="M126" s="3">
        <v>0</v>
      </c>
      <c r="N126" s="3"/>
      <c r="O126" s="3">
        <v>0</v>
      </c>
      <c r="P126" s="3"/>
      <c r="Q126" s="3">
        <v>3927258</v>
      </c>
      <c r="R126" s="3"/>
      <c r="S126" s="3">
        <v>2328524</v>
      </c>
      <c r="T126" s="3"/>
      <c r="U126" s="3">
        <v>69919</v>
      </c>
      <c r="V126" s="3"/>
      <c r="W126" s="3">
        <v>1954493</v>
      </c>
      <c r="X126" s="3"/>
      <c r="Y126" s="3">
        <v>320766</v>
      </c>
      <c r="Z126" s="3"/>
      <c r="AA126" s="3">
        <v>21079</v>
      </c>
      <c r="AB126" s="3"/>
      <c r="AC126" s="3">
        <v>208431</v>
      </c>
      <c r="AD126" s="3"/>
      <c r="AE126" s="3" t="s">
        <v>333</v>
      </c>
      <c r="AG126" s="103" t="s">
        <v>197</v>
      </c>
      <c r="AH126" s="3"/>
      <c r="AI126" s="3">
        <v>14574</v>
      </c>
      <c r="AJ126" s="3"/>
      <c r="AK126" s="3">
        <v>0</v>
      </c>
      <c r="AL126" s="3"/>
      <c r="AM126" s="3"/>
      <c r="AN126" s="3"/>
      <c r="AO126" s="3">
        <v>0</v>
      </c>
      <c r="AP126" s="3"/>
      <c r="AQ126" s="3">
        <v>75125</v>
      </c>
      <c r="AR126" s="3"/>
      <c r="AS126" s="3">
        <v>0</v>
      </c>
      <c r="AT126" s="3"/>
      <c r="AU126" s="3">
        <v>0</v>
      </c>
      <c r="AV126" s="3"/>
      <c r="AW126" s="3">
        <v>0</v>
      </c>
      <c r="AX126" s="3"/>
      <c r="AY126" s="3">
        <v>8182</v>
      </c>
      <c r="AZ126" s="3"/>
      <c r="BA126" s="3">
        <v>1298</v>
      </c>
      <c r="BB126" s="3"/>
      <c r="BC126" s="3">
        <v>0</v>
      </c>
      <c r="BD126" s="3"/>
      <c r="BE126" s="16">
        <f t="shared" si="5"/>
        <v>15960778</v>
      </c>
      <c r="BF126" s="3"/>
      <c r="BG126" s="3">
        <v>0</v>
      </c>
      <c r="BH126" s="3"/>
      <c r="BI126" s="3">
        <v>0</v>
      </c>
      <c r="BJ126" s="3"/>
      <c r="BK126" s="3">
        <v>0</v>
      </c>
      <c r="BL126" s="3"/>
      <c r="BM126" s="3">
        <v>0</v>
      </c>
      <c r="BN126" s="3"/>
      <c r="BO126" s="16">
        <f t="shared" si="8"/>
        <v>15960778</v>
      </c>
      <c r="BP126" s="3" t="s">
        <v>333</v>
      </c>
      <c r="BR126" s="103" t="s">
        <v>197</v>
      </c>
      <c r="BT126" s="16">
        <f>GovRev!AV126-BO126</f>
        <v>-467211</v>
      </c>
      <c r="BU126" s="3"/>
      <c r="BV126" s="3">
        <v>4600887</v>
      </c>
      <c r="BW126" s="3"/>
      <c r="BX126" s="3">
        <v>0</v>
      </c>
      <c r="BY126" s="3"/>
      <c r="BZ126" s="16">
        <f t="shared" si="7"/>
        <v>4133676</v>
      </c>
      <c r="CA126" s="16"/>
      <c r="CB126" s="16">
        <f>-BZ126+GovBS!AE126</f>
        <v>0</v>
      </c>
    </row>
    <row r="127" spans="1:80" s="89" customFormat="1" hidden="1">
      <c r="A127" s="88" t="s">
        <v>301</v>
      </c>
      <c r="C127" s="89" t="s">
        <v>198</v>
      </c>
      <c r="E127" s="89">
        <v>50260</v>
      </c>
      <c r="G127" s="88">
        <v>0</v>
      </c>
      <c r="H127" s="88"/>
      <c r="I127" s="88">
        <v>0</v>
      </c>
      <c r="J127" s="88"/>
      <c r="K127" s="88">
        <v>0</v>
      </c>
      <c r="L127" s="88"/>
      <c r="M127" s="88">
        <v>0</v>
      </c>
      <c r="N127" s="88"/>
      <c r="O127" s="88">
        <v>0</v>
      </c>
      <c r="P127" s="88"/>
      <c r="Q127" s="88">
        <v>0</v>
      </c>
      <c r="R127" s="88"/>
      <c r="S127" s="88">
        <v>0</v>
      </c>
      <c r="T127" s="88"/>
      <c r="U127" s="88">
        <v>0</v>
      </c>
      <c r="V127" s="88"/>
      <c r="W127" s="88">
        <v>0</v>
      </c>
      <c r="X127" s="88"/>
      <c r="Y127" s="88">
        <v>0</v>
      </c>
      <c r="Z127" s="88"/>
      <c r="AA127" s="88">
        <v>0</v>
      </c>
      <c r="AB127" s="88"/>
      <c r="AC127" s="88">
        <v>0</v>
      </c>
      <c r="AD127" s="88"/>
      <c r="AE127" s="88" t="s">
        <v>301</v>
      </c>
      <c r="AG127" s="89" t="s">
        <v>198</v>
      </c>
      <c r="AH127" s="88"/>
      <c r="AI127" s="88">
        <v>0</v>
      </c>
      <c r="AJ127" s="88"/>
      <c r="AK127" s="88">
        <v>0</v>
      </c>
      <c r="AL127" s="88"/>
      <c r="AM127" s="88"/>
      <c r="AN127" s="88"/>
      <c r="AO127" s="88">
        <v>0</v>
      </c>
      <c r="AP127" s="88"/>
      <c r="AQ127" s="88">
        <v>0</v>
      </c>
      <c r="AR127" s="88"/>
      <c r="AS127" s="88">
        <v>0</v>
      </c>
      <c r="AT127" s="88"/>
      <c r="AU127" s="88">
        <v>0</v>
      </c>
      <c r="AV127" s="88"/>
      <c r="AW127" s="88">
        <v>0</v>
      </c>
      <c r="AX127" s="88"/>
      <c r="AY127" s="88">
        <v>0</v>
      </c>
      <c r="AZ127" s="88"/>
      <c r="BA127" s="88">
        <v>0</v>
      </c>
      <c r="BB127" s="88"/>
      <c r="BC127" s="88"/>
      <c r="BD127" s="88"/>
      <c r="BE127" s="90">
        <f t="shared" si="5"/>
        <v>0</v>
      </c>
      <c r="BF127" s="88"/>
      <c r="BG127" s="88">
        <v>0</v>
      </c>
      <c r="BH127" s="88"/>
      <c r="BI127" s="88"/>
      <c r="BJ127" s="88"/>
      <c r="BK127" s="88"/>
      <c r="BL127" s="88"/>
      <c r="BM127" s="88">
        <v>0</v>
      </c>
      <c r="BN127" s="88"/>
      <c r="BO127" s="90">
        <f t="shared" si="8"/>
        <v>0</v>
      </c>
      <c r="BP127" s="88" t="s">
        <v>301</v>
      </c>
      <c r="BR127" s="89" t="s">
        <v>198</v>
      </c>
      <c r="BT127" s="90">
        <f>GovRev!AV127-BO127</f>
        <v>0</v>
      </c>
      <c r="BU127" s="88"/>
      <c r="BV127" s="88">
        <v>0</v>
      </c>
      <c r="BW127" s="88"/>
      <c r="BX127" s="88"/>
      <c r="BY127" s="88"/>
      <c r="BZ127" s="90">
        <f t="shared" si="7"/>
        <v>0</v>
      </c>
      <c r="CA127" s="90"/>
      <c r="CB127" s="90">
        <f>-BZ127+GovBS!AE127</f>
        <v>0</v>
      </c>
    </row>
    <row r="128" spans="1:80" s="59" customFormat="1" hidden="1">
      <c r="A128" s="58" t="s">
        <v>335</v>
      </c>
      <c r="C128" s="59" t="s">
        <v>201</v>
      </c>
      <c r="E128" s="59">
        <v>50401</v>
      </c>
      <c r="G128" s="58">
        <v>0</v>
      </c>
      <c r="H128" s="58"/>
      <c r="I128" s="58">
        <v>0</v>
      </c>
      <c r="J128" s="58"/>
      <c r="K128" s="58">
        <v>0</v>
      </c>
      <c r="L128" s="58"/>
      <c r="M128" s="58">
        <v>0</v>
      </c>
      <c r="N128" s="58"/>
      <c r="O128" s="58">
        <v>0</v>
      </c>
      <c r="P128" s="58"/>
      <c r="Q128" s="58">
        <v>0</v>
      </c>
      <c r="R128" s="58"/>
      <c r="S128" s="58">
        <v>0</v>
      </c>
      <c r="T128" s="58"/>
      <c r="U128" s="58">
        <v>0</v>
      </c>
      <c r="V128" s="58"/>
      <c r="W128" s="58">
        <v>0</v>
      </c>
      <c r="X128" s="58"/>
      <c r="Y128" s="58">
        <v>0</v>
      </c>
      <c r="Z128" s="58"/>
      <c r="AA128" s="58">
        <v>0</v>
      </c>
      <c r="AB128" s="58"/>
      <c r="AC128" s="58">
        <v>0</v>
      </c>
      <c r="AD128" s="58"/>
      <c r="AE128" s="58" t="s">
        <v>335</v>
      </c>
      <c r="AG128" s="59" t="s">
        <v>201</v>
      </c>
      <c r="AH128" s="58"/>
      <c r="AI128" s="58">
        <v>0</v>
      </c>
      <c r="AJ128" s="58"/>
      <c r="AK128" s="58">
        <v>0</v>
      </c>
      <c r="AL128" s="58"/>
      <c r="AM128" s="58"/>
      <c r="AN128" s="58"/>
      <c r="AO128" s="58">
        <v>0</v>
      </c>
      <c r="AP128" s="58"/>
      <c r="AQ128" s="58">
        <v>0</v>
      </c>
      <c r="AR128" s="58"/>
      <c r="AS128" s="58">
        <v>0</v>
      </c>
      <c r="AT128" s="58"/>
      <c r="AU128" s="58">
        <v>0</v>
      </c>
      <c r="AV128" s="58"/>
      <c r="AW128" s="58">
        <v>0</v>
      </c>
      <c r="AX128" s="58"/>
      <c r="AY128" s="58">
        <v>0</v>
      </c>
      <c r="AZ128" s="58"/>
      <c r="BA128" s="58">
        <v>0</v>
      </c>
      <c r="BB128" s="58"/>
      <c r="BC128" s="58"/>
      <c r="BD128" s="58"/>
      <c r="BE128" s="60">
        <f t="shared" si="5"/>
        <v>0</v>
      </c>
      <c r="BF128" s="58"/>
      <c r="BG128" s="58">
        <v>0</v>
      </c>
      <c r="BH128" s="58"/>
      <c r="BI128" s="58"/>
      <c r="BJ128" s="58"/>
      <c r="BK128" s="58"/>
      <c r="BL128" s="58"/>
      <c r="BM128" s="58">
        <v>0</v>
      </c>
      <c r="BN128" s="58"/>
      <c r="BO128" s="60">
        <f t="shared" si="8"/>
        <v>0</v>
      </c>
      <c r="BP128" s="58" t="s">
        <v>335</v>
      </c>
      <c r="BR128" s="59" t="s">
        <v>201</v>
      </c>
      <c r="BT128" s="60">
        <f>GovRev!AV128-BO128</f>
        <v>0</v>
      </c>
      <c r="BU128" s="58"/>
      <c r="BV128" s="58">
        <v>0</v>
      </c>
      <c r="BW128" s="58"/>
      <c r="BX128" s="58"/>
      <c r="BY128" s="58"/>
      <c r="BZ128" s="60">
        <f t="shared" si="7"/>
        <v>0</v>
      </c>
      <c r="CA128" s="58"/>
      <c r="CB128" s="60">
        <f>-BZ128+GovBS!AE128</f>
        <v>0</v>
      </c>
    </row>
    <row r="129" spans="1:80" s="89" customFormat="1" hidden="1">
      <c r="A129" s="88" t="s">
        <v>302</v>
      </c>
      <c r="C129" s="89" t="s">
        <v>202</v>
      </c>
      <c r="E129" s="89">
        <v>50476</v>
      </c>
      <c r="G129" s="88">
        <v>0</v>
      </c>
      <c r="H129" s="88"/>
      <c r="I129" s="88">
        <v>0</v>
      </c>
      <c r="J129" s="88"/>
      <c r="K129" s="88">
        <v>0</v>
      </c>
      <c r="L129" s="88"/>
      <c r="M129" s="88">
        <v>0</v>
      </c>
      <c r="N129" s="88"/>
      <c r="O129" s="88">
        <v>0</v>
      </c>
      <c r="P129" s="88"/>
      <c r="Q129" s="88">
        <v>0</v>
      </c>
      <c r="R129" s="88"/>
      <c r="S129" s="88">
        <v>0</v>
      </c>
      <c r="T129" s="88"/>
      <c r="U129" s="88">
        <v>0</v>
      </c>
      <c r="V129" s="88"/>
      <c r="W129" s="88">
        <v>0</v>
      </c>
      <c r="X129" s="88"/>
      <c r="Y129" s="88">
        <v>0</v>
      </c>
      <c r="Z129" s="88"/>
      <c r="AA129" s="88">
        <v>0</v>
      </c>
      <c r="AB129" s="88"/>
      <c r="AC129" s="88">
        <v>0</v>
      </c>
      <c r="AE129" s="88" t="s">
        <v>302</v>
      </c>
      <c r="AG129" s="89" t="s">
        <v>202</v>
      </c>
      <c r="AI129" s="88">
        <v>0</v>
      </c>
      <c r="AJ129" s="88"/>
      <c r="AK129" s="88">
        <v>0</v>
      </c>
      <c r="AL129" s="88"/>
      <c r="AM129" s="88"/>
      <c r="AN129" s="88"/>
      <c r="AO129" s="88">
        <v>0</v>
      </c>
      <c r="AP129" s="88"/>
      <c r="AQ129" s="88">
        <v>0</v>
      </c>
      <c r="AR129" s="88"/>
      <c r="AS129" s="88">
        <v>0</v>
      </c>
      <c r="AT129" s="88"/>
      <c r="AU129" s="88">
        <v>0</v>
      </c>
      <c r="AV129" s="88"/>
      <c r="AW129" s="88">
        <v>0</v>
      </c>
      <c r="AX129" s="88"/>
      <c r="AY129" s="88">
        <v>0</v>
      </c>
      <c r="AZ129" s="88"/>
      <c r="BA129" s="88">
        <v>0</v>
      </c>
      <c r="BB129" s="88"/>
      <c r="BC129" s="88"/>
      <c r="BD129" s="88"/>
      <c r="BE129" s="90">
        <f t="shared" si="5"/>
        <v>0</v>
      </c>
      <c r="BG129" s="88">
        <v>0</v>
      </c>
      <c r="BH129" s="88"/>
      <c r="BI129" s="88"/>
      <c r="BJ129" s="88"/>
      <c r="BK129" s="88"/>
      <c r="BL129" s="88"/>
      <c r="BM129" s="88">
        <v>0</v>
      </c>
      <c r="BN129" s="88"/>
      <c r="BO129" s="90">
        <f t="shared" si="8"/>
        <v>0</v>
      </c>
      <c r="BP129" s="88" t="s">
        <v>302</v>
      </c>
      <c r="BR129" s="89" t="s">
        <v>202</v>
      </c>
      <c r="BT129" s="90">
        <f>GovRev!AV129-BO129</f>
        <v>0</v>
      </c>
      <c r="BU129" s="88"/>
      <c r="BV129" s="88">
        <v>0</v>
      </c>
      <c r="BW129" s="88"/>
      <c r="BX129" s="88"/>
      <c r="BY129" s="88"/>
      <c r="BZ129" s="90">
        <f t="shared" si="7"/>
        <v>0</v>
      </c>
      <c r="CA129" s="90"/>
      <c r="CB129" s="90">
        <f>-BZ129+GovBS!AE129</f>
        <v>0</v>
      </c>
    </row>
    <row r="130" spans="1:80" s="103" customFormat="1">
      <c r="A130" s="3" t="s">
        <v>199</v>
      </c>
      <c r="C130" s="103" t="s">
        <v>258</v>
      </c>
      <c r="E130" s="103">
        <v>134999</v>
      </c>
      <c r="G130" s="3">
        <v>157139</v>
      </c>
      <c r="H130" s="3"/>
      <c r="I130" s="3">
        <v>1270973</v>
      </c>
      <c r="J130" s="3"/>
      <c r="K130" s="3">
        <v>0</v>
      </c>
      <c r="L130" s="3"/>
      <c r="M130" s="3">
        <v>0</v>
      </c>
      <c r="N130" s="3"/>
      <c r="O130" s="3">
        <v>0</v>
      </c>
      <c r="P130" s="3"/>
      <c r="Q130" s="3">
        <v>975492</v>
      </c>
      <c r="R130" s="3"/>
      <c r="S130" s="3">
        <v>1047779</v>
      </c>
      <c r="T130" s="3"/>
      <c r="U130" s="3">
        <v>51169</v>
      </c>
      <c r="V130" s="3"/>
      <c r="W130" s="3">
        <v>365058</v>
      </c>
      <c r="X130" s="3"/>
      <c r="Y130" s="3">
        <v>223483</v>
      </c>
      <c r="Z130" s="3"/>
      <c r="AA130" s="3">
        <v>0</v>
      </c>
      <c r="AB130" s="3"/>
      <c r="AC130" s="3">
        <v>12278</v>
      </c>
      <c r="AD130" s="3"/>
      <c r="AE130" s="3" t="s">
        <v>199</v>
      </c>
      <c r="AG130" s="103" t="s">
        <v>258</v>
      </c>
      <c r="AH130" s="3"/>
      <c r="AI130" s="3">
        <v>0</v>
      </c>
      <c r="AJ130" s="3"/>
      <c r="AK130" s="3">
        <v>18913</v>
      </c>
      <c r="AL130" s="3"/>
      <c r="AM130" s="3"/>
      <c r="AN130" s="3"/>
      <c r="AO130" s="3">
        <v>0</v>
      </c>
      <c r="AP130" s="3"/>
      <c r="AQ130" s="3">
        <v>375</v>
      </c>
      <c r="AR130" s="3"/>
      <c r="AS130" s="3">
        <v>0</v>
      </c>
      <c r="AT130" s="3"/>
      <c r="AU130" s="3">
        <v>0</v>
      </c>
      <c r="AV130" s="3"/>
      <c r="AW130" s="3">
        <v>407942</v>
      </c>
      <c r="AX130" s="3"/>
      <c r="AY130" s="3">
        <v>0</v>
      </c>
      <c r="AZ130" s="3"/>
      <c r="BA130" s="3">
        <v>0</v>
      </c>
      <c r="BB130" s="3"/>
      <c r="BC130" s="3">
        <v>0</v>
      </c>
      <c r="BD130" s="3"/>
      <c r="BE130" s="16">
        <f>SUM(G130:BC130)</f>
        <v>4530601</v>
      </c>
      <c r="BF130" s="3"/>
      <c r="BG130" s="3">
        <v>0</v>
      </c>
      <c r="BH130" s="3"/>
      <c r="BI130" s="3">
        <v>0</v>
      </c>
      <c r="BJ130" s="3"/>
      <c r="BK130" s="3">
        <v>0</v>
      </c>
      <c r="BL130" s="3"/>
      <c r="BM130" s="3">
        <v>0</v>
      </c>
      <c r="BN130" s="3"/>
      <c r="BO130" s="16">
        <f t="shared" si="8"/>
        <v>4530601</v>
      </c>
      <c r="BP130" s="3" t="s">
        <v>199</v>
      </c>
      <c r="BR130" s="103" t="s">
        <v>258</v>
      </c>
      <c r="BT130" s="16">
        <f>GovRev!AV130-BO130</f>
        <v>-194431</v>
      </c>
      <c r="BU130" s="3"/>
      <c r="BV130" s="3">
        <v>390341</v>
      </c>
      <c r="BW130" s="3"/>
      <c r="BX130" s="3">
        <v>0</v>
      </c>
      <c r="BY130" s="3"/>
      <c r="BZ130" s="16">
        <f t="shared" si="7"/>
        <v>195910</v>
      </c>
      <c r="CA130" s="16"/>
      <c r="CB130" s="16">
        <f>-BZ130+GovBS!AE130</f>
        <v>0</v>
      </c>
    </row>
    <row r="131" spans="1:80" s="103" customFormat="1">
      <c r="A131" s="3" t="s">
        <v>334</v>
      </c>
      <c r="C131" s="103" t="s">
        <v>204</v>
      </c>
      <c r="E131" s="103">
        <v>50666</v>
      </c>
      <c r="G131" s="3">
        <v>1800708</v>
      </c>
      <c r="H131" s="3"/>
      <c r="I131" s="3">
        <v>4262824</v>
      </c>
      <c r="J131" s="3"/>
      <c r="K131" s="3">
        <v>0</v>
      </c>
      <c r="L131" s="3"/>
      <c r="M131" s="3">
        <v>14107</v>
      </c>
      <c r="N131" s="3"/>
      <c r="O131" s="3">
        <v>0</v>
      </c>
      <c r="P131" s="3"/>
      <c r="Q131" s="3">
        <v>3183901</v>
      </c>
      <c r="R131" s="3"/>
      <c r="S131" s="3">
        <v>2864620</v>
      </c>
      <c r="T131" s="3"/>
      <c r="U131" s="3">
        <v>23596</v>
      </c>
      <c r="V131" s="3"/>
      <c r="W131" s="3">
        <v>1192165</v>
      </c>
      <c r="X131" s="3"/>
      <c r="Y131" s="3">
        <v>763439</v>
      </c>
      <c r="Z131" s="3"/>
      <c r="AA131" s="3">
        <v>0</v>
      </c>
      <c r="AB131" s="3"/>
      <c r="AC131" s="3">
        <v>331853</v>
      </c>
      <c r="AD131" s="3"/>
      <c r="AE131" s="3" t="s">
        <v>334</v>
      </c>
      <c r="AG131" s="103" t="s">
        <v>204</v>
      </c>
      <c r="AH131" s="3"/>
      <c r="AI131" s="3">
        <v>72338</v>
      </c>
      <c r="AJ131" s="3"/>
      <c r="AK131" s="3">
        <v>269129</v>
      </c>
      <c r="AL131" s="3"/>
      <c r="AM131" s="3"/>
      <c r="AN131" s="3"/>
      <c r="AO131" s="3">
        <v>0</v>
      </c>
      <c r="AP131" s="3"/>
      <c r="AQ131" s="3">
        <v>22365</v>
      </c>
      <c r="AR131" s="3"/>
      <c r="AS131" s="3">
        <v>0</v>
      </c>
      <c r="AT131" s="3"/>
      <c r="AU131" s="3">
        <v>0</v>
      </c>
      <c r="AV131" s="3"/>
      <c r="AW131" s="3">
        <v>71833</v>
      </c>
      <c r="AX131" s="3"/>
      <c r="AY131" s="3">
        <v>0</v>
      </c>
      <c r="AZ131" s="3"/>
      <c r="BA131" s="3">
        <v>0</v>
      </c>
      <c r="BB131" s="3"/>
      <c r="BC131" s="3">
        <v>0</v>
      </c>
      <c r="BD131" s="3"/>
      <c r="BE131" s="16">
        <f t="shared" si="5"/>
        <v>14872878</v>
      </c>
      <c r="BF131" s="3"/>
      <c r="BG131" s="3">
        <v>0</v>
      </c>
      <c r="BH131" s="3"/>
      <c r="BI131" s="3">
        <v>0</v>
      </c>
      <c r="BJ131" s="3"/>
      <c r="BK131" s="3">
        <v>0</v>
      </c>
      <c r="BL131" s="3"/>
      <c r="BM131" s="3">
        <v>0</v>
      </c>
      <c r="BN131" s="3"/>
      <c r="BO131" s="16">
        <f t="shared" si="8"/>
        <v>14872878</v>
      </c>
      <c r="BP131" s="3" t="s">
        <v>334</v>
      </c>
      <c r="BR131" s="103" t="s">
        <v>204</v>
      </c>
      <c r="BT131" s="16">
        <f>GovRev!AV131-BO131</f>
        <v>300605</v>
      </c>
      <c r="BU131" s="3"/>
      <c r="BV131" s="3">
        <v>4092188</v>
      </c>
      <c r="BW131" s="3"/>
      <c r="BX131" s="3">
        <v>0</v>
      </c>
      <c r="BY131" s="3"/>
      <c r="BZ131" s="16">
        <f t="shared" si="7"/>
        <v>4392793</v>
      </c>
      <c r="CA131" s="16"/>
      <c r="CB131" s="16">
        <f>-BZ131+GovBS!AE131</f>
        <v>0</v>
      </c>
    </row>
    <row r="132" spans="1:80" s="15" customFormat="1">
      <c r="M132" s="26"/>
      <c r="BP132" s="103"/>
      <c r="BQ132" s="103"/>
      <c r="BS132" s="103"/>
    </row>
    <row r="133" spans="1:80" s="15" customFormat="1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57"/>
      <c r="M133" s="26"/>
      <c r="AC133" s="33"/>
      <c r="AK133" s="33"/>
      <c r="AQ133" s="33"/>
      <c r="BE133" s="33"/>
      <c r="BP133" s="103"/>
      <c r="BQ133" s="103"/>
      <c r="BS133" s="103"/>
    </row>
    <row r="134" spans="1:80" s="15" customFormat="1">
      <c r="M134" s="26"/>
      <c r="BP134" s="103"/>
      <c r="BQ134" s="103"/>
      <c r="BS134" s="103"/>
    </row>
    <row r="140" spans="1:80">
      <c r="G140" s="3"/>
      <c r="H140" s="3"/>
      <c r="I140" s="3"/>
      <c r="J140" s="3"/>
      <c r="K140" s="3"/>
      <c r="L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15"/>
      <c r="AF140" s="15"/>
      <c r="AG140" s="15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16"/>
      <c r="BF140" s="3"/>
      <c r="BG140" s="3"/>
      <c r="BH140" s="3"/>
      <c r="BI140" s="3">
        <v>0</v>
      </c>
      <c r="BJ140" s="3"/>
      <c r="BK140" s="3">
        <v>0</v>
      </c>
      <c r="BL140" s="3"/>
      <c r="BM140" s="3"/>
      <c r="BN140" s="3"/>
      <c r="BO140" s="16"/>
      <c r="BP140" s="16"/>
      <c r="BQ140" s="16"/>
      <c r="BR140" s="3"/>
      <c r="BS140" s="3"/>
      <c r="BT140" s="16"/>
      <c r="BU140" s="3"/>
      <c r="BV140" s="3"/>
      <c r="BW140" s="3"/>
      <c r="BX140" s="3"/>
      <c r="BY140" s="3"/>
      <c r="BZ140" s="16"/>
    </row>
    <row r="143" spans="1:80">
      <c r="M143" s="72"/>
    </row>
    <row r="144" spans="1:80">
      <c r="M144" s="73"/>
    </row>
    <row r="145" spans="13:13">
      <c r="M145" s="73"/>
    </row>
    <row r="146" spans="13:13">
      <c r="M146" s="72"/>
    </row>
    <row r="147" spans="13:13">
      <c r="M147" s="72"/>
    </row>
    <row r="148" spans="13:13">
      <c r="M148" s="72"/>
    </row>
    <row r="149" spans="13:13">
      <c r="M149" s="73"/>
    </row>
    <row r="179" spans="13:13">
      <c r="M179" s="71"/>
    </row>
    <row r="262" spans="13:13">
      <c r="M262" s="71"/>
    </row>
    <row r="344" spans="13:13">
      <c r="M344" s="71"/>
    </row>
    <row r="434" spans="13:13">
      <c r="M434" s="71"/>
    </row>
    <row r="515" spans="13:13">
      <c r="M515" s="71"/>
    </row>
    <row r="596" spans="13:13">
      <c r="M596" s="71"/>
    </row>
  </sheetData>
  <mergeCells count="7">
    <mergeCell ref="BG8:BM8"/>
    <mergeCell ref="AO8:AQ8"/>
    <mergeCell ref="A133:K133"/>
    <mergeCell ref="A67:K67"/>
    <mergeCell ref="G8:M8"/>
    <mergeCell ref="AI8:AK8"/>
    <mergeCell ref="Q8:AC8"/>
  </mergeCells>
  <phoneticPr fontId="3" type="noConversion"/>
  <pageMargins left="0.75" right="0.5" top="0.5" bottom="0.5" header="0.25" footer="0.25"/>
  <pageSetup scale="76" firstPageNumber="62" pageOrder="overThenDown" orientation="portrait" useFirstPageNumber="1" r:id="rId1"/>
  <headerFooter scaleWithDoc="0" alignWithMargins="0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St of Net Position</vt:lpstr>
      <vt:lpstr>St of Act-Rev</vt:lpstr>
      <vt:lpstr>St of Act-Exp</vt:lpstr>
      <vt:lpstr>GenBS</vt:lpstr>
      <vt:lpstr>GenRev</vt:lpstr>
      <vt:lpstr>GenExp</vt:lpstr>
      <vt:lpstr>GovBS</vt:lpstr>
      <vt:lpstr>GovRev</vt:lpstr>
      <vt:lpstr>GovExp</vt:lpstr>
      <vt:lpstr>LT_Ob</vt:lpstr>
      <vt:lpstr>GenBS!Print_Titles</vt:lpstr>
      <vt:lpstr>GenExp!Print_Titles</vt:lpstr>
      <vt:lpstr>GenRev!Print_Titles</vt:lpstr>
      <vt:lpstr>GovBS!Print_Titles</vt:lpstr>
      <vt:lpstr>GovExp!Print_Titles</vt:lpstr>
      <vt:lpstr>GovRev!Print_Titles</vt:lpstr>
      <vt:lpstr>LT_Ob!Print_Titles</vt:lpstr>
      <vt:lpstr>'St of Act-Exp'!Print_Titles</vt:lpstr>
      <vt:lpstr>'St of Act-Rev'!Print_Titles</vt:lpstr>
      <vt:lpstr>'St of Net Position'!Print_Titles</vt:lpstr>
    </vt:vector>
  </TitlesOfParts>
  <Company>Auditor of State of Ohio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A. Bizic</dc:creator>
  <cp:lastModifiedBy>Sarah E. Ramsey McKee</cp:lastModifiedBy>
  <cp:lastPrinted>2015-01-14T19:40:32Z</cp:lastPrinted>
  <dcterms:created xsi:type="dcterms:W3CDTF">2004-12-29T15:55:54Z</dcterms:created>
  <dcterms:modified xsi:type="dcterms:W3CDTF">2015-01-15T16:37:59Z</dcterms:modified>
</cp:coreProperties>
</file>