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80" yWindow="45" windowWidth="11340" windowHeight="8235" tabRatio="695" firstSheet="1" activeTab="11"/>
  </bookViews>
  <sheets>
    <sheet name="Stmt net assets" sheetId="10" r:id="rId1"/>
    <sheet name="Stmt of activities-GA rev" sheetId="9" r:id="rId2"/>
    <sheet name="Stmt of activities-GAexp" sheetId="8" r:id="rId3"/>
    <sheet name="Gen Bal" sheetId="7" r:id="rId4"/>
    <sheet name="GV Fund BS" sheetId="3" r:id="rId5"/>
    <sheet name="Gen rev" sheetId="1" r:id="rId6"/>
    <sheet name="Gen exp" sheetId="2" r:id="rId7"/>
    <sheet name="GVFund Rev" sheetId="4" r:id="rId8"/>
    <sheet name="GVFund Exp" sheetId="5" r:id="rId9"/>
    <sheet name="Water" sheetId="6" r:id="rId10"/>
    <sheet name="Sewer" sheetId="14" r:id="rId11"/>
    <sheet name="Electric" sheetId="13" r:id="rId12"/>
    <sheet name="LT Lia GA" sheetId="12" r:id="rId13"/>
  </sheets>
  <definedNames>
    <definedName name="_xlnm.Print_Area" localSheetId="11">Electric!$A$13:$W$233,Electric!$Y$12:$AY$233,Electric!$BA$13:$BM$233</definedName>
    <definedName name="_xlnm.Print_Area" localSheetId="3">'Gen Bal'!$A$9:$S$256</definedName>
    <definedName name="_xlnm.Print_Area" localSheetId="6">'Gen exp'!$A$9:$AG$255</definedName>
    <definedName name="_xlnm.Print_Area" localSheetId="5">'Gen rev'!$A$9:$W$256</definedName>
    <definedName name="_xlnm.Print_Area" localSheetId="4">'GV Fund BS'!$A$9:$S$255</definedName>
    <definedName name="_xlnm.Print_Area" localSheetId="8">'GVFund Exp'!$A$9:$AL$255</definedName>
    <definedName name="_xlnm.Print_Area" localSheetId="7">'GVFund Rev'!$A$9:$W$256</definedName>
    <definedName name="_xlnm.Print_Area" localSheetId="12">'LT Lia GA'!$A$9:$U$256</definedName>
    <definedName name="_xlnm.Print_Area" localSheetId="10">Sewer!$A$10:$W$251,Sewer!$Y$11:$AY$251,Sewer!$BA$11:$BM$251</definedName>
    <definedName name="_xlnm.Print_Area" localSheetId="0">'Stmt net assets'!$A$9:$Y$256</definedName>
    <definedName name="_xlnm.Print_Area" localSheetId="1">'Stmt of activities-GA rev'!$A$11:$AC$259</definedName>
    <definedName name="_xlnm.Print_Area" localSheetId="2">'Stmt of activities-GAexp'!$A$10:$AA$257</definedName>
    <definedName name="_xlnm.Print_Area" localSheetId="9">Water!$A$12:$W$255,Water!$Z$12:$AZ$255,Water!$BB$12:$BN$255</definedName>
    <definedName name="_xlnm.Print_Titles" localSheetId="11">Electric!$1:$10</definedName>
    <definedName name="_xlnm.Print_Titles" localSheetId="3">'Gen Bal'!$1:$8</definedName>
    <definedName name="_xlnm.Print_Titles" localSheetId="6">'Gen exp'!$1:$8</definedName>
    <definedName name="_xlnm.Print_Titles" localSheetId="5">'Gen rev'!$1:$8</definedName>
    <definedName name="_xlnm.Print_Titles" localSheetId="4">'GV Fund BS'!$1:$8</definedName>
    <definedName name="_xlnm.Print_Titles" localSheetId="8">'GVFund Exp'!$1:$8</definedName>
    <definedName name="_xlnm.Print_Titles" localSheetId="7">'GVFund Rev'!$1:$8</definedName>
    <definedName name="_xlnm.Print_Titles" localSheetId="12">'LT Lia GA'!$1:$8</definedName>
    <definedName name="_xlnm.Print_Titles" localSheetId="10">Sewer!$1:$9</definedName>
    <definedName name="_xlnm.Print_Titles" localSheetId="0">'Stmt net assets'!$1:$8</definedName>
    <definedName name="_xlnm.Print_Titles" localSheetId="1">'Stmt of activities-GA rev'!$1:$10</definedName>
    <definedName name="_xlnm.Print_Titles" localSheetId="2">'Stmt of activities-GAexp'!$1:$9</definedName>
    <definedName name="_xlnm.Print_Titles" localSheetId="9">Water!$1:$11</definedName>
  </definedNames>
  <calcPr calcId="125725"/>
</workbook>
</file>

<file path=xl/calcChain.xml><?xml version="1.0" encoding="utf-8"?>
<calcChain xmlns="http://schemas.openxmlformats.org/spreadsheetml/2006/main">
  <c r="O255" i="12"/>
  <c r="BE238" i="14"/>
  <c r="BK78"/>
  <c r="BE78"/>
  <c r="BK76"/>
  <c r="BI76"/>
  <c r="BE76"/>
  <c r="BI143"/>
  <c r="AE53"/>
  <c r="G47"/>
  <c r="BH249" i="6"/>
  <c r="BJ161"/>
  <c r="AR182" i="5"/>
  <c r="Q182" i="3"/>
  <c r="M182"/>
  <c r="W182" i="4"/>
  <c r="Q182"/>
  <c r="Q230" i="1"/>
  <c r="G243" i="10"/>
  <c r="AE189" i="14"/>
  <c r="Q241" i="12"/>
  <c r="O229"/>
  <c r="E229"/>
  <c r="Q229"/>
  <c r="K198"/>
  <c r="O183" i="10"/>
  <c r="Q148" i="12"/>
  <c r="U130"/>
  <c r="Q109"/>
  <c r="W206" i="4"/>
  <c r="W161"/>
  <c r="AN142" i="5"/>
  <c r="Q142" i="3"/>
  <c r="M142"/>
  <c r="E142"/>
  <c r="W142" i="4"/>
  <c r="W113"/>
  <c r="Q91" i="3"/>
  <c r="M91"/>
  <c r="Q219"/>
  <c r="Q223" i="4"/>
  <c r="Q223" i="1"/>
  <c r="S223" s="1"/>
  <c r="Q223" i="3"/>
  <c r="M223"/>
  <c r="M223" i="7"/>
  <c r="M225" i="9"/>
  <c r="K225"/>
  <c r="U223" i="10"/>
  <c r="E102" i="5"/>
  <c r="W102" i="4"/>
  <c r="Q102"/>
  <c r="E102" i="2"/>
  <c r="W102" i="1"/>
  <c r="Q102"/>
  <c r="Q102" i="3"/>
  <c r="M102"/>
  <c r="E102" i="7"/>
  <c r="K104" i="9"/>
  <c r="Q103" i="8"/>
  <c r="U104" i="9"/>
  <c r="U102" i="10"/>
  <c r="G102"/>
  <c r="Y38" i="8"/>
  <c r="E214" i="14"/>
  <c r="W93" i="4"/>
  <c r="Q93"/>
  <c r="Q93" i="1"/>
  <c r="Q93" i="3"/>
  <c r="M93"/>
  <c r="M93" i="7"/>
  <c r="U95" i="9"/>
  <c r="K95"/>
  <c r="U93" i="10"/>
  <c r="G93"/>
  <c r="M111" i="7"/>
  <c r="U111" i="10"/>
  <c r="G111"/>
  <c r="E111" s="1"/>
  <c r="Q195" i="5"/>
  <c r="O195"/>
  <c r="G195"/>
  <c r="E195"/>
  <c r="W195" i="4"/>
  <c r="Q195"/>
  <c r="Q195" i="2"/>
  <c r="O195"/>
  <c r="G195"/>
  <c r="E195"/>
  <c r="Q195" i="1"/>
  <c r="Q195" i="3"/>
  <c r="M195"/>
  <c r="Q196" i="8"/>
  <c r="I196"/>
  <c r="E196"/>
  <c r="K197" i="9"/>
  <c r="G195" i="10"/>
  <c r="U195"/>
  <c r="Q251" i="12"/>
  <c r="AF250" i="6"/>
  <c r="W250" i="4"/>
  <c r="Q250" i="3"/>
  <c r="M250"/>
  <c r="S252" i="8"/>
  <c r="Q252"/>
  <c r="M252"/>
  <c r="K252"/>
  <c r="I252"/>
  <c r="E252"/>
  <c r="O253" i="9"/>
  <c r="U251" i="10"/>
  <c r="S231" i="7"/>
  <c r="U231" s="1"/>
  <c r="K113" i="9"/>
  <c r="AE227" i="14"/>
  <c r="BE227"/>
  <c r="BM227" s="1"/>
  <c r="BF231" i="6"/>
  <c r="AF231"/>
  <c r="W231" i="4"/>
  <c r="Q231" i="3"/>
  <c r="M231"/>
  <c r="E231"/>
  <c r="M232" i="7"/>
  <c r="U234" i="9"/>
  <c r="K234"/>
  <c r="U232" i="10"/>
  <c r="G232"/>
  <c r="AL143" i="5"/>
  <c r="W143" i="4"/>
  <c r="Q143"/>
  <c r="S143" s="1"/>
  <c r="Q143" i="1"/>
  <c r="Q143" i="3"/>
  <c r="M143"/>
  <c r="M143" i="7"/>
  <c r="U143" i="10"/>
  <c r="G143"/>
  <c r="AF142" i="6"/>
  <c r="Q141" i="3"/>
  <c r="M141"/>
  <c r="E141"/>
  <c r="M141" i="7"/>
  <c r="M143" i="9"/>
  <c r="K143"/>
  <c r="U141" i="10"/>
  <c r="G141"/>
  <c r="AE127" i="14"/>
  <c r="BI127"/>
  <c r="AF131" i="6"/>
  <c r="M129" i="5"/>
  <c r="G129"/>
  <c r="E129"/>
  <c r="W129" i="4"/>
  <c r="I129"/>
  <c r="W129" i="1"/>
  <c r="G129" i="2"/>
  <c r="E129"/>
  <c r="Q129" i="3"/>
  <c r="M129"/>
  <c r="E129"/>
  <c r="M129" i="7"/>
  <c r="E129"/>
  <c r="M130" i="8"/>
  <c r="Q130"/>
  <c r="E130"/>
  <c r="O131" i="9"/>
  <c r="M131"/>
  <c r="K131"/>
  <c r="U129" i="10"/>
  <c r="G129"/>
  <c r="W124" i="4"/>
  <c r="Q124" i="3"/>
  <c r="M124"/>
  <c r="E124"/>
  <c r="M124" i="7"/>
  <c r="E124"/>
  <c r="U124" i="10"/>
  <c r="BE122" i="14"/>
  <c r="AE122"/>
  <c r="M122"/>
  <c r="G122"/>
  <c r="AF126" i="6"/>
  <c r="M126"/>
  <c r="G126"/>
  <c r="W123" i="4"/>
  <c r="W91"/>
  <c r="Q123" i="1"/>
  <c r="Q123" i="3"/>
  <c r="M123"/>
  <c r="S123" s="1"/>
  <c r="E123"/>
  <c r="M123" i="7"/>
  <c r="S123" s="1"/>
  <c r="U123" i="10"/>
  <c r="G123"/>
  <c r="AE121" i="14"/>
  <c r="AF125" i="6"/>
  <c r="Q122" i="4"/>
  <c r="Q122" i="1"/>
  <c r="Q122" i="3"/>
  <c r="U122" i="10"/>
  <c r="G122"/>
  <c r="K121" i="12"/>
  <c r="BG120" i="14"/>
  <c r="BL124" i="6"/>
  <c r="BH124"/>
  <c r="BF124"/>
  <c r="AF124"/>
  <c r="S124"/>
  <c r="W121" i="4"/>
  <c r="AL121" i="5"/>
  <c r="Q121" i="4"/>
  <c r="W121" i="1"/>
  <c r="Q121"/>
  <c r="Q121" i="3"/>
  <c r="M121"/>
  <c r="E121"/>
  <c r="M121" i="7"/>
  <c r="E121"/>
  <c r="K122" i="8"/>
  <c r="M123" i="9"/>
  <c r="K123"/>
  <c r="U121" i="10"/>
  <c r="G121"/>
  <c r="AE114" i="14"/>
  <c r="BI114"/>
  <c r="BE114"/>
  <c r="BG114"/>
  <c r="BJ118" i="6"/>
  <c r="BH118"/>
  <c r="AF118"/>
  <c r="S118"/>
  <c r="AL115" i="5"/>
  <c r="G115"/>
  <c r="W115" i="4"/>
  <c r="Q115"/>
  <c r="G115" i="2"/>
  <c r="Q115" i="1"/>
  <c r="Q115" i="3"/>
  <c r="M115"/>
  <c r="E115"/>
  <c r="E116" i="8"/>
  <c r="K117" i="9"/>
  <c r="U115" i="10"/>
  <c r="G115"/>
  <c r="AE85" i="14"/>
  <c r="BJ87" i="6"/>
  <c r="AF87"/>
  <c r="W85" i="4"/>
  <c r="Q85" i="3"/>
  <c r="M85"/>
  <c r="E85"/>
  <c r="U87" i="9"/>
  <c r="K87"/>
  <c r="U85" i="10"/>
  <c r="G85"/>
  <c r="O62"/>
  <c r="AE61" i="13"/>
  <c r="BE63" i="14"/>
  <c r="AE63"/>
  <c r="BF65" i="6"/>
  <c r="AF65"/>
  <c r="AP62" i="5"/>
  <c r="W62" i="4"/>
  <c r="Q62"/>
  <c r="S62" s="1"/>
  <c r="I62"/>
  <c r="AK62" i="2"/>
  <c r="Q62" i="1"/>
  <c r="I62"/>
  <c r="Q62" i="3"/>
  <c r="M62"/>
  <c r="E62"/>
  <c r="M62" i="7"/>
  <c r="M64" i="9"/>
  <c r="K64"/>
  <c r="U62" i="10"/>
  <c r="G62"/>
  <c r="AE30" i="14"/>
  <c r="AF32" i="6"/>
  <c r="E32"/>
  <c r="I29" i="5"/>
  <c r="W29" i="4"/>
  <c r="Q29" i="3"/>
  <c r="M29"/>
  <c r="E29"/>
  <c r="M29" i="7"/>
  <c r="E29"/>
  <c r="K30" i="8"/>
  <c r="M31" i="9"/>
  <c r="K31"/>
  <c r="U29" i="10"/>
  <c r="G29"/>
  <c r="E21" i="12"/>
  <c r="W21" i="4"/>
  <c r="Q21" i="3"/>
  <c r="M21"/>
  <c r="E21"/>
  <c r="K23" i="9"/>
  <c r="U21" i="10"/>
  <c r="G21"/>
  <c r="Q17" i="12"/>
  <c r="Q17" i="3"/>
  <c r="M17"/>
  <c r="E17"/>
  <c r="M17" i="7"/>
  <c r="W11" i="8"/>
  <c r="U17" i="10"/>
  <c r="G17"/>
  <c r="G9" i="12"/>
  <c r="K9"/>
  <c r="Y9" i="10"/>
  <c r="E243" i="14"/>
  <c r="E244"/>
  <c r="E232" i="10"/>
  <c r="AA98" i="9"/>
  <c r="E96" i="14"/>
  <c r="M174" i="10"/>
  <c r="Y174"/>
  <c r="Y173"/>
  <c r="S71" i="12"/>
  <c r="W71" s="1"/>
  <c r="S11"/>
  <c r="S10"/>
  <c r="AH24" i="5"/>
  <c r="S9" i="1"/>
  <c r="Q90" i="12"/>
  <c r="S90"/>
  <c r="W90" s="1"/>
  <c r="Q89"/>
  <c r="S89" s="1"/>
  <c r="W89" s="1"/>
  <c r="S87"/>
  <c r="W87" s="1"/>
  <c r="U86"/>
  <c r="I86"/>
  <c r="S86" s="1"/>
  <c r="K84"/>
  <c r="E84"/>
  <c r="Q83"/>
  <c r="S83" s="1"/>
  <c r="W83" s="1"/>
  <c r="S82"/>
  <c r="W82" s="1"/>
  <c r="S81"/>
  <c r="W81" s="1"/>
  <c r="S79"/>
  <c r="W79" s="1"/>
  <c r="Q78"/>
  <c r="S78" s="1"/>
  <c r="W78" s="1"/>
  <c r="S77"/>
  <c r="W77" s="1"/>
  <c r="S76"/>
  <c r="W76" s="1"/>
  <c r="S75"/>
  <c r="W75" s="1"/>
  <c r="S74"/>
  <c r="W74" s="1"/>
  <c r="K73"/>
  <c r="S73" s="1"/>
  <c r="W73" s="1"/>
  <c r="E69"/>
  <c r="S69" s="1"/>
  <c r="W69" s="1"/>
  <c r="Q68"/>
  <c r="S68" s="1"/>
  <c r="W68" s="1"/>
  <c r="S67"/>
  <c r="W67" s="1"/>
  <c r="G66"/>
  <c r="E66"/>
  <c r="S65"/>
  <c r="W65" s="1"/>
  <c r="U63"/>
  <c r="Q63"/>
  <c r="E63"/>
  <c r="S61"/>
  <c r="W61" s="1"/>
  <c r="S60"/>
  <c r="W60" s="1"/>
  <c r="S59"/>
  <c r="W59" s="1"/>
  <c r="K58"/>
  <c r="S58" s="1"/>
  <c r="W58" s="1"/>
  <c r="S57"/>
  <c r="W57" s="1"/>
  <c r="I56"/>
  <c r="G56"/>
  <c r="E56"/>
  <c r="K55"/>
  <c r="S55" s="1"/>
  <c r="W55" s="1"/>
  <c r="S54"/>
  <c r="W54" s="1"/>
  <c r="Q53"/>
  <c r="O53"/>
  <c r="G53"/>
  <c r="S53" s="1"/>
  <c r="W53" s="1"/>
  <c r="E52"/>
  <c r="S52" s="1"/>
  <c r="W52" s="1"/>
  <c r="S51"/>
  <c r="W51" s="1"/>
  <c r="Q50"/>
  <c r="S50" s="1"/>
  <c r="W50" s="1"/>
  <c r="E49"/>
  <c r="S49" s="1"/>
  <c r="W49" s="1"/>
  <c r="S48"/>
  <c r="W48" s="1"/>
  <c r="S47"/>
  <c r="W47" s="1"/>
  <c r="S46"/>
  <c r="W46" s="1"/>
  <c r="K43"/>
  <c r="S43" s="1"/>
  <c r="W43" s="1"/>
  <c r="S40"/>
  <c r="W40" s="1"/>
  <c r="Q39"/>
  <c r="S39" s="1"/>
  <c r="W39" s="1"/>
  <c r="S38"/>
  <c r="W38" s="1"/>
  <c r="S37"/>
  <c r="W37" s="1"/>
  <c r="M36"/>
  <c r="I36"/>
  <c r="Q35"/>
  <c r="K35"/>
  <c r="S34"/>
  <c r="W34" s="1"/>
  <c r="K33"/>
  <c r="S33" s="1"/>
  <c r="W33" s="1"/>
  <c r="S32"/>
  <c r="W32" s="1"/>
  <c r="S31"/>
  <c r="W31" s="1"/>
  <c r="S30"/>
  <c r="W30" s="1"/>
  <c r="Q28"/>
  <c r="M28"/>
  <c r="E28"/>
  <c r="S27"/>
  <c r="W27" s="1"/>
  <c r="BK86" i="13"/>
  <c r="BM86" s="1"/>
  <c r="AE86"/>
  <c r="AI86" s="1"/>
  <c r="AS86" s="1"/>
  <c r="W86"/>
  <c r="K86"/>
  <c r="E86"/>
  <c r="AY86" s="1"/>
  <c r="BK67"/>
  <c r="BM67" s="1"/>
  <c r="AE67"/>
  <c r="AI67" s="1"/>
  <c r="AS67" s="1"/>
  <c r="S67"/>
  <c r="W67"/>
  <c r="K67"/>
  <c r="E67"/>
  <c r="BM57"/>
  <c r="AE57"/>
  <c r="AI57" s="1"/>
  <c r="AS57" s="1"/>
  <c r="W57"/>
  <c r="K57"/>
  <c r="E57"/>
  <c r="AY57"/>
  <c r="BM56"/>
  <c r="AE56"/>
  <c r="AI56" s="1"/>
  <c r="AS56" s="1"/>
  <c r="Y56"/>
  <c r="BA56"/>
  <c r="W56"/>
  <c r="K56"/>
  <c r="E56"/>
  <c r="BM55"/>
  <c r="AE55"/>
  <c r="AI55" s="1"/>
  <c r="AS55" s="1"/>
  <c r="W55"/>
  <c r="K55"/>
  <c r="E55"/>
  <c r="AY55" s="1"/>
  <c r="BK33"/>
  <c r="BM33" s="1"/>
  <c r="AE33"/>
  <c r="AI33" s="1"/>
  <c r="AS33" s="1"/>
  <c r="W33"/>
  <c r="K33"/>
  <c r="E33"/>
  <c r="BK90" i="14"/>
  <c r="BI90"/>
  <c r="AE90"/>
  <c r="AI90" s="1"/>
  <c r="AS90" s="1"/>
  <c r="W90"/>
  <c r="K90"/>
  <c r="E90"/>
  <c r="BM87"/>
  <c r="AE87"/>
  <c r="AI87" s="1"/>
  <c r="AS87" s="1"/>
  <c r="W87"/>
  <c r="K87"/>
  <c r="E87"/>
  <c r="BK86"/>
  <c r="BM86" s="1"/>
  <c r="AE86"/>
  <c r="AI86" s="1"/>
  <c r="AS86" s="1"/>
  <c r="W86"/>
  <c r="K86"/>
  <c r="E86"/>
  <c r="BK82"/>
  <c r="BM82" s="1"/>
  <c r="AE82"/>
  <c r="AI82" s="1"/>
  <c r="AS82" s="1"/>
  <c r="W82"/>
  <c r="K82"/>
  <c r="E82"/>
  <c r="BM79"/>
  <c r="AE79"/>
  <c r="AI79" s="1"/>
  <c r="AS79" s="1"/>
  <c r="W79"/>
  <c r="K79"/>
  <c r="E79"/>
  <c r="BM78"/>
  <c r="AI78"/>
  <c r="AS78" s="1"/>
  <c r="W78"/>
  <c r="K78"/>
  <c r="E78"/>
  <c r="BM77"/>
  <c r="AE77"/>
  <c r="AI77" s="1"/>
  <c r="AS77" s="1"/>
  <c r="W77"/>
  <c r="K77"/>
  <c r="E77"/>
  <c r="BM76"/>
  <c r="AE76"/>
  <c r="AI76" s="1"/>
  <c r="AS76" s="1"/>
  <c r="W76"/>
  <c r="K76"/>
  <c r="E76"/>
  <c r="BM75"/>
  <c r="AE75"/>
  <c r="AI75" s="1"/>
  <c r="AS75" s="1"/>
  <c r="W75"/>
  <c r="K75"/>
  <c r="E75"/>
  <c r="BM74"/>
  <c r="AE74"/>
  <c r="AI74" s="1"/>
  <c r="AS74" s="1"/>
  <c r="W74"/>
  <c r="K74"/>
  <c r="E74"/>
  <c r="BI73"/>
  <c r="BM73" s="1"/>
  <c r="AE73"/>
  <c r="AI73" s="1"/>
  <c r="AS73" s="1"/>
  <c r="W73"/>
  <c r="K73"/>
  <c r="E73"/>
  <c r="BM72"/>
  <c r="AE72"/>
  <c r="AI72" s="1"/>
  <c r="AS72" s="1"/>
  <c r="W72"/>
  <c r="K72"/>
  <c r="E72"/>
  <c r="BM70"/>
  <c r="AE70"/>
  <c r="AI70" s="1"/>
  <c r="AS70" s="1"/>
  <c r="W70"/>
  <c r="K70"/>
  <c r="E70"/>
  <c r="BM69"/>
  <c r="AE69"/>
  <c r="AI69" s="1"/>
  <c r="AS69" s="1"/>
  <c r="W69"/>
  <c r="K69"/>
  <c r="E69"/>
  <c r="BM68"/>
  <c r="AE68"/>
  <c r="AI68" s="1"/>
  <c r="AS68" s="1"/>
  <c r="W68"/>
  <c r="K68"/>
  <c r="E68"/>
  <c r="BK67"/>
  <c r="BM67" s="1"/>
  <c r="AE67"/>
  <c r="AI67" s="1"/>
  <c r="AS67" s="1"/>
  <c r="W67"/>
  <c r="K67"/>
  <c r="E67"/>
  <c r="BK66"/>
  <c r="BI66"/>
  <c r="AE66"/>
  <c r="AI66" s="1"/>
  <c r="AS66" s="1"/>
  <c r="W66"/>
  <c r="K66"/>
  <c r="E66"/>
  <c r="BI64"/>
  <c r="BM64" s="1"/>
  <c r="AE64"/>
  <c r="AI64" s="1"/>
  <c r="AS64" s="1"/>
  <c r="W64"/>
  <c r="K64"/>
  <c r="E64"/>
  <c r="BK62"/>
  <c r="BM62" s="1"/>
  <c r="AE62"/>
  <c r="AI62" s="1"/>
  <c r="AS62" s="1"/>
  <c r="W62"/>
  <c r="K62"/>
  <c r="E62"/>
  <c r="BM61"/>
  <c r="AE61"/>
  <c r="AI61"/>
  <c r="AS61" s="1"/>
  <c r="W61"/>
  <c r="K61"/>
  <c r="E61"/>
  <c r="BM60"/>
  <c r="AE60"/>
  <c r="AI60"/>
  <c r="AS60" s="1"/>
  <c r="W60"/>
  <c r="K60"/>
  <c r="E60"/>
  <c r="BI59"/>
  <c r="BM59" s="1"/>
  <c r="AE59"/>
  <c r="AI59" s="1"/>
  <c r="AS59" s="1"/>
  <c r="W59"/>
  <c r="K59"/>
  <c r="E59"/>
  <c r="AY59" s="1"/>
  <c r="BM58"/>
  <c r="AE58"/>
  <c r="AI58" s="1"/>
  <c r="AS58" s="1"/>
  <c r="Y58"/>
  <c r="BA58" s="1"/>
  <c r="W58"/>
  <c r="K58"/>
  <c r="E58"/>
  <c r="BM57"/>
  <c r="AE57"/>
  <c r="AI57"/>
  <c r="AS57" s="1"/>
  <c r="W57"/>
  <c r="K57"/>
  <c r="E57"/>
  <c r="BM56"/>
  <c r="AE56"/>
  <c r="AI56" s="1"/>
  <c r="AS56" s="1"/>
  <c r="W56"/>
  <c r="K56"/>
  <c r="E56"/>
  <c r="AY56" s="1"/>
  <c r="BM53"/>
  <c r="AS53"/>
  <c r="W53"/>
  <c r="K53"/>
  <c r="E53"/>
  <c r="BM52"/>
  <c r="AE52"/>
  <c r="AI52" s="1"/>
  <c r="AS52" s="1"/>
  <c r="W52"/>
  <c r="K52"/>
  <c r="E52"/>
  <c r="AY52" s="1"/>
  <c r="BM50"/>
  <c r="AE50"/>
  <c r="AI50" s="1"/>
  <c r="AS50" s="1"/>
  <c r="S50"/>
  <c r="W50" s="1"/>
  <c r="K50"/>
  <c r="E50"/>
  <c r="BM48"/>
  <c r="AE48"/>
  <c r="AI48" s="1"/>
  <c r="AS48" s="1"/>
  <c r="W48"/>
  <c r="K48"/>
  <c r="E48"/>
  <c r="AY48" s="1"/>
  <c r="BM47"/>
  <c r="AE47"/>
  <c r="AI47" s="1"/>
  <c r="AS47" s="1"/>
  <c r="W47"/>
  <c r="K47"/>
  <c r="E47"/>
  <c r="BM44"/>
  <c r="AE44"/>
  <c r="AI44" s="1"/>
  <c r="AS44" s="1"/>
  <c r="W44"/>
  <c r="K44"/>
  <c r="E44"/>
  <c r="BK41"/>
  <c r="BM41" s="1"/>
  <c r="AE41"/>
  <c r="AI41" s="1"/>
  <c r="AS41" s="1"/>
  <c r="W41"/>
  <c r="K41"/>
  <c r="E41"/>
  <c r="BK40"/>
  <c r="BI40"/>
  <c r="AE40"/>
  <c r="AI40" s="1"/>
  <c r="AS40" s="1"/>
  <c r="W40"/>
  <c r="K40"/>
  <c r="E40"/>
  <c r="BM39"/>
  <c r="AE39"/>
  <c r="AI39" s="1"/>
  <c r="AS39" s="1"/>
  <c r="W39"/>
  <c r="K39"/>
  <c r="E39"/>
  <c r="BI37"/>
  <c r="BM37" s="1"/>
  <c r="AE37"/>
  <c r="AI37" s="1"/>
  <c r="AS37" s="1"/>
  <c r="W37"/>
  <c r="K37"/>
  <c r="E37"/>
  <c r="AY37"/>
  <c r="BM34"/>
  <c r="AE34"/>
  <c r="AI34" s="1"/>
  <c r="AS34" s="1"/>
  <c r="W34"/>
  <c r="K34"/>
  <c r="E34"/>
  <c r="AY34"/>
  <c r="BK32"/>
  <c r="BM32" s="1"/>
  <c r="AE32"/>
  <c r="AI32" s="1"/>
  <c r="AS32" s="1"/>
  <c r="W32"/>
  <c r="K32"/>
  <c r="E32"/>
  <c r="BI29"/>
  <c r="BM29" s="1"/>
  <c r="AE29"/>
  <c r="AI29" s="1"/>
  <c r="AS29" s="1"/>
  <c r="W29"/>
  <c r="K29"/>
  <c r="E29"/>
  <c r="AY29" s="1"/>
  <c r="BK28"/>
  <c r="BM28" s="1"/>
  <c r="AE28"/>
  <c r="AI28" s="1"/>
  <c r="AS28" s="1"/>
  <c r="W28"/>
  <c r="K28"/>
  <c r="E28"/>
  <c r="BL91" i="6"/>
  <c r="BJ91"/>
  <c r="BN91" s="1"/>
  <c r="AF91"/>
  <c r="AJ91" s="1"/>
  <c r="AT91" s="1"/>
  <c r="W91"/>
  <c r="K91"/>
  <c r="E91"/>
  <c r="BN89"/>
  <c r="AF89"/>
  <c r="AJ89" s="1"/>
  <c r="AT89" s="1"/>
  <c r="W89"/>
  <c r="K89"/>
  <c r="E89"/>
  <c r="BL88"/>
  <c r="BN88" s="1"/>
  <c r="AF88"/>
  <c r="AJ88" s="1"/>
  <c r="AT88" s="1"/>
  <c r="S88"/>
  <c r="W88" s="1"/>
  <c r="K88"/>
  <c r="E88"/>
  <c r="BN85"/>
  <c r="AF85"/>
  <c r="AJ85" s="1"/>
  <c r="AT85" s="1"/>
  <c r="S85"/>
  <c r="W85" s="1"/>
  <c r="K85"/>
  <c r="E85"/>
  <c r="BN81"/>
  <c r="AF81"/>
  <c r="AJ81" s="1"/>
  <c r="AT81" s="1"/>
  <c r="W81"/>
  <c r="K81"/>
  <c r="E81"/>
  <c r="BN80"/>
  <c r="AJ80"/>
  <c r="AT80" s="1"/>
  <c r="W80"/>
  <c r="K80"/>
  <c r="E80"/>
  <c r="BN79"/>
  <c r="AF79"/>
  <c r="AJ79" s="1"/>
  <c r="AT79" s="1"/>
  <c r="W79"/>
  <c r="K79"/>
  <c r="E79"/>
  <c r="BN78"/>
  <c r="AF78"/>
  <c r="AJ78" s="1"/>
  <c r="AT78" s="1"/>
  <c r="W78"/>
  <c r="K78"/>
  <c r="E78"/>
  <c r="BN77"/>
  <c r="AF77"/>
  <c r="AJ77" s="1"/>
  <c r="AT77" s="1"/>
  <c r="W77"/>
  <c r="K77"/>
  <c r="E77"/>
  <c r="BJ75"/>
  <c r="BN75" s="1"/>
  <c r="AF75"/>
  <c r="AJ75" s="1"/>
  <c r="AT75" s="1"/>
  <c r="W75"/>
  <c r="K75"/>
  <c r="E75"/>
  <c r="AZ75"/>
  <c r="BN74"/>
  <c r="AF74"/>
  <c r="AJ74" s="1"/>
  <c r="AT74" s="1"/>
  <c r="W74"/>
  <c r="K74"/>
  <c r="E74"/>
  <c r="AZ74"/>
  <c r="BN72"/>
  <c r="AF72"/>
  <c r="AJ72" s="1"/>
  <c r="AT72" s="1"/>
  <c r="W72"/>
  <c r="K72"/>
  <c r="E72"/>
  <c r="BN71"/>
  <c r="BL71"/>
  <c r="AF71"/>
  <c r="AJ71" s="1"/>
  <c r="AT71" s="1"/>
  <c r="S71"/>
  <c r="W71" s="1"/>
  <c r="K71"/>
  <c r="E71"/>
  <c r="BJ70"/>
  <c r="BN70" s="1"/>
  <c r="AF70"/>
  <c r="AJ70" s="1"/>
  <c r="AT70" s="1"/>
  <c r="W70"/>
  <c r="K70"/>
  <c r="E70"/>
  <c r="AZ70" s="1"/>
  <c r="BL69"/>
  <c r="BN69" s="1"/>
  <c r="AF69"/>
  <c r="AJ69" s="1"/>
  <c r="AT69" s="1"/>
  <c r="W69"/>
  <c r="K69"/>
  <c r="E69"/>
  <c r="BL68"/>
  <c r="BJ68"/>
  <c r="AF68"/>
  <c r="AJ68" s="1"/>
  <c r="AT68" s="1"/>
  <c r="W68"/>
  <c r="K68"/>
  <c r="E68"/>
  <c r="BN66"/>
  <c r="AF66"/>
  <c r="AJ66" s="1"/>
  <c r="AT66" s="1"/>
  <c r="W66"/>
  <c r="K66"/>
  <c r="E66"/>
  <c r="BN64"/>
  <c r="AF64"/>
  <c r="AJ64" s="1"/>
  <c r="AT64" s="1"/>
  <c r="S64"/>
  <c r="W64" s="1"/>
  <c r="K64"/>
  <c r="E64"/>
  <c r="BN63"/>
  <c r="AT63"/>
  <c r="AF63"/>
  <c r="W63"/>
  <c r="K63"/>
  <c r="E63"/>
  <c r="BN62"/>
  <c r="AF62"/>
  <c r="AJ62" s="1"/>
  <c r="AT62" s="1"/>
  <c r="W62"/>
  <c r="K62"/>
  <c r="E62"/>
  <c r="BJ61"/>
  <c r="BN61" s="1"/>
  <c r="AF61"/>
  <c r="AJ61" s="1"/>
  <c r="AT61" s="1"/>
  <c r="W61"/>
  <c r="K61"/>
  <c r="E61"/>
  <c r="BN60"/>
  <c r="AF60"/>
  <c r="AJ60" s="1"/>
  <c r="AT60" s="1"/>
  <c r="Z60"/>
  <c r="BB60" s="1"/>
  <c r="W60"/>
  <c r="K60"/>
  <c r="E60"/>
  <c r="BN59"/>
  <c r="AF59"/>
  <c r="AJ59" s="1"/>
  <c r="AT59" s="1"/>
  <c r="W59"/>
  <c r="K59"/>
  <c r="E59"/>
  <c r="BN58"/>
  <c r="AF58"/>
  <c r="AJ58" s="1"/>
  <c r="AT58" s="1"/>
  <c r="W58"/>
  <c r="K58"/>
  <c r="E58"/>
  <c r="AZ58"/>
  <c r="BN56"/>
  <c r="AF56"/>
  <c r="AJ56" s="1"/>
  <c r="AT56" s="1"/>
  <c r="S56"/>
  <c r="W56" s="1"/>
  <c r="K56"/>
  <c r="E56"/>
  <c r="BN55"/>
  <c r="AF55"/>
  <c r="AJ55" s="1"/>
  <c r="AT55" s="1"/>
  <c r="W55"/>
  <c r="K55"/>
  <c r="E55"/>
  <c r="AZ55" s="1"/>
  <c r="BN54"/>
  <c r="AF54"/>
  <c r="AJ54" s="1"/>
  <c r="AT54" s="1"/>
  <c r="W54"/>
  <c r="K54"/>
  <c r="E54"/>
  <c r="BL53"/>
  <c r="BN53" s="1"/>
  <c r="AF53"/>
  <c r="AJ53" s="1"/>
  <c r="AT53" s="1"/>
  <c r="W53"/>
  <c r="K53"/>
  <c r="E53"/>
  <c r="BL52"/>
  <c r="BN52" s="1"/>
  <c r="AF52"/>
  <c r="AJ52" s="1"/>
  <c r="AT52" s="1"/>
  <c r="S52"/>
  <c r="W52" s="1"/>
  <c r="K52"/>
  <c r="E52"/>
  <c r="BJ50"/>
  <c r="BN50" s="1"/>
  <c r="AF50"/>
  <c r="AJ50" s="1"/>
  <c r="AT50" s="1"/>
  <c r="W50"/>
  <c r="K50"/>
  <c r="E50"/>
  <c r="AZ50" s="1"/>
  <c r="BN46"/>
  <c r="AF46"/>
  <c r="AJ46" s="1"/>
  <c r="AT46" s="1"/>
  <c r="W46"/>
  <c r="K46"/>
  <c r="E46"/>
  <c r="BL43"/>
  <c r="BJ43"/>
  <c r="BN43"/>
  <c r="AF43"/>
  <c r="AJ43" s="1"/>
  <c r="AT43" s="1"/>
  <c r="W43"/>
  <c r="K43"/>
  <c r="E43"/>
  <c r="BL42"/>
  <c r="BJ42"/>
  <c r="BN42" s="1"/>
  <c r="AF42"/>
  <c r="AJ42" s="1"/>
  <c r="AT42" s="1"/>
  <c r="W42"/>
  <c r="K42"/>
  <c r="E42"/>
  <c r="AZ42" s="1"/>
  <c r="BN41"/>
  <c r="AF41"/>
  <c r="AJ41" s="1"/>
  <c r="AT41" s="1"/>
  <c r="W41"/>
  <c r="K41"/>
  <c r="E41"/>
  <c r="BN38"/>
  <c r="AF38"/>
  <c r="AJ38" s="1"/>
  <c r="AT38" s="1"/>
  <c r="W38"/>
  <c r="K38"/>
  <c r="E38"/>
  <c r="AZ38" s="1"/>
  <c r="BL34"/>
  <c r="BN34" s="1"/>
  <c r="AF34"/>
  <c r="AJ34" s="1"/>
  <c r="AT34" s="1"/>
  <c r="W34"/>
  <c r="K34"/>
  <c r="E34"/>
  <c r="BL31"/>
  <c r="BN31" s="1"/>
  <c r="AF31"/>
  <c r="AJ31" s="1"/>
  <c r="AT31" s="1"/>
  <c r="W31"/>
  <c r="K31"/>
  <c r="E31"/>
  <c r="AZ31" s="1"/>
  <c r="BL30"/>
  <c r="BJ30"/>
  <c r="AF30"/>
  <c r="AJ30" s="1"/>
  <c r="AT30" s="1"/>
  <c r="W30"/>
  <c r="K30"/>
  <c r="E30"/>
  <c r="AH90" i="5"/>
  <c r="G89"/>
  <c r="AH89"/>
  <c r="I87"/>
  <c r="AH87"/>
  <c r="AL86"/>
  <c r="G86"/>
  <c r="AH86" s="1"/>
  <c r="K84"/>
  <c r="AH84" s="1"/>
  <c r="AP83"/>
  <c r="AH83"/>
  <c r="AH82"/>
  <c r="Q81"/>
  <c r="AH81"/>
  <c r="AH79"/>
  <c r="AH78"/>
  <c r="AH77"/>
  <c r="AH76"/>
  <c r="AH75"/>
  <c r="AL74"/>
  <c r="AH74"/>
  <c r="AH73"/>
  <c r="AH71"/>
  <c r="AH69"/>
  <c r="AH68"/>
  <c r="AH67"/>
  <c r="I66"/>
  <c r="G66"/>
  <c r="AH66" s="1"/>
  <c r="I65"/>
  <c r="AH65" s="1"/>
  <c r="AL63"/>
  <c r="Q63"/>
  <c r="I63"/>
  <c r="AH61"/>
  <c r="I60"/>
  <c r="AH60" s="1"/>
  <c r="AH59"/>
  <c r="AL58"/>
  <c r="AB58"/>
  <c r="AH58" s="1"/>
  <c r="AH57"/>
  <c r="G56"/>
  <c r="AH56" s="1"/>
  <c r="AH55"/>
  <c r="AH54"/>
  <c r="AL53"/>
  <c r="Q53"/>
  <c r="I53"/>
  <c r="G53"/>
  <c r="AH52"/>
  <c r="O51"/>
  <c r="I51"/>
  <c r="G51"/>
  <c r="AL50"/>
  <c r="M50"/>
  <c r="K50"/>
  <c r="G50"/>
  <c r="G49"/>
  <c r="AH49" s="1"/>
  <c r="AH48"/>
  <c r="AH47"/>
  <c r="AH46"/>
  <c r="AH43"/>
  <c r="AH40"/>
  <c r="G39"/>
  <c r="AH39" s="1"/>
  <c r="AH38"/>
  <c r="AL37"/>
  <c r="AH37"/>
  <c r="AH36"/>
  <c r="AL35"/>
  <c r="AB35"/>
  <c r="AH35" s="1"/>
  <c r="AH34"/>
  <c r="AH33"/>
  <c r="G32"/>
  <c r="E32"/>
  <c r="G31"/>
  <c r="E31"/>
  <c r="AH30"/>
  <c r="AH28"/>
  <c r="O27"/>
  <c r="G27"/>
  <c r="W90" i="4"/>
  <c r="Q90"/>
  <c r="S90" s="1"/>
  <c r="W89"/>
  <c r="S89"/>
  <c r="Q89"/>
  <c r="W87"/>
  <c r="Q87"/>
  <c r="S87" s="1"/>
  <c r="W86"/>
  <c r="S86"/>
  <c r="W84"/>
  <c r="S84"/>
  <c r="W83"/>
  <c r="Q83"/>
  <c r="S83" s="1"/>
  <c r="Q82"/>
  <c r="S82" s="1"/>
  <c r="W81"/>
  <c r="Q81"/>
  <c r="S81" s="1"/>
  <c r="W79"/>
  <c r="S79"/>
  <c r="W78"/>
  <c r="S78"/>
  <c r="W77"/>
  <c r="S77"/>
  <c r="Q77"/>
  <c r="W76"/>
  <c r="Q76"/>
  <c r="S76"/>
  <c r="W75"/>
  <c r="S75"/>
  <c r="Q75"/>
  <c r="W74"/>
  <c r="Q74"/>
  <c r="I74"/>
  <c r="S74" s="1"/>
  <c r="W73"/>
  <c r="S73"/>
  <c r="W71"/>
  <c r="Q71"/>
  <c r="S71" s="1"/>
  <c r="K69"/>
  <c r="S69" s="1"/>
  <c r="S68"/>
  <c r="S67"/>
  <c r="W66"/>
  <c r="Q66"/>
  <c r="S66" s="1"/>
  <c r="W65"/>
  <c r="Q65"/>
  <c r="S65" s="1"/>
  <c r="W63"/>
  <c r="Q63"/>
  <c r="S63" s="1"/>
  <c r="W61"/>
  <c r="Q61"/>
  <c r="S61" s="1"/>
  <c r="W60"/>
  <c r="Q60"/>
  <c r="S60" s="1"/>
  <c r="Q59"/>
  <c r="S59" s="1"/>
  <c r="W58"/>
  <c r="Q58"/>
  <c r="S58" s="1"/>
  <c r="Q57"/>
  <c r="S57" s="1"/>
  <c r="W56"/>
  <c r="Q56"/>
  <c r="S56" s="1"/>
  <c r="W55"/>
  <c r="Q55"/>
  <c r="S55" s="1"/>
  <c r="W54"/>
  <c r="Q54"/>
  <c r="S54" s="1"/>
  <c r="W53"/>
  <c r="Q53"/>
  <c r="S53" s="1"/>
  <c r="W52"/>
  <c r="Q52"/>
  <c r="S52" s="1"/>
  <c r="W51"/>
  <c r="Q51"/>
  <c r="S51" s="1"/>
  <c r="W50"/>
  <c r="S50"/>
  <c r="W49"/>
  <c r="S49"/>
  <c r="Q48"/>
  <c r="S48" s="1"/>
  <c r="W47"/>
  <c r="Q47"/>
  <c r="S47" s="1"/>
  <c r="W46"/>
  <c r="S46"/>
  <c r="W43"/>
  <c r="Q43"/>
  <c r="S43" s="1"/>
  <c r="W40"/>
  <c r="Q40"/>
  <c r="S40" s="1"/>
  <c r="W39"/>
  <c r="Q39"/>
  <c r="S39" s="1"/>
  <c r="W38"/>
  <c r="Q38"/>
  <c r="S38" s="1"/>
  <c r="W37"/>
  <c r="S37"/>
  <c r="W36"/>
  <c r="S36"/>
  <c r="W35"/>
  <c r="S35"/>
  <c r="W34"/>
  <c r="Q34"/>
  <c r="S34" s="1"/>
  <c r="W33"/>
  <c r="Q33"/>
  <c r="S33" s="1"/>
  <c r="W32"/>
  <c r="Q32"/>
  <c r="S32" s="1"/>
  <c r="W31"/>
  <c r="Q31"/>
  <c r="S31" s="1"/>
  <c r="W30"/>
  <c r="Q30"/>
  <c r="S30" s="1"/>
  <c r="W28"/>
  <c r="Q28"/>
  <c r="S28" s="1"/>
  <c r="W27"/>
  <c r="I27"/>
  <c r="S27" s="1"/>
  <c r="AC90" i="2"/>
  <c r="G89"/>
  <c r="AC89"/>
  <c r="I87"/>
  <c r="AC87"/>
  <c r="G86"/>
  <c r="AC86"/>
  <c r="AC84"/>
  <c r="AK83"/>
  <c r="AC83"/>
  <c r="AC82"/>
  <c r="AC81"/>
  <c r="AC79"/>
  <c r="AC78"/>
  <c r="AC77"/>
  <c r="AC76"/>
  <c r="AC75"/>
  <c r="AG74"/>
  <c r="AC74"/>
  <c r="AC73"/>
  <c r="AC71"/>
  <c r="AC69"/>
  <c r="AC68"/>
  <c r="AC67"/>
  <c r="AC66"/>
  <c r="G66"/>
  <c r="I65"/>
  <c r="AC65" s="1"/>
  <c r="Q63"/>
  <c r="I63"/>
  <c r="AC63" s="1"/>
  <c r="AC61"/>
  <c r="AC60"/>
  <c r="AC59"/>
  <c r="AG58"/>
  <c r="W58"/>
  <c r="AC58" s="1"/>
  <c r="AC57"/>
  <c r="G56"/>
  <c r="AC56" s="1"/>
  <c r="AC55"/>
  <c r="G54"/>
  <c r="AC54" s="1"/>
  <c r="I53"/>
  <c r="G53"/>
  <c r="AC52"/>
  <c r="O51"/>
  <c r="G51"/>
  <c r="K50"/>
  <c r="G50"/>
  <c r="G49"/>
  <c r="AC49" s="1"/>
  <c r="AC48"/>
  <c r="AC47"/>
  <c r="AC46"/>
  <c r="AC43"/>
  <c r="AC40"/>
  <c r="G39"/>
  <c r="AC39" s="1"/>
  <c r="AC38"/>
  <c r="AC37"/>
  <c r="AC36"/>
  <c r="AC35"/>
  <c r="AC34"/>
  <c r="AC33"/>
  <c r="G32"/>
  <c r="E32"/>
  <c r="G31"/>
  <c r="E31"/>
  <c r="AC30"/>
  <c r="AC28"/>
  <c r="G27"/>
  <c r="AC27" s="1"/>
  <c r="AC11"/>
  <c r="AC10"/>
  <c r="Q90" i="1"/>
  <c r="S90" s="1"/>
  <c r="Q89"/>
  <c r="S89" s="1"/>
  <c r="W87"/>
  <c r="Q87"/>
  <c r="S87" s="1"/>
  <c r="S86"/>
  <c r="W84"/>
  <c r="S84"/>
  <c r="W83"/>
  <c r="Q83"/>
  <c r="S83" s="1"/>
  <c r="Q82"/>
  <c r="S82" s="1"/>
  <c r="S81"/>
  <c r="W79"/>
  <c r="S79"/>
  <c r="S78"/>
  <c r="Q77"/>
  <c r="S77" s="1"/>
  <c r="E76"/>
  <c r="S76" s="1"/>
  <c r="Q75"/>
  <c r="S75" s="1"/>
  <c r="W74"/>
  <c r="I74"/>
  <c r="S74" s="1"/>
  <c r="W73"/>
  <c r="S73"/>
  <c r="Q71"/>
  <c r="S71" s="1"/>
  <c r="S69"/>
  <c r="S68"/>
  <c r="S67"/>
  <c r="Q66"/>
  <c r="S66" s="1"/>
  <c r="Q65"/>
  <c r="S65" s="1"/>
  <c r="Q63"/>
  <c r="S63" s="1"/>
  <c r="Q61"/>
  <c r="S61" s="1"/>
  <c r="W60"/>
  <c r="Q60"/>
  <c r="S60" s="1"/>
  <c r="Q59"/>
  <c r="S59" s="1"/>
  <c r="W58"/>
  <c r="S58"/>
  <c r="S57"/>
  <c r="Q56"/>
  <c r="S56" s="1"/>
  <c r="Q55"/>
  <c r="S55" s="1"/>
  <c r="W54"/>
  <c r="Q54"/>
  <c r="S54" s="1"/>
  <c r="W53"/>
  <c r="Q53"/>
  <c r="S53" s="1"/>
  <c r="S52"/>
  <c r="Q51"/>
  <c r="S51" s="1"/>
  <c r="S50"/>
  <c r="W49"/>
  <c r="S49"/>
  <c r="Q48"/>
  <c r="S48" s="1"/>
  <c r="Q47"/>
  <c r="S47" s="1"/>
  <c r="S46"/>
  <c r="S43"/>
  <c r="Q40"/>
  <c r="S40" s="1"/>
  <c r="W39"/>
  <c r="Q39"/>
  <c r="S39" s="1"/>
  <c r="W38"/>
  <c r="Q38"/>
  <c r="S38" s="1"/>
  <c r="S37"/>
  <c r="S36"/>
  <c r="S35"/>
  <c r="W34"/>
  <c r="Q34"/>
  <c r="S34" s="1"/>
  <c r="S33"/>
  <c r="Q32"/>
  <c r="S32" s="1"/>
  <c r="Q31"/>
  <c r="S31" s="1"/>
  <c r="Q30"/>
  <c r="S30" s="1"/>
  <c r="Q28"/>
  <c r="S28" s="1"/>
  <c r="W27"/>
  <c r="S27"/>
  <c r="Q90" i="3"/>
  <c r="S90"/>
  <c r="AR90" i="5" s="1"/>
  <c r="E90" i="3"/>
  <c r="Q89"/>
  <c r="M89"/>
  <c r="Q87"/>
  <c r="M87"/>
  <c r="Q86"/>
  <c r="S86" s="1"/>
  <c r="E86"/>
  <c r="Q84"/>
  <c r="S84" s="1"/>
  <c r="Q83"/>
  <c r="M83"/>
  <c r="E83"/>
  <c r="Q82"/>
  <c r="S82" s="1"/>
  <c r="AR82" i="5" s="1"/>
  <c r="E82" i="3"/>
  <c r="Q81"/>
  <c r="M81"/>
  <c r="E81"/>
  <c r="Q79"/>
  <c r="M79"/>
  <c r="S79" s="1"/>
  <c r="Q78"/>
  <c r="M78"/>
  <c r="E78"/>
  <c r="Q77"/>
  <c r="M77"/>
  <c r="Q76"/>
  <c r="M76"/>
  <c r="E76"/>
  <c r="Q75"/>
  <c r="M75"/>
  <c r="S75" s="1"/>
  <c r="E75"/>
  <c r="Q74"/>
  <c r="M74"/>
  <c r="Q73"/>
  <c r="M73"/>
  <c r="E73"/>
  <c r="Q71"/>
  <c r="S71" s="1"/>
  <c r="E71"/>
  <c r="Q69"/>
  <c r="M69"/>
  <c r="E69"/>
  <c r="Q68"/>
  <c r="M68"/>
  <c r="E68"/>
  <c r="Q67"/>
  <c r="M67"/>
  <c r="Q66"/>
  <c r="M66"/>
  <c r="Q65"/>
  <c r="M65"/>
  <c r="E65"/>
  <c r="Q63"/>
  <c r="M63"/>
  <c r="E63"/>
  <c r="Q61"/>
  <c r="M61"/>
  <c r="E61"/>
  <c r="Q60"/>
  <c r="M60"/>
  <c r="Q59"/>
  <c r="S59" s="1"/>
  <c r="AR59" i="5" s="1"/>
  <c r="Q58" i="3"/>
  <c r="M58"/>
  <c r="Q57"/>
  <c r="M57"/>
  <c r="S57" s="1"/>
  <c r="AR57" i="5" s="1"/>
  <c r="E57" i="3"/>
  <c r="Q56"/>
  <c r="S56" s="1"/>
  <c r="AR56" i="5" s="1"/>
  <c r="M56" i="3"/>
  <c r="E56"/>
  <c r="Q55"/>
  <c r="M55"/>
  <c r="S55" s="1"/>
  <c r="AR55" i="5" s="1"/>
  <c r="Q54" i="3"/>
  <c r="M54"/>
  <c r="Q53"/>
  <c r="O53"/>
  <c r="M53"/>
  <c r="E53"/>
  <c r="Q52"/>
  <c r="S52" s="1"/>
  <c r="U52" s="1"/>
  <c r="E52"/>
  <c r="Q51"/>
  <c r="M51"/>
  <c r="S51" s="1"/>
  <c r="E51"/>
  <c r="Q50"/>
  <c r="M50"/>
  <c r="E50"/>
  <c r="Q49"/>
  <c r="M49"/>
  <c r="E49"/>
  <c r="Q48"/>
  <c r="S48" s="1"/>
  <c r="AR48" i="5" s="1"/>
  <c r="Q47" i="3"/>
  <c r="M47"/>
  <c r="S47" s="1"/>
  <c r="AR47" i="5" s="1"/>
  <c r="E47" i="3"/>
  <c r="Q46"/>
  <c r="M46"/>
  <c r="S46"/>
  <c r="AR46" i="5" s="1"/>
  <c r="E46" i="3"/>
  <c r="Q43"/>
  <c r="M43"/>
  <c r="E43"/>
  <c r="Q40"/>
  <c r="M40"/>
  <c r="E40"/>
  <c r="Q39"/>
  <c r="S39" s="1"/>
  <c r="Q38"/>
  <c r="M38"/>
  <c r="Q37"/>
  <c r="M37"/>
  <c r="E37"/>
  <c r="Q36"/>
  <c r="M36"/>
  <c r="E36"/>
  <c r="Q35"/>
  <c r="M35"/>
  <c r="E35"/>
  <c r="Q34"/>
  <c r="M34"/>
  <c r="Q33"/>
  <c r="M33"/>
  <c r="E33"/>
  <c r="Q32"/>
  <c r="S32" s="1"/>
  <c r="U32" s="1"/>
  <c r="E32"/>
  <c r="Q31"/>
  <c r="M31"/>
  <c r="E31"/>
  <c r="Q30"/>
  <c r="M30"/>
  <c r="Q28"/>
  <c r="M28"/>
  <c r="Q27"/>
  <c r="M27"/>
  <c r="E27"/>
  <c r="S90" i="7"/>
  <c r="AM90" i="2" s="1"/>
  <c r="M89" i="7"/>
  <c r="S89" s="1"/>
  <c r="AM89" i="2" s="1"/>
  <c r="M87" i="7"/>
  <c r="S87" s="1"/>
  <c r="S86"/>
  <c r="AM86" i="2"/>
  <c r="E86" i="7"/>
  <c r="S84"/>
  <c r="U84" s="1"/>
  <c r="M83"/>
  <c r="S83" s="1"/>
  <c r="E83"/>
  <c r="S82"/>
  <c r="U82" s="1"/>
  <c r="AM82" i="2"/>
  <c r="V82" i="7"/>
  <c r="M81"/>
  <c r="S81" s="1"/>
  <c r="E81"/>
  <c r="M79"/>
  <c r="S79" s="1"/>
  <c r="M78"/>
  <c r="S78" s="1"/>
  <c r="AM78" i="2" s="1"/>
  <c r="E78" i="7"/>
  <c r="S77"/>
  <c r="V77" s="1"/>
  <c r="S76"/>
  <c r="AM76" i="2" s="1"/>
  <c r="E76" i="7"/>
  <c r="M75"/>
  <c r="S75" s="1"/>
  <c r="M74"/>
  <c r="S74" s="1"/>
  <c r="M73"/>
  <c r="S73" s="1"/>
  <c r="S71"/>
  <c r="AM71" i="2" s="1"/>
  <c r="M69" i="7"/>
  <c r="S69" s="1"/>
  <c r="AM69" i="2" s="1"/>
  <c r="S68" i="7"/>
  <c r="AM68" i="2" s="1"/>
  <c r="M67" i="7"/>
  <c r="S67" s="1"/>
  <c r="V67" s="1"/>
  <c r="M66"/>
  <c r="S66" s="1"/>
  <c r="M65"/>
  <c r="S65" s="1"/>
  <c r="V65" s="1"/>
  <c r="Q63"/>
  <c r="M63"/>
  <c r="S63" s="1"/>
  <c r="M61"/>
  <c r="S61"/>
  <c r="AM61" i="2" s="1"/>
  <c r="E61" i="7"/>
  <c r="M60"/>
  <c r="S60" s="1"/>
  <c r="AM60" i="2" s="1"/>
  <c r="S59" i="7"/>
  <c r="V59" s="1"/>
  <c r="U58"/>
  <c r="S58"/>
  <c r="V58"/>
  <c r="M57"/>
  <c r="S57" s="1"/>
  <c r="AM57" i="2" s="1"/>
  <c r="Q56" i="7"/>
  <c r="S56" s="1"/>
  <c r="M55"/>
  <c r="S55" s="1"/>
  <c r="AM55" i="2" s="1"/>
  <c r="M54" i="7"/>
  <c r="S54" s="1"/>
  <c r="Q53"/>
  <c r="M53"/>
  <c r="S52"/>
  <c r="AM52" i="2" s="1"/>
  <c r="S51" i="7"/>
  <c r="U51" s="1"/>
  <c r="Q50"/>
  <c r="M50"/>
  <c r="E50"/>
  <c r="M49"/>
  <c r="S49" s="1"/>
  <c r="S48"/>
  <c r="U48" s="1"/>
  <c r="M47"/>
  <c r="S47" s="1"/>
  <c r="M46"/>
  <c r="S46" s="1"/>
  <c r="AM46" i="2" s="1"/>
  <c r="E46" i="7"/>
  <c r="M43"/>
  <c r="S43" s="1"/>
  <c r="U43" s="1"/>
  <c r="S40"/>
  <c r="AM40" i="2" s="1"/>
  <c r="S39" i="7"/>
  <c r="U39" s="1"/>
  <c r="M38"/>
  <c r="S38" s="1"/>
  <c r="M37"/>
  <c r="S37" s="1"/>
  <c r="V37" s="1"/>
  <c r="E37"/>
  <c r="M36"/>
  <c r="S36" s="1"/>
  <c r="M35"/>
  <c r="S35" s="1"/>
  <c r="AM35" i="2" s="1"/>
  <c r="E35" i="7"/>
  <c r="M34"/>
  <c r="S34" s="1"/>
  <c r="AM34" i="2" s="1"/>
  <c r="S33" i="7"/>
  <c r="AM33" i="2" s="1"/>
  <c r="S32" i="7"/>
  <c r="E32"/>
  <c r="M31"/>
  <c r="S31" s="1"/>
  <c r="M30"/>
  <c r="S30"/>
  <c r="AM30" i="2" s="1"/>
  <c r="M28" i="7"/>
  <c r="S28" s="1"/>
  <c r="U28" s="1"/>
  <c r="M27"/>
  <c r="S27" s="1"/>
  <c r="E27"/>
  <c r="W91" i="8"/>
  <c r="E90"/>
  <c r="W90"/>
  <c r="K88"/>
  <c r="W88" s="1"/>
  <c r="E87"/>
  <c r="W87" s="1"/>
  <c r="G85"/>
  <c r="W85" s="1"/>
  <c r="W84"/>
  <c r="W83"/>
  <c r="W82"/>
  <c r="W80"/>
  <c r="Y79"/>
  <c r="W79"/>
  <c r="W78"/>
  <c r="W77"/>
  <c r="W76"/>
  <c r="W75"/>
  <c r="W74"/>
  <c r="W72"/>
  <c r="W70"/>
  <c r="W69"/>
  <c r="W68"/>
  <c r="K67"/>
  <c r="E67"/>
  <c r="W67" s="1"/>
  <c r="K66"/>
  <c r="W66" s="1"/>
  <c r="S64"/>
  <c r="K64"/>
  <c r="W62"/>
  <c r="K61"/>
  <c r="W61" s="1"/>
  <c r="W60"/>
  <c r="W59"/>
  <c r="W58"/>
  <c r="E57"/>
  <c r="W57" s="1"/>
  <c r="W56"/>
  <c r="W55"/>
  <c r="S54"/>
  <c r="K54"/>
  <c r="E54"/>
  <c r="W53"/>
  <c r="K52"/>
  <c r="I52"/>
  <c r="E52"/>
  <c r="M51"/>
  <c r="E51"/>
  <c r="W51"/>
  <c r="E50"/>
  <c r="W50" s="1"/>
  <c r="W49"/>
  <c r="W48"/>
  <c r="W47"/>
  <c r="W44"/>
  <c r="W41"/>
  <c r="E40"/>
  <c r="W40" s="1"/>
  <c r="W39"/>
  <c r="W38"/>
  <c r="W37"/>
  <c r="W36"/>
  <c r="W35"/>
  <c r="W34"/>
  <c r="Q33"/>
  <c r="E33"/>
  <c r="Q32"/>
  <c r="E32"/>
  <c r="W31"/>
  <c r="W29"/>
  <c r="I28"/>
  <c r="E28"/>
  <c r="W17"/>
  <c r="W16"/>
  <c r="E15"/>
  <c r="W15" s="1"/>
  <c r="Q14"/>
  <c r="E14"/>
  <c r="W14" s="1"/>
  <c r="W13"/>
  <c r="W12"/>
  <c r="U92" i="9"/>
  <c r="M92"/>
  <c r="K92"/>
  <c r="AA92" s="1"/>
  <c r="M91"/>
  <c r="K91"/>
  <c r="AC91" s="1"/>
  <c r="K89"/>
  <c r="AA89" s="1"/>
  <c r="U88"/>
  <c r="K88"/>
  <c r="U86"/>
  <c r="K86"/>
  <c r="K85"/>
  <c r="AA85" s="1"/>
  <c r="M84"/>
  <c r="K84"/>
  <c r="AA84" s="1"/>
  <c r="U83"/>
  <c r="M83"/>
  <c r="K83"/>
  <c r="K81"/>
  <c r="AA81" s="1"/>
  <c r="K80"/>
  <c r="AA80" s="1"/>
  <c r="AC80"/>
  <c r="U79"/>
  <c r="AC79"/>
  <c r="K79"/>
  <c r="AA79"/>
  <c r="U78"/>
  <c r="O78"/>
  <c r="AA78" s="1"/>
  <c r="U77"/>
  <c r="K77"/>
  <c r="AA77" s="1"/>
  <c r="O76"/>
  <c r="K76"/>
  <c r="K73"/>
  <c r="AA73" s="1"/>
  <c r="K75"/>
  <c r="AA75" s="1"/>
  <c r="O71"/>
  <c r="M71"/>
  <c r="K71"/>
  <c r="M70"/>
  <c r="K70"/>
  <c r="M69"/>
  <c r="K69"/>
  <c r="U68"/>
  <c r="M68"/>
  <c r="K68"/>
  <c r="M67"/>
  <c r="K67"/>
  <c r="AC67" s="1"/>
  <c r="K65"/>
  <c r="AA65" s="1"/>
  <c r="M63"/>
  <c r="K63"/>
  <c r="O62"/>
  <c r="M62"/>
  <c r="K62"/>
  <c r="K61"/>
  <c r="AC61" s="1"/>
  <c r="U60"/>
  <c r="M60"/>
  <c r="K60"/>
  <c r="K59"/>
  <c r="AA59" s="1"/>
  <c r="O58"/>
  <c r="AA58" s="1"/>
  <c r="M57"/>
  <c r="K57"/>
  <c r="K56"/>
  <c r="AC56" s="1"/>
  <c r="U55"/>
  <c r="AA55" s="1"/>
  <c r="M54"/>
  <c r="K54"/>
  <c r="M53"/>
  <c r="K53"/>
  <c r="AA53" s="1"/>
  <c r="O52"/>
  <c r="AA52" s="1"/>
  <c r="M51"/>
  <c r="K51"/>
  <c r="K50"/>
  <c r="AC50" s="1"/>
  <c r="K49"/>
  <c r="AA49" s="1"/>
  <c r="U48"/>
  <c r="AA48" s="1"/>
  <c r="Q45"/>
  <c r="AA45"/>
  <c r="U42"/>
  <c r="M42"/>
  <c r="K42"/>
  <c r="AA42"/>
  <c r="O41"/>
  <c r="M41"/>
  <c r="K41"/>
  <c r="U40"/>
  <c r="AA40" s="1"/>
  <c r="M39"/>
  <c r="K39"/>
  <c r="AC39" s="1"/>
  <c r="U38"/>
  <c r="AA38" s="1"/>
  <c r="U37"/>
  <c r="M37"/>
  <c r="K37"/>
  <c r="M36"/>
  <c r="K36"/>
  <c r="AC36" s="1"/>
  <c r="U35"/>
  <c r="M35"/>
  <c r="K35"/>
  <c r="U34"/>
  <c r="M34"/>
  <c r="K34"/>
  <c r="O33"/>
  <c r="K33"/>
  <c r="K32"/>
  <c r="AA32" s="1"/>
  <c r="M30"/>
  <c r="K30"/>
  <c r="O29"/>
  <c r="AA29" s="1"/>
  <c r="U90" i="10"/>
  <c r="Y90" s="1"/>
  <c r="M90"/>
  <c r="G90"/>
  <c r="E90" s="1"/>
  <c r="U89"/>
  <c r="Y89" s="1"/>
  <c r="M89"/>
  <c r="G89"/>
  <c r="E89" s="1"/>
  <c r="Y93"/>
  <c r="M93"/>
  <c r="E93"/>
  <c r="U87"/>
  <c r="Y87"/>
  <c r="M87"/>
  <c r="E87"/>
  <c r="U86"/>
  <c r="Y86"/>
  <c r="M86"/>
  <c r="G86"/>
  <c r="E86" s="1"/>
  <c r="U84"/>
  <c r="Y84" s="1"/>
  <c r="M84"/>
  <c r="G84"/>
  <c r="E84"/>
  <c r="U83"/>
  <c r="Y83"/>
  <c r="M83"/>
  <c r="E83"/>
  <c r="U82"/>
  <c r="Y82"/>
  <c r="M82"/>
  <c r="G82"/>
  <c r="E82" s="1"/>
  <c r="U81"/>
  <c r="Y81" s="1"/>
  <c r="M81"/>
  <c r="E81"/>
  <c r="E80"/>
  <c r="M80"/>
  <c r="Y80"/>
  <c r="AB80" s="1"/>
  <c r="U79"/>
  <c r="Y79" s="1"/>
  <c r="M79"/>
  <c r="G79"/>
  <c r="E79"/>
  <c r="U78"/>
  <c r="Y78"/>
  <c r="AA79" i="8" s="1"/>
  <c r="AC79" s="1"/>
  <c r="M78" i="10"/>
  <c r="G78"/>
  <c r="E78" s="1"/>
  <c r="U77"/>
  <c r="Y77" s="1"/>
  <c r="M77"/>
  <c r="E77"/>
  <c r="U76"/>
  <c r="Y76" s="1"/>
  <c r="M76"/>
  <c r="G76"/>
  <c r="E76" s="1"/>
  <c r="U75"/>
  <c r="Y75" s="1"/>
  <c r="M75"/>
  <c r="G75"/>
  <c r="E75" s="1"/>
  <c r="U74"/>
  <c r="Y74" s="1"/>
  <c r="M74"/>
  <c r="G74"/>
  <c r="E74" s="1"/>
  <c r="U73"/>
  <c r="Y73" s="1"/>
  <c r="M73"/>
  <c r="E73"/>
  <c r="U71"/>
  <c r="Y71" s="1"/>
  <c r="M71"/>
  <c r="G71"/>
  <c r="E71" s="1"/>
  <c r="U69"/>
  <c r="Y69" s="1"/>
  <c r="M69"/>
  <c r="G69"/>
  <c r="E69" s="1"/>
  <c r="U68"/>
  <c r="Y68" s="1"/>
  <c r="M68"/>
  <c r="G68"/>
  <c r="E68" s="1"/>
  <c r="Y67"/>
  <c r="AA68" i="8" s="1"/>
  <c r="M67" i="10"/>
  <c r="G67"/>
  <c r="E67" s="1"/>
  <c r="U66"/>
  <c r="Y66" s="1"/>
  <c r="M66"/>
  <c r="I66"/>
  <c r="G66"/>
  <c r="U65"/>
  <c r="Y65" s="1"/>
  <c r="M65"/>
  <c r="E65"/>
  <c r="U63"/>
  <c r="Y63" s="1"/>
  <c r="M63"/>
  <c r="E63"/>
  <c r="E64"/>
  <c r="M64"/>
  <c r="Y64"/>
  <c r="AB64" s="1"/>
  <c r="U61"/>
  <c r="Y61" s="1"/>
  <c r="AB61" s="1"/>
  <c r="M61"/>
  <c r="E61"/>
  <c r="U60"/>
  <c r="Y60" s="1"/>
  <c r="AA61" i="8" s="1"/>
  <c r="M60" i="10"/>
  <c r="E60"/>
  <c r="U59"/>
  <c r="Y59" s="1"/>
  <c r="M59"/>
  <c r="G59"/>
  <c r="E59" s="1"/>
  <c r="U58"/>
  <c r="Y58" s="1"/>
  <c r="M58"/>
  <c r="G58"/>
  <c r="E58" s="1"/>
  <c r="U57"/>
  <c r="Y57" s="1"/>
  <c r="M57"/>
  <c r="E57"/>
  <c r="U56"/>
  <c r="Y56" s="1"/>
  <c r="O56"/>
  <c r="G56"/>
  <c r="E56" s="1"/>
  <c r="U55"/>
  <c r="Y55" s="1"/>
  <c r="M55"/>
  <c r="E55"/>
  <c r="U54"/>
  <c r="Y54" s="1"/>
  <c r="M54"/>
  <c r="G54"/>
  <c r="E54" s="1"/>
  <c r="U53"/>
  <c r="Y53" s="1"/>
  <c r="M53"/>
  <c r="E53"/>
  <c r="U52"/>
  <c r="Y52" s="1"/>
  <c r="M52"/>
  <c r="G52"/>
  <c r="E52" s="1"/>
  <c r="U51"/>
  <c r="Y51" s="1"/>
  <c r="M51"/>
  <c r="G51"/>
  <c r="E51" s="1"/>
  <c r="U50"/>
  <c r="Y50" s="1"/>
  <c r="M50"/>
  <c r="G50"/>
  <c r="E50" s="1"/>
  <c r="U49"/>
  <c r="Y49" s="1"/>
  <c r="M49"/>
  <c r="G49"/>
  <c r="E49" s="1"/>
  <c r="U48"/>
  <c r="Y48" s="1"/>
  <c r="M48"/>
  <c r="G48"/>
  <c r="E48" s="1"/>
  <c r="U47"/>
  <c r="Y47" s="1"/>
  <c r="M47"/>
  <c r="G47"/>
  <c r="E47" s="1"/>
  <c r="U46"/>
  <c r="Y46" s="1"/>
  <c r="M46"/>
  <c r="E46"/>
  <c r="U43"/>
  <c r="Y43" s="1"/>
  <c r="M43"/>
  <c r="E43"/>
  <c r="U40"/>
  <c r="Y40" s="1"/>
  <c r="M40"/>
  <c r="G40"/>
  <c r="E40" s="1"/>
  <c r="U39"/>
  <c r="Y39" s="1"/>
  <c r="AA40" i="8" s="1"/>
  <c r="M39" i="10"/>
  <c r="G39"/>
  <c r="E39" s="1"/>
  <c r="U38"/>
  <c r="Y38" s="1"/>
  <c r="M38"/>
  <c r="E38"/>
  <c r="U37"/>
  <c r="Y37" s="1"/>
  <c r="M37"/>
  <c r="G37"/>
  <c r="E37" s="1"/>
  <c r="U36"/>
  <c r="Y36" s="1"/>
  <c r="M36"/>
  <c r="E36"/>
  <c r="U35"/>
  <c r="Y35" s="1"/>
  <c r="M35"/>
  <c r="G35"/>
  <c r="E35" s="1"/>
  <c r="U34"/>
  <c r="Y34" s="1"/>
  <c r="M34"/>
  <c r="G34"/>
  <c r="E34" s="1"/>
  <c r="U33"/>
  <c r="Y33" s="1"/>
  <c r="AA34" i="8" s="1"/>
  <c r="M33" i="10"/>
  <c r="G33"/>
  <c r="E33" s="1"/>
  <c r="U32"/>
  <c r="Y32" s="1"/>
  <c r="M32"/>
  <c r="G32"/>
  <c r="E32" s="1"/>
  <c r="U31"/>
  <c r="Y31" s="1"/>
  <c r="AA32" i="8" s="1"/>
  <c r="M31" i="10"/>
  <c r="G31"/>
  <c r="E31" s="1"/>
  <c r="U30"/>
  <c r="Y30" s="1"/>
  <c r="M30"/>
  <c r="G30"/>
  <c r="E30" s="1"/>
  <c r="U28"/>
  <c r="Y28" s="1"/>
  <c r="M28"/>
  <c r="G28"/>
  <c r="E28" s="1"/>
  <c r="U27"/>
  <c r="Y27" s="1"/>
  <c r="M27"/>
  <c r="G27"/>
  <c r="E27" s="1"/>
  <c r="E119" i="14"/>
  <c r="E122" i="6"/>
  <c r="K115"/>
  <c r="W115"/>
  <c r="AC112" i="9"/>
  <c r="Y105" i="10"/>
  <c r="AB105" s="1"/>
  <c r="E107" i="6"/>
  <c r="E106"/>
  <c r="E103" i="14"/>
  <c r="E105" i="6"/>
  <c r="E99" i="14"/>
  <c r="E98"/>
  <c r="K160"/>
  <c r="AC163" i="9"/>
  <c r="AI155" i="14"/>
  <c r="E155"/>
  <c r="S159" i="3"/>
  <c r="U159" s="1"/>
  <c r="E152" i="14"/>
  <c r="E151"/>
  <c r="E155" i="6"/>
  <c r="S154" i="12"/>
  <c r="W154" s="1"/>
  <c r="AH154" i="5"/>
  <c r="S154" i="4"/>
  <c r="AC154" i="2"/>
  <c r="S154" i="1"/>
  <c r="S154" i="3"/>
  <c r="U154" s="1"/>
  <c r="S154" i="7"/>
  <c r="W155" i="8"/>
  <c r="AC156" i="9"/>
  <c r="AA156"/>
  <c r="Y154" i="10"/>
  <c r="AA155" i="8" s="1"/>
  <c r="M154" i="10"/>
  <c r="E154"/>
  <c r="E154" i="6"/>
  <c r="AA148" i="9"/>
  <c r="E141" i="14"/>
  <c r="E145" i="6"/>
  <c r="E140" i="14"/>
  <c r="AC142" i="2"/>
  <c r="E139" i="6"/>
  <c r="E131" i="14"/>
  <c r="K199" i="6"/>
  <c r="E199"/>
  <c r="AZ199"/>
  <c r="E234" i="14"/>
  <c r="AC195" i="2"/>
  <c r="E251" i="14"/>
  <c r="E255" i="6"/>
  <c r="E249" i="14"/>
  <c r="E250"/>
  <c r="S235" i="3"/>
  <c r="E234" i="6"/>
  <c r="S233" i="4"/>
  <c r="AC236" i="9"/>
  <c r="Y234" i="10"/>
  <c r="AA235" i="8" s="1"/>
  <c r="AA236" i="9"/>
  <c r="E233" i="13"/>
  <c r="E237" i="14"/>
  <c r="E241" i="6"/>
  <c r="E233" i="14"/>
  <c r="E242"/>
  <c r="E231" i="10"/>
  <c r="Y231"/>
  <c r="AB231" s="1"/>
  <c r="M231"/>
  <c r="AA229" i="9"/>
  <c r="AC229"/>
  <c r="E221" i="14"/>
  <c r="E225" i="6"/>
  <c r="S225" i="4"/>
  <c r="S223"/>
  <c r="S222"/>
  <c r="S222" i="3"/>
  <c r="AC221" i="2"/>
  <c r="E220" i="6"/>
  <c r="AJ217"/>
  <c r="Y218" i="10"/>
  <c r="AB218" s="1"/>
  <c r="S218" i="12"/>
  <c r="W218" s="1"/>
  <c r="E213" i="14"/>
  <c r="S217" i="3"/>
  <c r="U217" s="1"/>
  <c r="E215" i="6"/>
  <c r="AA189" i="9"/>
  <c r="AA207"/>
  <c r="AC207"/>
  <c r="E193" i="10"/>
  <c r="E194"/>
  <c r="E210" i="14"/>
  <c r="S214" i="3"/>
  <c r="S210" i="4"/>
  <c r="S203" i="7"/>
  <c r="S203" i="1"/>
  <c r="AJ200" i="6"/>
  <c r="AT200" s="1"/>
  <c r="AJ199"/>
  <c r="AT199" s="1"/>
  <c r="S199" i="3"/>
  <c r="AH199" i="5"/>
  <c r="AR199" s="1"/>
  <c r="S200" i="3"/>
  <c r="AH200" i="5"/>
  <c r="S196" i="12"/>
  <c r="W196" s="1"/>
  <c r="S198"/>
  <c r="W198" s="1"/>
  <c r="AH198" i="5"/>
  <c r="S194" i="3"/>
  <c r="S194" i="7"/>
  <c r="E194" i="6"/>
  <c r="E195"/>
  <c r="AC195" i="9"/>
  <c r="AI205" i="14"/>
  <c r="AS205" s="1"/>
  <c r="W205"/>
  <c r="E209" i="10"/>
  <c r="AC210" i="9"/>
  <c r="AC209"/>
  <c r="AC211"/>
  <c r="E192" i="6"/>
  <c r="E187" i="14"/>
  <c r="E186"/>
  <c r="AC192" i="9"/>
  <c r="AA192"/>
  <c r="S188" i="12"/>
  <c r="W188" s="1"/>
  <c r="Y187" i="10"/>
  <c r="AB187" s="1"/>
  <c r="AC189" i="9"/>
  <c r="W188" i="8"/>
  <c r="E183" i="14"/>
  <c r="S182" i="12"/>
  <c r="W182" s="1"/>
  <c r="E181" i="6"/>
  <c r="S181" i="3"/>
  <c r="U181" s="1"/>
  <c r="AC183" i="9"/>
  <c r="AA183"/>
  <c r="AC184"/>
  <c r="AA184"/>
  <c r="E180" i="10"/>
  <c r="E181"/>
  <c r="Y181"/>
  <c r="AB181" s="1"/>
  <c r="M181"/>
  <c r="S180" i="3"/>
  <c r="U180" s="1"/>
  <c r="M180" i="10"/>
  <c r="M179"/>
  <c r="W178" i="6"/>
  <c r="Y178" i="10"/>
  <c r="AA179" i="8" s="1"/>
  <c r="AC179" i="9"/>
  <c r="M177" i="10"/>
  <c r="E177"/>
  <c r="S177" i="3"/>
  <c r="AH177" i="5"/>
  <c r="E172" i="14"/>
  <c r="E160"/>
  <c r="AY160"/>
  <c r="S175" i="12"/>
  <c r="W175" s="1"/>
  <c r="S175" i="1"/>
  <c r="S173" i="3"/>
  <c r="S173" i="7"/>
  <c r="S172" i="1"/>
  <c r="S173"/>
  <c r="E173" i="10"/>
  <c r="E172"/>
  <c r="AJ171" i="6"/>
  <c r="AT171" s="1"/>
  <c r="AJ170"/>
  <c r="AT170" s="1"/>
  <c r="S170" i="3"/>
  <c r="S171"/>
  <c r="AC171" i="2"/>
  <c r="S171" i="1"/>
  <c r="S172" i="7"/>
  <c r="AC172" i="2"/>
  <c r="AM172"/>
  <c r="AK170" s="1"/>
  <c r="AC173" i="9"/>
  <c r="M170" i="10"/>
  <c r="S170" i="12"/>
  <c r="W170" s="1"/>
  <c r="AC172" i="9"/>
  <c r="AA172"/>
  <c r="Y170" i="10"/>
  <c r="AB170" s="1"/>
  <c r="E170"/>
  <c r="S167" i="12"/>
  <c r="S164"/>
  <c r="W167"/>
  <c r="AI159" i="13"/>
  <c r="AS159" s="1"/>
  <c r="BM162" i="14"/>
  <c r="S167" i="7"/>
  <c r="AC167" i="2"/>
  <c r="AC169" i="9"/>
  <c r="E167" i="10"/>
  <c r="S166" i="12"/>
  <c r="W166" s="1"/>
  <c r="AC166" i="2"/>
  <c r="AC164"/>
  <c r="W164" i="12"/>
  <c r="Y166" i="10"/>
  <c r="AB166" s="1"/>
  <c r="Y164"/>
  <c r="M166"/>
  <c r="E164"/>
  <c r="AE27" i="14"/>
  <c r="G27"/>
  <c r="AF29" i="6"/>
  <c r="G29"/>
  <c r="E26" i="5"/>
  <c r="Q26" i="4"/>
  <c r="E26" i="2"/>
  <c r="Q26" i="1"/>
  <c r="Q26" i="3"/>
  <c r="M26"/>
  <c r="E26"/>
  <c r="M26" i="7"/>
  <c r="E26"/>
  <c r="Q27" i="8"/>
  <c r="U26" i="10"/>
  <c r="G26"/>
  <c r="E26" s="1"/>
  <c r="G25" i="12"/>
  <c r="BK26" i="14"/>
  <c r="AE26"/>
  <c r="M26"/>
  <c r="G26"/>
  <c r="BL28" i="6"/>
  <c r="AF28"/>
  <c r="M28"/>
  <c r="G28"/>
  <c r="G25" i="5"/>
  <c r="E25"/>
  <c r="W25" i="4"/>
  <c r="G25" i="2"/>
  <c r="E25"/>
  <c r="Q25" i="1"/>
  <c r="Q25" i="3"/>
  <c r="M25"/>
  <c r="E26" i="8"/>
  <c r="U27" i="9"/>
  <c r="U25" i="10"/>
  <c r="G25"/>
  <c r="BK24" i="14"/>
  <c r="AE24"/>
  <c r="W23" i="4"/>
  <c r="Q23"/>
  <c r="S23" s="1"/>
  <c r="Q23" i="1"/>
  <c r="Q23" i="3"/>
  <c r="M23"/>
  <c r="M23" i="7"/>
  <c r="K25" i="9"/>
  <c r="U23" i="10"/>
  <c r="G23"/>
  <c r="BI23" i="14"/>
  <c r="AE23"/>
  <c r="AF25" i="6"/>
  <c r="G22" i="5"/>
  <c r="W22" i="4"/>
  <c r="Q22" i="1"/>
  <c r="Q22" i="3"/>
  <c r="E23" i="8"/>
  <c r="U24" i="9"/>
  <c r="M24"/>
  <c r="K24"/>
  <c r="U22" i="10"/>
  <c r="G22"/>
  <c r="G20" i="5"/>
  <c r="G20" i="2"/>
  <c r="Q20" i="3"/>
  <c r="M20"/>
  <c r="E20"/>
  <c r="M20" i="7"/>
  <c r="E20"/>
  <c r="E21" i="8"/>
  <c r="K22" i="9"/>
  <c r="U20" i="10"/>
  <c r="G20"/>
  <c r="AE20" i="14"/>
  <c r="K20"/>
  <c r="W19" i="4"/>
  <c r="Q19" i="3"/>
  <c r="M21" i="9"/>
  <c r="K21"/>
  <c r="U19" i="10"/>
  <c r="BK19" i="14"/>
  <c r="AE19"/>
  <c r="BL21" i="6"/>
  <c r="AF21"/>
  <c r="W18" i="4"/>
  <c r="Q18" i="1"/>
  <c r="Q18" i="3"/>
  <c r="M18"/>
  <c r="E18"/>
  <c r="M18" i="7"/>
  <c r="E18"/>
  <c r="Q19" i="8"/>
  <c r="K20" i="9"/>
  <c r="U18" i="10"/>
  <c r="BK17" i="14"/>
  <c r="AE17"/>
  <c r="AF19" i="6"/>
  <c r="W16" i="4"/>
  <c r="Q16"/>
  <c r="Q16" i="3"/>
  <c r="M18" i="9"/>
  <c r="K18"/>
  <c r="U16" i="10"/>
  <c r="G16"/>
  <c r="Q15" i="12"/>
  <c r="BK16" i="14"/>
  <c r="BI16"/>
  <c r="AE16"/>
  <c r="AF18" i="6"/>
  <c r="W15" i="4"/>
  <c r="Q15"/>
  <c r="Q15" i="1"/>
  <c r="Q15" i="3"/>
  <c r="M15"/>
  <c r="M15" i="7"/>
  <c r="M17" i="9"/>
  <c r="K17"/>
  <c r="U15" i="10"/>
  <c r="AE15" i="14"/>
  <c r="M15"/>
  <c r="G15"/>
  <c r="AF17" i="6"/>
  <c r="G17"/>
  <c r="G14" i="5"/>
  <c r="Q14" i="4"/>
  <c r="G14" i="2"/>
  <c r="Q14" i="1"/>
  <c r="Q14" i="3"/>
  <c r="M14"/>
  <c r="E14"/>
  <c r="E14" i="7"/>
  <c r="O16" i="9"/>
  <c r="M16"/>
  <c r="U14" i="10"/>
  <c r="G14"/>
  <c r="O13" i="12"/>
  <c r="K13"/>
  <c r="AE14" i="14"/>
  <c r="G13" i="5"/>
  <c r="E13"/>
  <c r="W13" i="4"/>
  <c r="Q13"/>
  <c r="S13" s="1"/>
  <c r="G13" i="2"/>
  <c r="E13"/>
  <c r="Q13" i="1"/>
  <c r="Q13" i="3"/>
  <c r="M13"/>
  <c r="E13"/>
  <c r="M13" i="7"/>
  <c r="E13"/>
  <c r="M15" i="9"/>
  <c r="K15"/>
  <c r="U13" i="10"/>
  <c r="I13"/>
  <c r="G13"/>
  <c r="K12" i="12"/>
  <c r="AE13" i="14"/>
  <c r="AF15" i="6"/>
  <c r="Q12" i="3"/>
  <c r="W12" i="4"/>
  <c r="Q12"/>
  <c r="Q12" i="1"/>
  <c r="U14" i="9"/>
  <c r="M14"/>
  <c r="K14"/>
  <c r="U12" i="10"/>
  <c r="G12"/>
  <c r="BK13" i="13"/>
  <c r="AE13"/>
  <c r="BI12" i="14"/>
  <c r="AE12"/>
  <c r="AF14" i="6"/>
  <c r="W11" i="4"/>
  <c r="Q11"/>
  <c r="S11" s="1"/>
  <c r="W11" i="1"/>
  <c r="Q11" i="3"/>
  <c r="U13" i="9"/>
  <c r="M13"/>
  <c r="K13"/>
  <c r="U11" i="10"/>
  <c r="G11"/>
  <c r="AE11" i="14"/>
  <c r="AF13" i="6"/>
  <c r="S13"/>
  <c r="Q10" i="3"/>
  <c r="M10"/>
  <c r="E10"/>
  <c r="M10" i="7"/>
  <c r="S10" s="1"/>
  <c r="I10"/>
  <c r="M12" i="9"/>
  <c r="K12"/>
  <c r="U10" i="10"/>
  <c r="Y10" s="1"/>
  <c r="AA11" i="8" s="1"/>
  <c r="Y256" i="10"/>
  <c r="AA257" i="8" s="1"/>
  <c r="Y255" i="10"/>
  <c r="AA256" i="8" s="1"/>
  <c r="Y254" i="10"/>
  <c r="AA255" i="8" s="1"/>
  <c r="Y253" i="10"/>
  <c r="AA254" i="8" s="1"/>
  <c r="Y252" i="10"/>
  <c r="AA253" i="8" s="1"/>
  <c r="Y251" i="10"/>
  <c r="AA252" i="8" s="1"/>
  <c r="Y250" i="10"/>
  <c r="AA251" i="8" s="1"/>
  <c r="Y249" i="10"/>
  <c r="AA250" i="8" s="1"/>
  <c r="Y248" i="10"/>
  <c r="AA249" i="8" s="1"/>
  <c r="Y247" i="10"/>
  <c r="AA248" i="8" s="1"/>
  <c r="S244" i="1"/>
  <c r="Y246" i="10"/>
  <c r="AA247" i="8" s="1"/>
  <c r="Y245" i="10"/>
  <c r="AA246" i="8" s="1"/>
  <c r="Y244" i="10"/>
  <c r="AA245" i="8" s="1"/>
  <c r="Y243" i="10"/>
  <c r="AA244" i="8" s="1"/>
  <c r="Y242" i="10"/>
  <c r="AA243" i="8" s="1"/>
  <c r="Y239" i="10"/>
  <c r="AA240" i="8" s="1"/>
  <c r="Y238" i="10"/>
  <c r="AA239" i="8" s="1"/>
  <c r="Y237" i="10"/>
  <c r="AA238" i="8" s="1"/>
  <c r="Y236" i="10"/>
  <c r="AA237" i="8" s="1"/>
  <c r="Y241" i="10"/>
  <c r="AA242" i="8" s="1"/>
  <c r="Y235" i="10"/>
  <c r="AA236" i="8" s="1"/>
  <c r="AB234" i="10"/>
  <c r="M234"/>
  <c r="E234"/>
  <c r="S240" i="12"/>
  <c r="W240" s="1"/>
  <c r="BM235" i="14"/>
  <c r="E235"/>
  <c r="K235"/>
  <c r="AY235" s="1"/>
  <c r="AI235"/>
  <c r="AS235" s="1"/>
  <c r="W235"/>
  <c r="BN239" i="6"/>
  <c r="E239"/>
  <c r="K239"/>
  <c r="AZ239" s="1"/>
  <c r="AJ239"/>
  <c r="AT239" s="1"/>
  <c r="W239"/>
  <c r="AH239" i="5"/>
  <c r="S239" i="3"/>
  <c r="U239" s="1"/>
  <c r="S239" i="4"/>
  <c r="AC239" i="2"/>
  <c r="S240" i="7"/>
  <c r="S239" i="1"/>
  <c r="AC242" i="9"/>
  <c r="W241" i="8"/>
  <c r="Y240" i="10"/>
  <c r="AA241" i="8" s="1"/>
  <c r="AC241" s="1"/>
  <c r="AA242" i="9"/>
  <c r="M240" i="10"/>
  <c r="E240"/>
  <c r="S228" i="12"/>
  <c r="W228" s="1"/>
  <c r="E224" i="14"/>
  <c r="K224"/>
  <c r="AY224"/>
  <c r="AI224"/>
  <c r="AS224"/>
  <c r="W224"/>
  <c r="BN228" i="6"/>
  <c r="E228"/>
  <c r="K228"/>
  <c r="AZ228" s="1"/>
  <c r="AJ228"/>
  <c r="AT228" s="1"/>
  <c r="W228"/>
  <c r="AH228" i="5"/>
  <c r="S228" i="3"/>
  <c r="S228" i="4"/>
  <c r="AC228" i="2"/>
  <c r="S228" i="7"/>
  <c r="S228" i="1"/>
  <c r="AC230" i="9"/>
  <c r="W229" i="8"/>
  <c r="Y228" i="10"/>
  <c r="AA229" i="8" s="1"/>
  <c r="AC229" s="1"/>
  <c r="AA230" i="9"/>
  <c r="AA258"/>
  <c r="AA257"/>
  <c r="AA256"/>
  <c r="AA255"/>
  <c r="AA254"/>
  <c r="AA253"/>
  <c r="AA252"/>
  <c r="AA251"/>
  <c r="AA250"/>
  <c r="AA249"/>
  <c r="AA248"/>
  <c r="AA247"/>
  <c r="AA246"/>
  <c r="AA245"/>
  <c r="AA244"/>
  <c r="AA243"/>
  <c r="AA241"/>
  <c r="AA240"/>
  <c r="AA239"/>
  <c r="AA238"/>
  <c r="AA237"/>
  <c r="AA235"/>
  <c r="AA234"/>
  <c r="AA232"/>
  <c r="AA231"/>
  <c r="E228" i="10"/>
  <c r="M228"/>
  <c r="S227" i="12"/>
  <c r="W227" s="1"/>
  <c r="E223" i="14"/>
  <c r="K223"/>
  <c r="AY223" s="1"/>
  <c r="AI223"/>
  <c r="AS223" s="1"/>
  <c r="BM223"/>
  <c r="W223"/>
  <c r="BN227" i="6"/>
  <c r="E227"/>
  <c r="K227"/>
  <c r="AZ227" s="1"/>
  <c r="AJ227"/>
  <c r="AT227" s="1"/>
  <c r="W227"/>
  <c r="AH227" i="5"/>
  <c r="S227" i="3"/>
  <c r="S227" i="4"/>
  <c r="AC227" i="2"/>
  <c r="S227" i="7"/>
  <c r="S227" i="1"/>
  <c r="V227" i="7"/>
  <c r="W228" i="8"/>
  <c r="Y227" i="10"/>
  <c r="AA228" i="8" s="1"/>
  <c r="AC228" s="1"/>
  <c r="M227" i="10"/>
  <c r="E227"/>
  <c r="S225" i="12"/>
  <c r="W225" s="1"/>
  <c r="K221" i="14"/>
  <c r="AY221" s="1"/>
  <c r="AI221"/>
  <c r="AS221" s="1"/>
  <c r="BM221"/>
  <c r="W221"/>
  <c r="BN225" i="6"/>
  <c r="K225"/>
  <c r="AZ225" s="1"/>
  <c r="AJ225"/>
  <c r="AT225" s="1"/>
  <c r="W225"/>
  <c r="AH225" i="5"/>
  <c r="S225" i="3"/>
  <c r="AC225" i="2"/>
  <c r="S225" i="7"/>
  <c r="S225" i="1"/>
  <c r="U225" i="3"/>
  <c r="AC227" i="9"/>
  <c r="W226" i="8"/>
  <c r="Y225" i="10"/>
  <c r="AA226" i="8" s="1"/>
  <c r="AA227" i="9"/>
  <c r="M225" i="10"/>
  <c r="M226"/>
  <c r="M229"/>
  <c r="M230"/>
  <c r="M232"/>
  <c r="M233"/>
  <c r="M235"/>
  <c r="M236"/>
  <c r="M237"/>
  <c r="M238"/>
  <c r="M239"/>
  <c r="M241"/>
  <c r="M242"/>
  <c r="M243"/>
  <c r="M244"/>
  <c r="M245"/>
  <c r="M246"/>
  <c r="M247"/>
  <c r="M248"/>
  <c r="M249"/>
  <c r="M250"/>
  <c r="M251"/>
  <c r="M252"/>
  <c r="M253"/>
  <c r="M254"/>
  <c r="M255"/>
  <c r="M256"/>
  <c r="E225"/>
  <c r="S223" i="12"/>
  <c r="W223" s="1"/>
  <c r="BM219" i="14"/>
  <c r="E219"/>
  <c r="K219"/>
  <c r="AY219" s="1"/>
  <c r="AI219"/>
  <c r="AS219" s="1"/>
  <c r="W219"/>
  <c r="AH223" i="5"/>
  <c r="S223" i="3"/>
  <c r="AC223" i="2"/>
  <c r="S223" i="7"/>
  <c r="Y223" i="10"/>
  <c r="AA224" i="8" s="1"/>
  <c r="W224"/>
  <c r="AC225" i="9"/>
  <c r="AA225"/>
  <c r="BN219" i="6"/>
  <c r="E219"/>
  <c r="K219"/>
  <c r="AZ219" s="1"/>
  <c r="AJ219"/>
  <c r="AT219" s="1"/>
  <c r="W219"/>
  <c r="S210" i="12"/>
  <c r="W210" s="1"/>
  <c r="BM201" i="13"/>
  <c r="E201"/>
  <c r="K201"/>
  <c r="AY201" s="1"/>
  <c r="AI201"/>
  <c r="AS201" s="1"/>
  <c r="W201"/>
  <c r="BM206" i="14"/>
  <c r="E206"/>
  <c r="K206"/>
  <c r="AI206"/>
  <c r="AS206"/>
  <c r="W206"/>
  <c r="BN210" i="6"/>
  <c r="E210"/>
  <c r="K210"/>
  <c r="AZ210" s="1"/>
  <c r="AJ210"/>
  <c r="AT210" s="1"/>
  <c r="W210"/>
  <c r="AH210" i="5"/>
  <c r="S210" i="3"/>
  <c r="U210" s="1"/>
  <c r="AC210" i="2"/>
  <c r="S210" i="7"/>
  <c r="S210" i="1"/>
  <c r="U210" i="7"/>
  <c r="W211" i="8"/>
  <c r="Y210" i="10"/>
  <c r="AA211" i="8" s="1"/>
  <c r="AC212" i="9"/>
  <c r="AA212"/>
  <c r="M210" i="10"/>
  <c r="E210"/>
  <c r="Y233"/>
  <c r="AA234" i="8" s="1"/>
  <c r="Y232" i="10"/>
  <c r="AA233" i="8" s="1"/>
  <c r="Y230" i="10"/>
  <c r="AA231" i="8"/>
  <c r="Y229" i="10"/>
  <c r="AA230" i="8"/>
  <c r="Y226" i="10"/>
  <c r="AA227" i="8"/>
  <c r="Y224" i="10"/>
  <c r="AA225" i="8"/>
  <c r="Y222" i="10"/>
  <c r="AA223" i="8" s="1"/>
  <c r="Y221" i="10"/>
  <c r="AA222" i="8" s="1"/>
  <c r="Y220" i="10"/>
  <c r="AA221" i="8" s="1"/>
  <c r="Y219" i="10"/>
  <c r="AA220" i="8" s="1"/>
  <c r="Y217" i="10"/>
  <c r="AA218" i="8" s="1"/>
  <c r="Y216" i="10"/>
  <c r="AA217" i="8" s="1"/>
  <c r="Y215" i="10"/>
  <c r="AA216" i="8" s="1"/>
  <c r="Y214" i="10"/>
  <c r="AA215" i="8" s="1"/>
  <c r="Y213" i="10"/>
  <c r="AA214" i="8" s="1"/>
  <c r="Y212" i="10"/>
  <c r="AA213" i="8" s="1"/>
  <c r="Y211" i="10"/>
  <c r="AA212" i="8" s="1"/>
  <c r="Y209" i="10"/>
  <c r="AA210" i="8" s="1"/>
  <c r="Y208" i="10"/>
  <c r="AA209" i="8" s="1"/>
  <c r="Y207" i="10"/>
  <c r="AA208" i="8" s="1"/>
  <c r="Y206" i="10"/>
  <c r="AA207" i="8" s="1"/>
  <c r="Y205" i="10"/>
  <c r="AA206" i="8" s="1"/>
  <c r="Y204" i="10"/>
  <c r="AA205" i="8" s="1"/>
  <c r="BM190" i="13"/>
  <c r="E190"/>
  <c r="K190"/>
  <c r="AY190" s="1"/>
  <c r="AI190"/>
  <c r="AS190" s="1"/>
  <c r="W190"/>
  <c r="AA197" i="9"/>
  <c r="Y196" i="10"/>
  <c r="AA197" i="8" s="1"/>
  <c r="Y195" i="10"/>
  <c r="AB195" s="1"/>
  <c r="Y194"/>
  <c r="AA195" i="8" s="1"/>
  <c r="Y193" i="10"/>
  <c r="AA194" i="8" s="1"/>
  <c r="Y192" i="10"/>
  <c r="AA193" i="8" s="1"/>
  <c r="Y191" i="10"/>
  <c r="AA192" i="8" s="1"/>
  <c r="AH255" i="5"/>
  <c r="S255" i="3"/>
  <c r="AH254" i="5"/>
  <c r="S254" i="3"/>
  <c r="AH253" i="5"/>
  <c r="S253" i="3"/>
  <c r="AH252" i="5"/>
  <c r="S252" i="3"/>
  <c r="AH251" i="5"/>
  <c r="S251" i="3"/>
  <c r="AH250" i="5"/>
  <c r="S250" i="3"/>
  <c r="AH249" i="5"/>
  <c r="S249" i="3"/>
  <c r="AH248" i="5"/>
  <c r="S248" i="3"/>
  <c r="AH247" i="5"/>
  <c r="S247" i="3"/>
  <c r="AH246" i="5"/>
  <c r="S246" i="3"/>
  <c r="AH245" i="5"/>
  <c r="S245" i="3"/>
  <c r="AH244" i="5"/>
  <c r="S244" i="3"/>
  <c r="AH243" i="5"/>
  <c r="S243" i="3"/>
  <c r="AH242" i="5"/>
  <c r="S242" i="3"/>
  <c r="AH241" i="5"/>
  <c r="S241" i="3"/>
  <c r="AH240" i="5"/>
  <c r="S240" i="3"/>
  <c r="AH238" i="5"/>
  <c r="S238" i="3"/>
  <c r="AH237" i="5"/>
  <c r="S237" i="3"/>
  <c r="AH236" i="5"/>
  <c r="S236" i="3"/>
  <c r="AH235" i="5"/>
  <c r="AH234"/>
  <c r="S234" i="3"/>
  <c r="AR234" i="5" s="1"/>
  <c r="AH233"/>
  <c r="S233" i="3"/>
  <c r="AR233" i="5" s="1"/>
  <c r="AH232"/>
  <c r="S232" i="3"/>
  <c r="AH231" i="5"/>
  <c r="S231" i="3"/>
  <c r="AH230" i="5"/>
  <c r="S230" i="3"/>
  <c r="AH229" i="5"/>
  <c r="S229" i="3"/>
  <c r="AH226" i="5"/>
  <c r="S226" i="3"/>
  <c r="AR226" i="5" s="1"/>
  <c r="S224" i="3"/>
  <c r="AH224" i="5"/>
  <c r="AR224" s="1"/>
  <c r="S221" i="3"/>
  <c r="AH221" i="5"/>
  <c r="AR221" s="1"/>
  <c r="AH222"/>
  <c r="AR222" s="1"/>
  <c r="S220" i="3"/>
  <c r="AH220" i="5"/>
  <c r="AR220" s="1"/>
  <c r="S219" i="3"/>
  <c r="U219" s="1"/>
  <c r="AH219" i="5"/>
  <c r="S218" i="3"/>
  <c r="AH218" i="5"/>
  <c r="AR218" s="1"/>
  <c r="AH217"/>
  <c r="AR217" s="1"/>
  <c r="S216" i="3"/>
  <c r="AH216" i="5"/>
  <c r="AR216" s="1"/>
  <c r="S215" i="3"/>
  <c r="AH215" i="5"/>
  <c r="AR215" s="1"/>
  <c r="AH214"/>
  <c r="AR214" s="1"/>
  <c r="S213" i="3"/>
  <c r="AH213" i="5"/>
  <c r="S212" i="3"/>
  <c r="AH212" i="5"/>
  <c r="S211" i="3"/>
  <c r="AH211" i="5"/>
  <c r="AR211" s="1"/>
  <c r="S209" i="3"/>
  <c r="AH209" i="5"/>
  <c r="AR209" s="1"/>
  <c r="S208" i="3"/>
  <c r="AH208" i="5"/>
  <c r="AR208" s="1"/>
  <c r="S207" i="3"/>
  <c r="AH207" i="5"/>
  <c r="S206" i="3"/>
  <c r="AH206" i="5"/>
  <c r="AR206" s="1"/>
  <c r="S205" i="3"/>
  <c r="U205"/>
  <c r="AH205" i="5"/>
  <c r="AR205" s="1"/>
  <c r="S204" i="3"/>
  <c r="U204" s="1"/>
  <c r="AH204" i="5"/>
  <c r="S203" i="3"/>
  <c r="AH203" i="5"/>
  <c r="AR203" s="1"/>
  <c r="S202" i="3"/>
  <c r="AH202" i="5"/>
  <c r="AR202" s="1"/>
  <c r="AH201"/>
  <c r="S201" i="3"/>
  <c r="S198"/>
  <c r="AR198" i="5" s="1"/>
  <c r="S196" i="3"/>
  <c r="AH196" i="5"/>
  <c r="S195" i="3"/>
  <c r="AH195" i="5"/>
  <c r="AH194"/>
  <c r="AR194" s="1"/>
  <c r="S193" i="3"/>
  <c r="AH193" i="5"/>
  <c r="S192" i="3"/>
  <c r="AH192" i="5"/>
  <c r="AR192" s="1"/>
  <c r="S191" i="3"/>
  <c r="AH191" i="5"/>
  <c r="AR191" s="1"/>
  <c r="S190" i="3"/>
  <c r="AH190" i="5"/>
  <c r="AR190" s="1"/>
  <c r="S189" i="3"/>
  <c r="AH189" i="5"/>
  <c r="AH188"/>
  <c r="S188" i="3"/>
  <c r="AR188" i="5" s="1"/>
  <c r="S187" i="3"/>
  <c r="AH187" i="5"/>
  <c r="S186" i="3"/>
  <c r="AH186" i="5"/>
  <c r="AH185"/>
  <c r="S185" i="3"/>
  <c r="S184"/>
  <c r="AH184" i="5"/>
  <c r="S183" i="3"/>
  <c r="AH183" i="5"/>
  <c r="S182" i="3"/>
  <c r="AH182" i="5"/>
  <c r="AH181"/>
  <c r="AR181" s="1"/>
  <c r="AH180"/>
  <c r="AR180" s="1"/>
  <c r="S179" i="3"/>
  <c r="U179" s="1"/>
  <c r="AH179" i="5"/>
  <c r="S178" i="3"/>
  <c r="AH178" i="5"/>
  <c r="S176" i="3"/>
  <c r="AH176" i="5"/>
  <c r="S175" i="3"/>
  <c r="AR175" i="5" s="1"/>
  <c r="S174" i="3"/>
  <c r="AH174" i="5"/>
  <c r="AH173"/>
  <c r="AR173" s="1"/>
  <c r="S172" i="3"/>
  <c r="AH172" i="5"/>
  <c r="AH171"/>
  <c r="AR171" s="1"/>
  <c r="AH170"/>
  <c r="AR170" s="1"/>
  <c r="AH169"/>
  <c r="S169" i="3"/>
  <c r="AH168" i="5"/>
  <c r="S168" i="3"/>
  <c r="AH167" i="5"/>
  <c r="S167" i="3"/>
  <c r="AH166" i="5"/>
  <c r="S166" i="3"/>
  <c r="AC248" i="2"/>
  <c r="S249" i="7"/>
  <c r="AC247" i="2"/>
  <c r="S248" i="7"/>
  <c r="AC246" i="2"/>
  <c r="S247" i="7"/>
  <c r="AC245" i="2"/>
  <c r="S246" i="7"/>
  <c r="V246" s="1"/>
  <c r="AC244" i="2"/>
  <c r="S245" i="7"/>
  <c r="AC243" i="2"/>
  <c r="S244" i="7"/>
  <c r="AC242" i="2"/>
  <c r="S243" i="7"/>
  <c r="AC241" i="2"/>
  <c r="S242" i="7"/>
  <c r="AC240" i="2"/>
  <c r="S241" i="7"/>
  <c r="AC238" i="2"/>
  <c r="S239" i="7"/>
  <c r="AC237" i="2"/>
  <c r="S238" i="7"/>
  <c r="AC236" i="2"/>
  <c r="S237" i="7"/>
  <c r="AC235" i="2"/>
  <c r="S236" i="7"/>
  <c r="AC234" i="2"/>
  <c r="S235" i="7"/>
  <c r="AC233" i="2"/>
  <c r="S234" i="7"/>
  <c r="AC232" i="2"/>
  <c r="S233" i="7"/>
  <c r="AC231" i="2"/>
  <c r="S232" i="7"/>
  <c r="AC230" i="2"/>
  <c r="S230" i="7"/>
  <c r="AC229" i="2"/>
  <c r="S229" i="7"/>
  <c r="AC226" i="2"/>
  <c r="S226" i="7"/>
  <c r="S224"/>
  <c r="AC224" i="2"/>
  <c r="AM224"/>
  <c r="S222" i="7"/>
  <c r="AC222" i="2"/>
  <c r="S221" i="7"/>
  <c r="S220"/>
  <c r="AC220" i="2"/>
  <c r="S219" i="7"/>
  <c r="AC219" i="2"/>
  <c r="S218" i="7"/>
  <c r="AC218" i="2"/>
  <c r="AM218" s="1"/>
  <c r="S217" i="7"/>
  <c r="AC217" i="2"/>
  <c r="S216" i="7"/>
  <c r="AC216" i="2"/>
  <c r="AM216" s="1"/>
  <c r="S215" i="7"/>
  <c r="AC215" i="2"/>
  <c r="S214" i="7"/>
  <c r="AC214" i="2"/>
  <c r="AM214" s="1"/>
  <c r="S213" i="7"/>
  <c r="V213" s="1"/>
  <c r="AC213" i="2"/>
  <c r="S212" i="7"/>
  <c r="AC212" i="2"/>
  <c r="AM212" s="1"/>
  <c r="S211" i="7"/>
  <c r="AC211" i="2"/>
  <c r="S209" i="7"/>
  <c r="AC209" i="2"/>
  <c r="AM209" s="1"/>
  <c r="S208" i="7"/>
  <c r="AC208" i="2"/>
  <c r="S207" i="7"/>
  <c r="AC207" i="2"/>
  <c r="AM207" s="1"/>
  <c r="S206" i="7"/>
  <c r="AC206" i="2"/>
  <c r="S205" i="7"/>
  <c r="U205" s="1"/>
  <c r="AC205" i="2"/>
  <c r="S204" i="7"/>
  <c r="AC204" i="2"/>
  <c r="AC203"/>
  <c r="S202" i="7"/>
  <c r="V202" s="1"/>
  <c r="AC202" i="2"/>
  <c r="AC201"/>
  <c r="S201" i="7"/>
  <c r="S200"/>
  <c r="AC200" i="2"/>
  <c r="S199" i="7"/>
  <c r="AC199" i="2"/>
  <c r="S198" i="7"/>
  <c r="AC198" i="2"/>
  <c r="S196" i="7"/>
  <c r="AC196" i="2"/>
  <c r="S195" i="7"/>
  <c r="AM195" i="2" s="1"/>
  <c r="AC194"/>
  <c r="AM194" s="1"/>
  <c r="S193" i="7"/>
  <c r="AC193" i="2"/>
  <c r="S192" i="7"/>
  <c r="AC192" i="2"/>
  <c r="S191" i="7"/>
  <c r="AC191" i="2"/>
  <c r="S190" i="7"/>
  <c r="AC190" i="2"/>
  <c r="S189" i="7"/>
  <c r="AC189" i="2"/>
  <c r="AC188"/>
  <c r="S188" i="7"/>
  <c r="S187"/>
  <c r="AC187" i="2"/>
  <c r="S186" i="7"/>
  <c r="AC186" i="2"/>
  <c r="AM186" s="1"/>
  <c r="AC185"/>
  <c r="S185" i="7"/>
  <c r="S184"/>
  <c r="AC184" i="2"/>
  <c r="AM184" s="1"/>
  <c r="S183" i="7"/>
  <c r="AC183" i="2"/>
  <c r="AM183" s="1"/>
  <c r="S182" i="7"/>
  <c r="V182" s="1"/>
  <c r="AC182" i="2"/>
  <c r="AC181"/>
  <c r="S181" i="7"/>
  <c r="AM181" i="2" s="1"/>
  <c r="S180" i="7"/>
  <c r="AC180" i="2"/>
  <c r="S179" i="7"/>
  <c r="AC179" i="2"/>
  <c r="S178" i="7"/>
  <c r="V178" s="1"/>
  <c r="AC178" i="2"/>
  <c r="S177" i="7"/>
  <c r="V177" s="1"/>
  <c r="AC177" i="2"/>
  <c r="S176" i="7"/>
  <c r="AC176" i="2"/>
  <c r="S175" i="7"/>
  <c r="AC175" i="2"/>
  <c r="S174" i="7"/>
  <c r="V174" s="1"/>
  <c r="AC174" i="2"/>
  <c r="AC173"/>
  <c r="AM173" s="1"/>
  <c r="S171" i="7"/>
  <c r="AM171" i="2" s="1"/>
  <c r="S170" i="7"/>
  <c r="V170" s="1"/>
  <c r="AC170" i="2"/>
  <c r="AC169"/>
  <c r="S169" i="7"/>
  <c r="AC168" i="2"/>
  <c r="S168" i="7"/>
  <c r="S166"/>
  <c r="AM166" i="2" s="1"/>
  <c r="S164" i="7"/>
  <c r="AM164" i="2" s="1"/>
  <c r="AI160" i="14"/>
  <c r="AH164" i="5"/>
  <c r="S164" i="3"/>
  <c r="AC161" i="2"/>
  <c r="Y159" i="10"/>
  <c r="AB159" s="1"/>
  <c r="AC159" i="2"/>
  <c r="AI148" i="14"/>
  <c r="W141" i="6"/>
  <c r="AJ139"/>
  <c r="Y203" i="10"/>
  <c r="AA204" i="8" s="1"/>
  <c r="Y202" i="10"/>
  <c r="AA203" i="8" s="1"/>
  <c r="Y201" i="10"/>
  <c r="AA202" i="8" s="1"/>
  <c r="Y200" i="10"/>
  <c r="AA201" i="8" s="1"/>
  <c r="Y199" i="10"/>
  <c r="AA200" i="8" s="1"/>
  <c r="Y198" i="10"/>
  <c r="AA199" i="8" s="1"/>
  <c r="Y190" i="10"/>
  <c r="AA191" i="8" s="1"/>
  <c r="Y189" i="10"/>
  <c r="AA190" i="8" s="1"/>
  <c r="Y188" i="10"/>
  <c r="AA189" i="8" s="1"/>
  <c r="Y186" i="10"/>
  <c r="AB186" s="1"/>
  <c r="Y185"/>
  <c r="AA186" i="8" s="1"/>
  <c r="Y184" i="10"/>
  <c r="AA185" i="8" s="1"/>
  <c r="Y183" i="10"/>
  <c r="AA184" i="8" s="1"/>
  <c r="Y182" i="10"/>
  <c r="AA183" i="8" s="1"/>
  <c r="AA182"/>
  <c r="Y180" i="10"/>
  <c r="AA181" i="8" s="1"/>
  <c r="Y179" i="10"/>
  <c r="AA180" i="8" s="1"/>
  <c r="Y177" i="10"/>
  <c r="AA178" i="8" s="1"/>
  <c r="Y176" i="10"/>
  <c r="AA177" i="8" s="1"/>
  <c r="Y175" i="10"/>
  <c r="AA176" i="8" s="1"/>
  <c r="AA175"/>
  <c r="AA174"/>
  <c r="Y172" i="10"/>
  <c r="AA173" i="8" s="1"/>
  <c r="AA172"/>
  <c r="Y169" i="10"/>
  <c r="AA170" i="8" s="1"/>
  <c r="Y168" i="10"/>
  <c r="AA169" i="8" s="1"/>
  <c r="Y167" i="10"/>
  <c r="AB167" s="1"/>
  <c r="AA167" i="8"/>
  <c r="Y165" i="10"/>
  <c r="AA166" i="8" s="1"/>
  <c r="AA165"/>
  <c r="Y163" i="10"/>
  <c r="AA164" i="8" s="1"/>
  <c r="Y162" i="10"/>
  <c r="AA163" i="8" s="1"/>
  <c r="Y161" i="10"/>
  <c r="AA162" i="8" s="1"/>
  <c r="Y160" i="10"/>
  <c r="AA161" i="8" s="1"/>
  <c r="Y158" i="10"/>
  <c r="AA159" i="8" s="1"/>
  <c r="Y157" i="10"/>
  <c r="AA158" i="8" s="1"/>
  <c r="Y156" i="10"/>
  <c r="AA157" i="8" s="1"/>
  <c r="Y155" i="10"/>
  <c r="AA156" i="8" s="1"/>
  <c r="Y153" i="10"/>
  <c r="AA154" i="8" s="1"/>
  <c r="Y152" i="10"/>
  <c r="AA153" i="8" s="1"/>
  <c r="Y151" i="10"/>
  <c r="AA152" i="8" s="1"/>
  <c r="Y150" i="10"/>
  <c r="AA151" i="8" s="1"/>
  <c r="Y149" i="10"/>
  <c r="AA150" i="8" s="1"/>
  <c r="Y148" i="10"/>
  <c r="AA149" i="8" s="1"/>
  <c r="Y147" i="10"/>
  <c r="AA148" i="8" s="1"/>
  <c r="Y146" i="10"/>
  <c r="AA147" i="8" s="1"/>
  <c r="Y145" i="10"/>
  <c r="AA146" i="8" s="1"/>
  <c r="Y144" i="10"/>
  <c r="AA145" i="8" s="1"/>
  <c r="Y143" i="10"/>
  <c r="AA144" i="8" s="1"/>
  <c r="Y142" i="10"/>
  <c r="AA143" i="8" s="1"/>
  <c r="Y141" i="10"/>
  <c r="AA142" i="8" s="1"/>
  <c r="Y140" i="10"/>
  <c r="AA141" i="8" s="1"/>
  <c r="Y139" i="10"/>
  <c r="AA140" i="8" s="1"/>
  <c r="Y138" i="10"/>
  <c r="AA139" i="8" s="1"/>
  <c r="Y137" i="10"/>
  <c r="AA138" i="8" s="1"/>
  <c r="AA134" i="9"/>
  <c r="AA123"/>
  <c r="S121" i="3"/>
  <c r="S127"/>
  <c r="S126"/>
  <c r="AH119" i="5"/>
  <c r="S114" i="7"/>
  <c r="U114" s="1"/>
  <c r="Y104" i="10"/>
  <c r="AA105" i="8" s="1"/>
  <c r="AC106" i="9"/>
  <c r="W105" i="8"/>
  <c r="AI104" i="14"/>
  <c r="E104"/>
  <c r="E98" i="10"/>
  <c r="S97" i="1"/>
  <c r="Y70" i="10"/>
  <c r="AA71" i="8" s="1"/>
  <c r="AC72" i="9"/>
  <c r="W71" i="8"/>
  <c r="AC66" i="9"/>
  <c r="W65" i="8"/>
  <c r="Y62" i="10"/>
  <c r="AA63" i="8" s="1"/>
  <c r="AC64" i="9"/>
  <c r="W63" i="8"/>
  <c r="Y136" i="10"/>
  <c r="AA137" i="8" s="1"/>
  <c r="Y135" i="10"/>
  <c r="AA136" i="8"/>
  <c r="Y134" i="10"/>
  <c r="AA135" i="8"/>
  <c r="Y132" i="10"/>
  <c r="AA133" i="8"/>
  <c r="Y131" i="10"/>
  <c r="AA132" i="8"/>
  <c r="Y130" i="10"/>
  <c r="AA131" i="8" s="1"/>
  <c r="Y129" i="10"/>
  <c r="AA130" i="8" s="1"/>
  <c r="Y128" i="10"/>
  <c r="AA129" i="8" s="1"/>
  <c r="Y127" i="10"/>
  <c r="AA128" i="8" s="1"/>
  <c r="Y126" i="10"/>
  <c r="AA127" i="8" s="1"/>
  <c r="Y125" i="10"/>
  <c r="AA126" i="8" s="1"/>
  <c r="Y124" i="10"/>
  <c r="AA125" i="8" s="1"/>
  <c r="Y123" i="10"/>
  <c r="AA124" i="8" s="1"/>
  <c r="Y122" i="10"/>
  <c r="AA123" i="8" s="1"/>
  <c r="Y121" i="10"/>
  <c r="AA122" i="8" s="1"/>
  <c r="Y120" i="10"/>
  <c r="AA121" i="8" s="1"/>
  <c r="Y119" i="10"/>
  <c r="AA120" i="8" s="1"/>
  <c r="Y118" i="10"/>
  <c r="AA119" i="8" s="1"/>
  <c r="Y117" i="10"/>
  <c r="AA118" i="8" s="1"/>
  <c r="Y116" i="10"/>
  <c r="AA117" i="8" s="1"/>
  <c r="Y115" i="10"/>
  <c r="AA116" i="8" s="1"/>
  <c r="Y114" i="10"/>
  <c r="AA115" i="8" s="1"/>
  <c r="Y113" i="10"/>
  <c r="AA114" i="8" s="1"/>
  <c r="Y112" i="10"/>
  <c r="AA113" i="8" s="1"/>
  <c r="Y111" i="10"/>
  <c r="AA112" i="8" s="1"/>
  <c r="Y110" i="10"/>
  <c r="AB110" s="1"/>
  <c r="Y109"/>
  <c r="AA110" i="8" s="1"/>
  <c r="Y108" i="10"/>
  <c r="AA109" i="8" s="1"/>
  <c r="Y107" i="10"/>
  <c r="AA108" i="8" s="1"/>
  <c r="Y106" i="10"/>
  <c r="AA107" i="8" s="1"/>
  <c r="AA106"/>
  <c r="Y103" i="10"/>
  <c r="AA104" i="8" s="1"/>
  <c r="Y102" i="10"/>
  <c r="AA103" i="8" s="1"/>
  <c r="Y101" i="10"/>
  <c r="AA102" i="8" s="1"/>
  <c r="Y100" i="10"/>
  <c r="AA101" i="8" s="1"/>
  <c r="Y99" i="10"/>
  <c r="AA100" i="8" s="1"/>
  <c r="Y98" i="10"/>
  <c r="AA99" i="8" s="1"/>
  <c r="Y97" i="10"/>
  <c r="AA98" i="8" s="1"/>
  <c r="Y96" i="10"/>
  <c r="AA97" i="8" s="1"/>
  <c r="Y95" i="10"/>
  <c r="AA96" i="8" s="1"/>
  <c r="Y94" i="10"/>
  <c r="AA95" i="8" s="1"/>
  <c r="Y92" i="10"/>
  <c r="AA93" i="8" s="1"/>
  <c r="Y91" i="10"/>
  <c r="AA92" i="8" s="1"/>
  <c r="Y88" i="10"/>
  <c r="AA89" i="8" s="1"/>
  <c r="Y85" i="10"/>
  <c r="AA86" i="8" s="1"/>
  <c r="AA81"/>
  <c r="S44" i="12"/>
  <c r="W44" s="1"/>
  <c r="BM45" i="13"/>
  <c r="E45"/>
  <c r="K45"/>
  <c r="AY45" s="1"/>
  <c r="AI45"/>
  <c r="AS45" s="1"/>
  <c r="W45"/>
  <c r="BM45" i="14"/>
  <c r="E45"/>
  <c r="K45"/>
  <c r="AY45" s="1"/>
  <c r="AI45"/>
  <c r="AS45" s="1"/>
  <c r="W45"/>
  <c r="BN47" i="6"/>
  <c r="E47"/>
  <c r="K47"/>
  <c r="AJ47"/>
  <c r="AT47" s="1"/>
  <c r="W47"/>
  <c r="AH44" i="5"/>
  <c r="S44" i="3"/>
  <c r="S44" i="4"/>
  <c r="AC44" i="2"/>
  <c r="S44" i="7"/>
  <c r="U44" s="1"/>
  <c r="S44" i="1"/>
  <c r="W45" i="8"/>
  <c r="Y44" i="10"/>
  <c r="AA45" i="8" s="1"/>
  <c r="AC46" i="9"/>
  <c r="AA46"/>
  <c r="M44" i="10"/>
  <c r="E44"/>
  <c r="Y45"/>
  <c r="Y42"/>
  <c r="Y41"/>
  <c r="Y29"/>
  <c r="Y26"/>
  <c r="Y25"/>
  <c r="AB25" s="1"/>
  <c r="Y24"/>
  <c r="Y23"/>
  <c r="AB23" s="1"/>
  <c r="Y22"/>
  <c r="Y21"/>
  <c r="AB21" s="1"/>
  <c r="Y20"/>
  <c r="Y19"/>
  <c r="AB19" s="1"/>
  <c r="Y18"/>
  <c r="Y17"/>
  <c r="AB17" s="1"/>
  <c r="Y16"/>
  <c r="AA17" i="8" s="1"/>
  <c r="Y15" i="10"/>
  <c r="AA16" i="8" s="1"/>
  <c r="Y14" i="10"/>
  <c r="AA15" i="8" s="1"/>
  <c r="Y13" i="10"/>
  <c r="AA14" i="8" s="1"/>
  <c r="Y12" i="10"/>
  <c r="AA13" i="8" s="1"/>
  <c r="Y11" i="10"/>
  <c r="AA12" i="8" s="1"/>
  <c r="AH137" i="5"/>
  <c r="AH108"/>
  <c r="AI100" i="14"/>
  <c r="AJ106" i="6"/>
  <c r="W215"/>
  <c r="W137"/>
  <c r="E117"/>
  <c r="K125"/>
  <c r="K113"/>
  <c r="BN255"/>
  <c r="K255"/>
  <c r="E254"/>
  <c r="BN254"/>
  <c r="K254"/>
  <c r="E253"/>
  <c r="BN253"/>
  <c r="K253"/>
  <c r="E252"/>
  <c r="BN252"/>
  <c r="K252"/>
  <c r="E251"/>
  <c r="BN251"/>
  <c r="K251"/>
  <c r="E250"/>
  <c r="BN250"/>
  <c r="K250"/>
  <c r="E249"/>
  <c r="BN249"/>
  <c r="K249"/>
  <c r="E248"/>
  <c r="BN248"/>
  <c r="K248"/>
  <c r="E247"/>
  <c r="BN247"/>
  <c r="K247"/>
  <c r="E246"/>
  <c r="BN246"/>
  <c r="K246"/>
  <c r="E245"/>
  <c r="BN245"/>
  <c r="K245"/>
  <c r="E244"/>
  <c r="BN244"/>
  <c r="K244"/>
  <c r="E243"/>
  <c r="BN243"/>
  <c r="K243"/>
  <c r="E242"/>
  <c r="BN242"/>
  <c r="K242"/>
  <c r="BN241"/>
  <c r="K241"/>
  <c r="E240"/>
  <c r="BN240"/>
  <c r="K240"/>
  <c r="E238"/>
  <c r="BN238"/>
  <c r="K238"/>
  <c r="E237"/>
  <c r="BN237"/>
  <c r="K237"/>
  <c r="E236"/>
  <c r="BN236"/>
  <c r="K236"/>
  <c r="E235"/>
  <c r="BN235"/>
  <c r="K235"/>
  <c r="BN234"/>
  <c r="K234"/>
  <c r="E233"/>
  <c r="BN233"/>
  <c r="K233"/>
  <c r="E232"/>
  <c r="BN232"/>
  <c r="K232"/>
  <c r="E231"/>
  <c r="BN231"/>
  <c r="K231"/>
  <c r="E230"/>
  <c r="BN230"/>
  <c r="K230"/>
  <c r="E229"/>
  <c r="BN229"/>
  <c r="K229"/>
  <c r="E226"/>
  <c r="BN226"/>
  <c r="K226"/>
  <c r="E224"/>
  <c r="BN224"/>
  <c r="K224"/>
  <c r="E223"/>
  <c r="BN223"/>
  <c r="K223"/>
  <c r="E222"/>
  <c r="BN222"/>
  <c r="K222"/>
  <c r="E221"/>
  <c r="BN221"/>
  <c r="K221"/>
  <c r="BN220"/>
  <c r="K220"/>
  <c r="E218"/>
  <c r="BN218"/>
  <c r="K218"/>
  <c r="E217"/>
  <c r="BN217"/>
  <c r="K217"/>
  <c r="E216"/>
  <c r="BN216"/>
  <c r="K216"/>
  <c r="BN215"/>
  <c r="K215"/>
  <c r="E214"/>
  <c r="BN214"/>
  <c r="K214"/>
  <c r="E213"/>
  <c r="BN213"/>
  <c r="K213"/>
  <c r="E212"/>
  <c r="AZ212" s="1"/>
  <c r="BN212"/>
  <c r="K212"/>
  <c r="E211"/>
  <c r="BN211"/>
  <c r="K211"/>
  <c r="E209"/>
  <c r="BN209"/>
  <c r="K209"/>
  <c r="E208"/>
  <c r="BN208"/>
  <c r="K208"/>
  <c r="E207"/>
  <c r="BN207"/>
  <c r="K207"/>
  <c r="E206"/>
  <c r="BN206"/>
  <c r="K206"/>
  <c r="E205"/>
  <c r="BN205"/>
  <c r="K205"/>
  <c r="E204"/>
  <c r="BN204"/>
  <c r="K204"/>
  <c r="E203"/>
  <c r="BN203"/>
  <c r="K203"/>
  <c r="E202"/>
  <c r="BN202"/>
  <c r="K202"/>
  <c r="E201"/>
  <c r="BN201"/>
  <c r="K201"/>
  <c r="BN199"/>
  <c r="E198"/>
  <c r="BN198"/>
  <c r="K198"/>
  <c r="E197"/>
  <c r="BN197"/>
  <c r="K197"/>
  <c r="E196"/>
  <c r="BN196"/>
  <c r="K196"/>
  <c r="BN195"/>
  <c r="K195"/>
  <c r="AZ195" s="1"/>
  <c r="BN194"/>
  <c r="K194"/>
  <c r="E193"/>
  <c r="BN193"/>
  <c r="K193"/>
  <c r="BN192"/>
  <c r="K192"/>
  <c r="E191"/>
  <c r="BN191"/>
  <c r="K191"/>
  <c r="E190"/>
  <c r="BN190"/>
  <c r="K190"/>
  <c r="E189"/>
  <c r="BN189"/>
  <c r="K189"/>
  <c r="E188"/>
  <c r="BN188"/>
  <c r="K188"/>
  <c r="E187"/>
  <c r="BN187"/>
  <c r="K187"/>
  <c r="E185"/>
  <c r="BN185"/>
  <c r="K185"/>
  <c r="E184"/>
  <c r="BN184"/>
  <c r="K184"/>
  <c r="E183"/>
  <c r="BN183"/>
  <c r="K183"/>
  <c r="E182"/>
  <c r="BN182"/>
  <c r="K182"/>
  <c r="BN181"/>
  <c r="K181"/>
  <c r="BN180"/>
  <c r="BN179"/>
  <c r="BN178"/>
  <c r="E177"/>
  <c r="BN177"/>
  <c r="K177"/>
  <c r="BN176"/>
  <c r="E175"/>
  <c r="BN175"/>
  <c r="K175"/>
  <c r="E174"/>
  <c r="BN174"/>
  <c r="K174"/>
  <c r="BN173"/>
  <c r="BN172"/>
  <c r="BN171"/>
  <c r="BN170"/>
  <c r="E169"/>
  <c r="BN169"/>
  <c r="K169"/>
  <c r="E168"/>
  <c r="BN168"/>
  <c r="K168"/>
  <c r="BN167"/>
  <c r="BN166"/>
  <c r="E165"/>
  <c r="BN165"/>
  <c r="K165"/>
  <c r="E164"/>
  <c r="BN164"/>
  <c r="K164"/>
  <c r="E163"/>
  <c r="BN163"/>
  <c r="K163"/>
  <c r="E162"/>
  <c r="BN162"/>
  <c r="K162"/>
  <c r="E161"/>
  <c r="BN161"/>
  <c r="K161"/>
  <c r="E160"/>
  <c r="BN160"/>
  <c r="K160"/>
  <c r="E159"/>
  <c r="BN159"/>
  <c r="K159"/>
  <c r="E158"/>
  <c r="BN158"/>
  <c r="K158"/>
  <c r="E157"/>
  <c r="BN157"/>
  <c r="K157"/>
  <c r="E156"/>
  <c r="BN156"/>
  <c r="K156"/>
  <c r="BN155"/>
  <c r="K155"/>
  <c r="BN154"/>
  <c r="K154"/>
  <c r="E153"/>
  <c r="BN153"/>
  <c r="K153"/>
  <c r="E152"/>
  <c r="BN152"/>
  <c r="K152"/>
  <c r="E151"/>
  <c r="BN151"/>
  <c r="K151"/>
  <c r="E150"/>
  <c r="BN150"/>
  <c r="K150"/>
  <c r="E149"/>
  <c r="BN149"/>
  <c r="K149"/>
  <c r="E148"/>
  <c r="BN148"/>
  <c r="K148"/>
  <c r="E147"/>
  <c r="BN147"/>
  <c r="K147"/>
  <c r="E146"/>
  <c r="BN146"/>
  <c r="K146"/>
  <c r="BN145"/>
  <c r="K145"/>
  <c r="E144"/>
  <c r="BN144"/>
  <c r="K144"/>
  <c r="E143"/>
  <c r="BN143"/>
  <c r="K143"/>
  <c r="E142"/>
  <c r="BN142"/>
  <c r="K142"/>
  <c r="E141"/>
  <c r="BN141"/>
  <c r="K141"/>
  <c r="E140"/>
  <c r="BN140"/>
  <c r="K140"/>
  <c r="BN139"/>
  <c r="K139"/>
  <c r="E138"/>
  <c r="BN138"/>
  <c r="K138"/>
  <c r="E137"/>
  <c r="BN137"/>
  <c r="K137"/>
  <c r="E136"/>
  <c r="BN136"/>
  <c r="K136"/>
  <c r="E135"/>
  <c r="BN135"/>
  <c r="K135"/>
  <c r="E134"/>
  <c r="BN134"/>
  <c r="K134"/>
  <c r="E133"/>
  <c r="BN133"/>
  <c r="K133"/>
  <c r="E132"/>
  <c r="BN132"/>
  <c r="K132"/>
  <c r="E131"/>
  <c r="BN131"/>
  <c r="K131"/>
  <c r="E130"/>
  <c r="BN130"/>
  <c r="K130"/>
  <c r="E129"/>
  <c r="BN129"/>
  <c r="K129"/>
  <c r="E128"/>
  <c r="BN128"/>
  <c r="K128"/>
  <c r="E127"/>
  <c r="BN127"/>
  <c r="K127"/>
  <c r="E126"/>
  <c r="BN126"/>
  <c r="K126"/>
  <c r="E125"/>
  <c r="E124"/>
  <c r="BN124"/>
  <c r="K124"/>
  <c r="E123"/>
  <c r="BN123"/>
  <c r="K123"/>
  <c r="BN122"/>
  <c r="K122"/>
  <c r="E121"/>
  <c r="BN121"/>
  <c r="K121"/>
  <c r="E120"/>
  <c r="BN120"/>
  <c r="K120"/>
  <c r="E119"/>
  <c r="BN119"/>
  <c r="K119"/>
  <c r="E118"/>
  <c r="BN118"/>
  <c r="K118"/>
  <c r="BN117"/>
  <c r="K117"/>
  <c r="E116"/>
  <c r="BN116"/>
  <c r="K116"/>
  <c r="E115"/>
  <c r="BN115"/>
  <c r="E114"/>
  <c r="BN114"/>
  <c r="K114"/>
  <c r="E113"/>
  <c r="E112"/>
  <c r="BN112"/>
  <c r="K112"/>
  <c r="E111"/>
  <c r="BN111"/>
  <c r="K111"/>
  <c r="E110"/>
  <c r="BN110"/>
  <c r="K110"/>
  <c r="E109"/>
  <c r="BN109"/>
  <c r="K109"/>
  <c r="E108"/>
  <c r="BN108"/>
  <c r="K108"/>
  <c r="BN107"/>
  <c r="K107"/>
  <c r="BN106"/>
  <c r="K106"/>
  <c r="BN105"/>
  <c r="K105"/>
  <c r="E104"/>
  <c r="BN104"/>
  <c r="K104"/>
  <c r="E103"/>
  <c r="BN103"/>
  <c r="K103"/>
  <c r="E102"/>
  <c r="BN102"/>
  <c r="K102"/>
  <c r="E101"/>
  <c r="BN101"/>
  <c r="K101"/>
  <c r="E100"/>
  <c r="BN100"/>
  <c r="K100"/>
  <c r="E99"/>
  <c r="BN99"/>
  <c r="K99"/>
  <c r="E98"/>
  <c r="BN98"/>
  <c r="K98"/>
  <c r="E97"/>
  <c r="BN97"/>
  <c r="K97"/>
  <c r="E96"/>
  <c r="BN96"/>
  <c r="K96"/>
  <c r="E95"/>
  <c r="BN95"/>
  <c r="K95"/>
  <c r="E93"/>
  <c r="BN93"/>
  <c r="K93"/>
  <c r="E92"/>
  <c r="BN92"/>
  <c r="K92"/>
  <c r="E90"/>
  <c r="BN90"/>
  <c r="K90"/>
  <c r="E87"/>
  <c r="BN87"/>
  <c r="K87"/>
  <c r="AZ87" s="1"/>
  <c r="E86"/>
  <c r="BN86"/>
  <c r="K86"/>
  <c r="E84"/>
  <c r="BN84"/>
  <c r="K84"/>
  <c r="E83"/>
  <c r="BN83"/>
  <c r="K83"/>
  <c r="E82"/>
  <c r="BN82"/>
  <c r="K82"/>
  <c r="E76"/>
  <c r="BN76"/>
  <c r="K76"/>
  <c r="E73"/>
  <c r="BN73"/>
  <c r="K73"/>
  <c r="E67"/>
  <c r="BN67"/>
  <c r="K67"/>
  <c r="E65"/>
  <c r="BN65"/>
  <c r="K65"/>
  <c r="E57"/>
  <c r="BN57"/>
  <c r="K57"/>
  <c r="E51"/>
  <c r="BN51"/>
  <c r="K51"/>
  <c r="E49"/>
  <c r="BN49"/>
  <c r="K49"/>
  <c r="E48"/>
  <c r="BN48"/>
  <c r="K48"/>
  <c r="E45"/>
  <c r="BN45"/>
  <c r="K45"/>
  <c r="E44"/>
  <c r="BN44"/>
  <c r="K44"/>
  <c r="E40"/>
  <c r="BN40"/>
  <c r="K40"/>
  <c r="E39"/>
  <c r="K39"/>
  <c r="E37"/>
  <c r="BN37"/>
  <c r="K37"/>
  <c r="E36"/>
  <c r="BN36"/>
  <c r="K36"/>
  <c r="E35"/>
  <c r="BN35"/>
  <c r="K35"/>
  <c r="E33"/>
  <c r="BN33"/>
  <c r="K33"/>
  <c r="K32"/>
  <c r="AZ32" s="1"/>
  <c r="E29"/>
  <c r="K29"/>
  <c r="E28"/>
  <c r="K28"/>
  <c r="E27"/>
  <c r="K27"/>
  <c r="E26"/>
  <c r="BN26"/>
  <c r="K26"/>
  <c r="E25"/>
  <c r="K25"/>
  <c r="E24"/>
  <c r="BN24"/>
  <c r="K24"/>
  <c r="E23"/>
  <c r="BN23"/>
  <c r="K23"/>
  <c r="E22"/>
  <c r="K22"/>
  <c r="E21"/>
  <c r="K21"/>
  <c r="E20"/>
  <c r="BN20"/>
  <c r="K20"/>
  <c r="E19"/>
  <c r="K19"/>
  <c r="E18"/>
  <c r="K18"/>
  <c r="AZ18" s="1"/>
  <c r="E17"/>
  <c r="K17"/>
  <c r="E16"/>
  <c r="BN16"/>
  <c r="K16"/>
  <c r="E15"/>
  <c r="K15"/>
  <c r="BN14"/>
  <c r="K14"/>
  <c r="E13"/>
  <c r="BN13"/>
  <c r="K13"/>
  <c r="E12"/>
  <c r="K12"/>
  <c r="AJ12"/>
  <c r="AT12" s="1"/>
  <c r="AJ13"/>
  <c r="AT13" s="1"/>
  <c r="AJ14"/>
  <c r="AT14" s="1"/>
  <c r="AZ14"/>
  <c r="AJ15"/>
  <c r="AT15" s="1"/>
  <c r="AJ16"/>
  <c r="AT16" s="1"/>
  <c r="AZ16"/>
  <c r="AJ17"/>
  <c r="AT17" s="1"/>
  <c r="AJ18"/>
  <c r="AT18" s="1"/>
  <c r="AJ19"/>
  <c r="AT19" s="1"/>
  <c r="AJ20"/>
  <c r="AT20" s="1"/>
  <c r="AZ20"/>
  <c r="AJ21"/>
  <c r="AT21" s="1"/>
  <c r="AJ22"/>
  <c r="AT22" s="1"/>
  <c r="AJ23"/>
  <c r="AT23" s="1"/>
  <c r="AJ24"/>
  <c r="AT24" s="1"/>
  <c r="AZ24"/>
  <c r="AJ25"/>
  <c r="AT25" s="1"/>
  <c r="AJ26"/>
  <c r="AT26" s="1"/>
  <c r="AZ26"/>
  <c r="AJ27"/>
  <c r="AT27" s="1"/>
  <c r="AJ28"/>
  <c r="AT28" s="1"/>
  <c r="AZ28"/>
  <c r="AJ29"/>
  <c r="AT29" s="1"/>
  <c r="AZ29"/>
  <c r="AJ32"/>
  <c r="AT32" s="1"/>
  <c r="AJ33"/>
  <c r="AT33" s="1"/>
  <c r="AZ33"/>
  <c r="AJ35"/>
  <c r="AT35" s="1"/>
  <c r="AZ35"/>
  <c r="AT36"/>
  <c r="AJ37"/>
  <c r="AT37" s="1"/>
  <c r="AZ37"/>
  <c r="AJ39"/>
  <c r="AT39" s="1"/>
  <c r="AJ40"/>
  <c r="AT40" s="1"/>
  <c r="AZ40"/>
  <c r="AJ44"/>
  <c r="AT44" s="1"/>
  <c r="AZ44"/>
  <c r="AJ45"/>
  <c r="AT45" s="1"/>
  <c r="AZ45"/>
  <c r="AJ48"/>
  <c r="AT48" s="1"/>
  <c r="AJ49"/>
  <c r="AT49" s="1"/>
  <c r="AZ49"/>
  <c r="AJ51"/>
  <c r="AT51" s="1"/>
  <c r="AZ51"/>
  <c r="AJ57"/>
  <c r="AT57" s="1"/>
  <c r="AZ57"/>
  <c r="AJ65"/>
  <c r="AT65" s="1"/>
  <c r="AJ67"/>
  <c r="AT67" s="1"/>
  <c r="AZ67"/>
  <c r="AJ73"/>
  <c r="AT73" s="1"/>
  <c r="AZ73"/>
  <c r="AJ76"/>
  <c r="AT76" s="1"/>
  <c r="AZ76"/>
  <c r="AJ82"/>
  <c r="AT82" s="1"/>
  <c r="AZ82"/>
  <c r="AJ83"/>
  <c r="AT83" s="1"/>
  <c r="AZ83"/>
  <c r="AJ84"/>
  <c r="AT84" s="1"/>
  <c r="AZ84"/>
  <c r="AJ86"/>
  <c r="AT86" s="1"/>
  <c r="AZ86"/>
  <c r="AJ87"/>
  <c r="AT87" s="1"/>
  <c r="AJ90"/>
  <c r="AT90"/>
  <c r="AZ90"/>
  <c r="AJ92"/>
  <c r="AT92" s="1"/>
  <c r="AZ92"/>
  <c r="AJ93"/>
  <c r="AT93" s="1"/>
  <c r="AJ95"/>
  <c r="AT95" s="1"/>
  <c r="AJ96"/>
  <c r="AT96" s="1"/>
  <c r="AZ96"/>
  <c r="AJ97"/>
  <c r="AT97" s="1"/>
  <c r="AZ97"/>
  <c r="AJ98"/>
  <c r="AT98" s="1"/>
  <c r="AZ98"/>
  <c r="AJ99"/>
  <c r="AT99" s="1"/>
  <c r="AZ99"/>
  <c r="AJ100"/>
  <c r="AT100" s="1"/>
  <c r="AZ100"/>
  <c r="AJ101"/>
  <c r="AT101" s="1"/>
  <c r="AZ101"/>
  <c r="AJ102"/>
  <c r="AT102" s="1"/>
  <c r="AZ102"/>
  <c r="AJ103"/>
  <c r="AT103" s="1"/>
  <c r="AZ103"/>
  <c r="AJ104"/>
  <c r="AT104" s="1"/>
  <c r="AZ104"/>
  <c r="AJ105"/>
  <c r="AT105" s="1"/>
  <c r="AZ105"/>
  <c r="AT106"/>
  <c r="AZ106"/>
  <c r="AJ107"/>
  <c r="AT107" s="1"/>
  <c r="AZ107"/>
  <c r="AJ108"/>
  <c r="AT108" s="1"/>
  <c r="AZ108"/>
  <c r="AJ109"/>
  <c r="AT109" s="1"/>
  <c r="AZ109"/>
  <c r="AJ110"/>
  <c r="AT110" s="1"/>
  <c r="AZ110"/>
  <c r="AJ111"/>
  <c r="AT111" s="1"/>
  <c r="AZ111"/>
  <c r="AJ112"/>
  <c r="AT112" s="1"/>
  <c r="AZ112"/>
  <c r="AJ113"/>
  <c r="AT113" s="1"/>
  <c r="AZ113"/>
  <c r="AJ114"/>
  <c r="AT114" s="1"/>
  <c r="AZ114"/>
  <c r="AJ115"/>
  <c r="AT115" s="1"/>
  <c r="AZ115"/>
  <c r="AJ116"/>
  <c r="AT116" s="1"/>
  <c r="AZ116"/>
  <c r="AJ117"/>
  <c r="AT117" s="1"/>
  <c r="AZ117"/>
  <c r="AJ118"/>
  <c r="AT118" s="1"/>
  <c r="AZ118"/>
  <c r="AJ119"/>
  <c r="AT119" s="1"/>
  <c r="AZ119"/>
  <c r="AJ120"/>
  <c r="AT120" s="1"/>
  <c r="AZ120"/>
  <c r="AJ121"/>
  <c r="AT121" s="1"/>
  <c r="AZ121"/>
  <c r="AJ122"/>
  <c r="AT122" s="1"/>
  <c r="AZ122"/>
  <c r="AJ123"/>
  <c r="AT123" s="1"/>
  <c r="AZ123"/>
  <c r="AJ124"/>
  <c r="AT124" s="1"/>
  <c r="AZ124"/>
  <c r="AJ125"/>
  <c r="AT125" s="1"/>
  <c r="AZ125"/>
  <c r="AJ126"/>
  <c r="AT126" s="1"/>
  <c r="AZ126"/>
  <c r="AJ127"/>
  <c r="AT127" s="1"/>
  <c r="AZ127"/>
  <c r="AJ128"/>
  <c r="AT128" s="1"/>
  <c r="AZ128"/>
  <c r="AJ129"/>
  <c r="AT129" s="1"/>
  <c r="AZ129"/>
  <c r="AJ130"/>
  <c r="AT130" s="1"/>
  <c r="AZ130"/>
  <c r="AJ131"/>
  <c r="AT131" s="1"/>
  <c r="AZ131"/>
  <c r="AJ132"/>
  <c r="AT132" s="1"/>
  <c r="AZ132"/>
  <c r="AJ133"/>
  <c r="AT133" s="1"/>
  <c r="AZ133"/>
  <c r="AJ134"/>
  <c r="AT134" s="1"/>
  <c r="AZ134"/>
  <c r="AJ135"/>
  <c r="AT135" s="1"/>
  <c r="AZ135"/>
  <c r="AJ136"/>
  <c r="AT136" s="1"/>
  <c r="AZ136"/>
  <c r="AJ137"/>
  <c r="AT137" s="1"/>
  <c r="AZ137"/>
  <c r="AJ138"/>
  <c r="AT138" s="1"/>
  <c r="AZ138"/>
  <c r="AT139"/>
  <c r="AZ139"/>
  <c r="AJ140"/>
  <c r="AT140" s="1"/>
  <c r="AZ140"/>
  <c r="AJ141"/>
  <c r="AT141" s="1"/>
  <c r="AJ142"/>
  <c r="AT142" s="1"/>
  <c r="AZ142"/>
  <c r="AJ143"/>
  <c r="AT143" s="1"/>
  <c r="AJ144"/>
  <c r="AT144" s="1"/>
  <c r="AZ144"/>
  <c r="AJ145"/>
  <c r="AT145" s="1"/>
  <c r="AZ145"/>
  <c r="AJ146"/>
  <c r="AT146" s="1"/>
  <c r="AJ147"/>
  <c r="AT147" s="1"/>
  <c r="AJ148"/>
  <c r="AT148" s="1"/>
  <c r="AZ148"/>
  <c r="AJ149"/>
  <c r="AT149" s="1"/>
  <c r="AJ150"/>
  <c r="AT150" s="1"/>
  <c r="AJ151"/>
  <c r="AT151" s="1"/>
  <c r="AZ151"/>
  <c r="AJ152"/>
  <c r="AT152" s="1"/>
  <c r="AJ153"/>
  <c r="AT153" s="1"/>
  <c r="AZ153"/>
  <c r="AJ154"/>
  <c r="AT154" s="1"/>
  <c r="AZ154"/>
  <c r="AJ155"/>
  <c r="AT155" s="1"/>
  <c r="AZ155"/>
  <c r="AJ156"/>
  <c r="AT156" s="1"/>
  <c r="AJ157"/>
  <c r="AT157" s="1"/>
  <c r="AJ158"/>
  <c r="AT158" s="1"/>
  <c r="AZ158"/>
  <c r="AJ159"/>
  <c r="AT159" s="1"/>
  <c r="AZ159"/>
  <c r="AJ160"/>
  <c r="AT160" s="1"/>
  <c r="AZ160"/>
  <c r="AJ161"/>
  <c r="AT161" s="1"/>
  <c r="AZ161"/>
  <c r="AJ162"/>
  <c r="AT162" s="1"/>
  <c r="AZ162"/>
  <c r="AJ163"/>
  <c r="AT163" s="1"/>
  <c r="AZ163"/>
  <c r="AJ164"/>
  <c r="AT164" s="1"/>
  <c r="AZ164"/>
  <c r="AJ165"/>
  <c r="AT165" s="1"/>
  <c r="AZ165"/>
  <c r="AJ166"/>
  <c r="AT166" s="1"/>
  <c r="AZ166"/>
  <c r="AJ167"/>
  <c r="AT167" s="1"/>
  <c r="AZ167"/>
  <c r="AJ168"/>
  <c r="AT168" s="1"/>
  <c r="AZ168"/>
  <c r="AJ169"/>
  <c r="AT169" s="1"/>
  <c r="AZ169"/>
  <c r="AZ170"/>
  <c r="AZ171"/>
  <c r="AJ172"/>
  <c r="AT172" s="1"/>
  <c r="AZ172"/>
  <c r="AJ173"/>
  <c r="AT173" s="1"/>
  <c r="AZ173"/>
  <c r="AJ174"/>
  <c r="AT174" s="1"/>
  <c r="AZ174"/>
  <c r="AJ175"/>
  <c r="AT175" s="1"/>
  <c r="AZ175"/>
  <c r="AJ176"/>
  <c r="AT176" s="1"/>
  <c r="AZ176"/>
  <c r="AJ177"/>
  <c r="AT177" s="1"/>
  <c r="AZ177"/>
  <c r="AJ178"/>
  <c r="AT178" s="1"/>
  <c r="AZ178"/>
  <c r="AJ179"/>
  <c r="AT179" s="1"/>
  <c r="AZ179"/>
  <c r="AJ180"/>
  <c r="AT180" s="1"/>
  <c r="AZ180"/>
  <c r="AJ181"/>
  <c r="AT181" s="1"/>
  <c r="AZ181"/>
  <c r="AJ182"/>
  <c r="AT182" s="1"/>
  <c r="AZ182"/>
  <c r="AJ183"/>
  <c r="AT183" s="1"/>
  <c r="AZ183"/>
  <c r="AJ184"/>
  <c r="AT184" s="1"/>
  <c r="AZ184"/>
  <c r="AJ185"/>
  <c r="AT185" s="1"/>
  <c r="AZ185"/>
  <c r="AJ187"/>
  <c r="AT187" s="1"/>
  <c r="AZ187"/>
  <c r="AJ188"/>
  <c r="AT188" s="1"/>
  <c r="AZ188"/>
  <c r="AJ189"/>
  <c r="AT189" s="1"/>
  <c r="AZ189"/>
  <c r="AJ190"/>
  <c r="AT190" s="1"/>
  <c r="AZ190"/>
  <c r="AJ191"/>
  <c r="AT191" s="1"/>
  <c r="AZ191"/>
  <c r="AJ192"/>
  <c r="AT192" s="1"/>
  <c r="AZ192"/>
  <c r="AJ193"/>
  <c r="AT193" s="1"/>
  <c r="AZ193"/>
  <c r="AJ194"/>
  <c r="AT194" s="1"/>
  <c r="AZ194"/>
  <c r="AJ195"/>
  <c r="AT195" s="1"/>
  <c r="AJ196"/>
  <c r="AT196" s="1"/>
  <c r="AZ196"/>
  <c r="AJ197"/>
  <c r="AT197" s="1"/>
  <c r="AZ197"/>
  <c r="AJ198"/>
  <c r="AT198" s="1"/>
  <c r="AZ198"/>
  <c r="AZ200"/>
  <c r="AJ201"/>
  <c r="AT201" s="1"/>
  <c r="AZ201"/>
  <c r="AT202"/>
  <c r="AZ202"/>
  <c r="AJ203"/>
  <c r="AT203" s="1"/>
  <c r="AZ203"/>
  <c r="AJ204"/>
  <c r="AT204" s="1"/>
  <c r="AZ204"/>
  <c r="AJ205"/>
  <c r="AT205" s="1"/>
  <c r="AZ205"/>
  <c r="AJ206"/>
  <c r="AT206" s="1"/>
  <c r="AZ206"/>
  <c r="AJ207"/>
  <c r="AT207" s="1"/>
  <c r="AZ207"/>
  <c r="AJ208"/>
  <c r="AT208" s="1"/>
  <c r="AZ208"/>
  <c r="AJ209"/>
  <c r="AT209" s="1"/>
  <c r="AZ209"/>
  <c r="AJ211"/>
  <c r="AT211" s="1"/>
  <c r="AZ211"/>
  <c r="AJ212"/>
  <c r="AT212" s="1"/>
  <c r="AJ213"/>
  <c r="AT213" s="1"/>
  <c r="AZ213"/>
  <c r="AJ214"/>
  <c r="AT214" s="1"/>
  <c r="AZ214"/>
  <c r="AJ215"/>
  <c r="AT215" s="1"/>
  <c r="AZ215"/>
  <c r="AJ216"/>
  <c r="AT216" s="1"/>
  <c r="AZ216"/>
  <c r="AT217"/>
  <c r="AZ217"/>
  <c r="AJ218"/>
  <c r="AT218" s="1"/>
  <c r="AZ218"/>
  <c r="AJ220"/>
  <c r="AT220" s="1"/>
  <c r="AZ220"/>
  <c r="AJ221"/>
  <c r="AT221" s="1"/>
  <c r="AZ221"/>
  <c r="AJ222"/>
  <c r="AT222" s="1"/>
  <c r="AZ222"/>
  <c r="AJ223"/>
  <c r="AT223" s="1"/>
  <c r="AZ223"/>
  <c r="AT224"/>
  <c r="AZ224"/>
  <c r="AJ226"/>
  <c r="AT226" s="1"/>
  <c r="AZ226"/>
  <c r="AJ229"/>
  <c r="AT229" s="1"/>
  <c r="AZ229"/>
  <c r="AJ230"/>
  <c r="AT230" s="1"/>
  <c r="AZ230"/>
  <c r="AJ231"/>
  <c r="AT231" s="1"/>
  <c r="AZ231"/>
  <c r="AJ232"/>
  <c r="AT232" s="1"/>
  <c r="AZ232"/>
  <c r="AJ233"/>
  <c r="AT233" s="1"/>
  <c r="AZ233"/>
  <c r="AJ234"/>
  <c r="AT234" s="1"/>
  <c r="AZ234"/>
  <c r="AJ235"/>
  <c r="AT235" s="1"/>
  <c r="AZ235"/>
  <c r="AJ236"/>
  <c r="AT236" s="1"/>
  <c r="AZ236"/>
  <c r="AJ237"/>
  <c r="AT237" s="1"/>
  <c r="AZ237"/>
  <c r="AJ238"/>
  <c r="AT238" s="1"/>
  <c r="AJ240"/>
  <c r="AT240" s="1"/>
  <c r="AZ240"/>
  <c r="AJ241"/>
  <c r="AT241" s="1"/>
  <c r="AZ241"/>
  <c r="AJ242"/>
  <c r="AT242" s="1"/>
  <c r="AZ242"/>
  <c r="AJ243"/>
  <c r="AT243" s="1"/>
  <c r="AZ243"/>
  <c r="AJ244"/>
  <c r="AT244" s="1"/>
  <c r="AZ244"/>
  <c r="AJ245"/>
  <c r="AT245" s="1"/>
  <c r="AJ246"/>
  <c r="AT246" s="1"/>
  <c r="AZ246"/>
  <c r="AJ247"/>
  <c r="AT247" s="1"/>
  <c r="AZ247"/>
  <c r="AJ248"/>
  <c r="AT248" s="1"/>
  <c r="AZ248"/>
  <c r="AJ249"/>
  <c r="AT249" s="1"/>
  <c r="AZ249"/>
  <c r="AJ250"/>
  <c r="AT250" s="1"/>
  <c r="AZ250"/>
  <c r="AJ251"/>
  <c r="AT251" s="1"/>
  <c r="AZ251"/>
  <c r="AJ252"/>
  <c r="AT252" s="1"/>
  <c r="AZ252"/>
  <c r="AJ253"/>
  <c r="AT253" s="1"/>
  <c r="AZ253"/>
  <c r="AJ254"/>
  <c r="AT254" s="1"/>
  <c r="AZ254"/>
  <c r="AJ255"/>
  <c r="AT255" s="1"/>
  <c r="AZ255"/>
  <c r="AH127" i="5"/>
  <c r="AR127" s="1"/>
  <c r="BM53" i="13"/>
  <c r="S184" i="12"/>
  <c r="W184" s="1"/>
  <c r="S183"/>
  <c r="W183" s="1"/>
  <c r="S181"/>
  <c r="W181" s="1"/>
  <c r="S180"/>
  <c r="W180" s="1"/>
  <c r="S179"/>
  <c r="W179" s="1"/>
  <c r="S178"/>
  <c r="W178" s="1"/>
  <c r="S177"/>
  <c r="W177" s="1"/>
  <c r="S176"/>
  <c r="W176" s="1"/>
  <c r="S168"/>
  <c r="W168" s="1"/>
  <c r="S169"/>
  <c r="W169" s="1"/>
  <c r="S171"/>
  <c r="W171" s="1"/>
  <c r="S172"/>
  <c r="W172" s="1"/>
  <c r="S173"/>
  <c r="W173" s="1"/>
  <c r="S174"/>
  <c r="W174" s="1"/>
  <c r="AC187" i="9"/>
  <c r="W186" i="8"/>
  <c r="AC186" i="9"/>
  <c r="W185" i="8"/>
  <c r="W184"/>
  <c r="AC185" i="9"/>
  <c r="W183" i="8"/>
  <c r="W182"/>
  <c r="AC182" s="1"/>
  <c r="AC182" i="9"/>
  <c r="W181" i="8"/>
  <c r="AC181" i="9"/>
  <c r="W180" i="8"/>
  <c r="AC180" i="9"/>
  <c r="W179" i="8"/>
  <c r="W178"/>
  <c r="AC178" s="1"/>
  <c r="AC178" i="9"/>
  <c r="W177" i="8"/>
  <c r="AC177" i="9"/>
  <c r="W176" i="8"/>
  <c r="AC176" i="9"/>
  <c r="W175" i="8"/>
  <c r="AC175" i="9"/>
  <c r="W174" i="8"/>
  <c r="AC174" i="9"/>
  <c r="W173" i="8"/>
  <c r="W172"/>
  <c r="AC172" s="1"/>
  <c r="W171"/>
  <c r="AC171" i="9"/>
  <c r="W170" i="8"/>
  <c r="AC170" i="9"/>
  <c r="W169" i="8"/>
  <c r="W168"/>
  <c r="AC168" i="9"/>
  <c r="W167" i="8"/>
  <c r="W191"/>
  <c r="W190"/>
  <c r="AC191" i="9"/>
  <c r="AA191"/>
  <c r="AB190" i="10"/>
  <c r="M190"/>
  <c r="E190"/>
  <c r="M189"/>
  <c r="E189"/>
  <c r="E195" i="14"/>
  <c r="E199" i="10"/>
  <c r="BM181" i="14"/>
  <c r="E181"/>
  <c r="K181"/>
  <c r="AY181" s="1"/>
  <c r="AI181"/>
  <c r="AS181" s="1"/>
  <c r="W181"/>
  <c r="BM180"/>
  <c r="E180"/>
  <c r="K180"/>
  <c r="AI180"/>
  <c r="AS180" s="1"/>
  <c r="W180"/>
  <c r="BM179"/>
  <c r="E179"/>
  <c r="K179"/>
  <c r="AY179" s="1"/>
  <c r="AI179"/>
  <c r="AS179" s="1"/>
  <c r="W179"/>
  <c r="BM178"/>
  <c r="E178"/>
  <c r="K178"/>
  <c r="AI178"/>
  <c r="AS178" s="1"/>
  <c r="W178"/>
  <c r="BM177"/>
  <c r="AY177"/>
  <c r="AI177"/>
  <c r="AS177" s="1"/>
  <c r="W177"/>
  <c r="BM176"/>
  <c r="AY176"/>
  <c r="AI176"/>
  <c r="AS176" s="1"/>
  <c r="W176"/>
  <c r="BM174"/>
  <c r="AY174"/>
  <c r="AI174"/>
  <c r="AS174" s="1"/>
  <c r="W174"/>
  <c r="BM173"/>
  <c r="E173"/>
  <c r="K173"/>
  <c r="AI173"/>
  <c r="AS173" s="1"/>
  <c r="W173"/>
  <c r="BM172"/>
  <c r="K172"/>
  <c r="AY172" s="1"/>
  <c r="AI172"/>
  <c r="AS172" s="1"/>
  <c r="W172"/>
  <c r="BM171"/>
  <c r="E171"/>
  <c r="K171"/>
  <c r="AI171"/>
  <c r="AS171" s="1"/>
  <c r="W171"/>
  <c r="BM170"/>
  <c r="E170"/>
  <c r="K170"/>
  <c r="AI170"/>
  <c r="AS170" s="1"/>
  <c r="W170"/>
  <c r="BM169"/>
  <c r="AY169"/>
  <c r="AI169"/>
  <c r="AS169" s="1"/>
  <c r="W169"/>
  <c r="BM168"/>
  <c r="AY168"/>
  <c r="AI168"/>
  <c r="AS168" s="1"/>
  <c r="W168"/>
  <c r="BM167"/>
  <c r="AY167"/>
  <c r="AI167"/>
  <c r="AS167" s="1"/>
  <c r="W167"/>
  <c r="BM166"/>
  <c r="AY166"/>
  <c r="AI166"/>
  <c r="AS166" s="1"/>
  <c r="W166"/>
  <c r="BM165"/>
  <c r="E165"/>
  <c r="K165"/>
  <c r="AY165" s="1"/>
  <c r="AI165"/>
  <c r="AS165"/>
  <c r="W165"/>
  <c r="BM164"/>
  <c r="E164"/>
  <c r="K164"/>
  <c r="AY164" s="1"/>
  <c r="AI164"/>
  <c r="AS164" s="1"/>
  <c r="W164"/>
  <c r="BM163"/>
  <c r="AY163"/>
  <c r="AI163"/>
  <c r="AS163" s="1"/>
  <c r="W163"/>
  <c r="AY162"/>
  <c r="AI162"/>
  <c r="AS162" s="1"/>
  <c r="W162"/>
  <c r="W184" i="6"/>
  <c r="W183"/>
  <c r="W182"/>
  <c r="W181"/>
  <c r="W180"/>
  <c r="W179"/>
  <c r="W177"/>
  <c r="W176"/>
  <c r="W175"/>
  <c r="W174"/>
  <c r="W173"/>
  <c r="W172"/>
  <c r="W171"/>
  <c r="W170"/>
  <c r="W169"/>
  <c r="W168"/>
  <c r="W167"/>
  <c r="W166"/>
  <c r="S184" i="4"/>
  <c r="S183"/>
  <c r="S182"/>
  <c r="S181"/>
  <c r="S180"/>
  <c r="S179"/>
  <c r="S178"/>
  <c r="S177"/>
  <c r="S176"/>
  <c r="S175"/>
  <c r="S174"/>
  <c r="S173"/>
  <c r="S172"/>
  <c r="S171"/>
  <c r="S170"/>
  <c r="S168"/>
  <c r="S167"/>
  <c r="S166"/>
  <c r="S184" i="1"/>
  <c r="S183"/>
  <c r="S182"/>
  <c r="S181"/>
  <c r="S180"/>
  <c r="S179"/>
  <c r="S178"/>
  <c r="S177"/>
  <c r="S176"/>
  <c r="S174"/>
  <c r="S170"/>
  <c r="S169"/>
  <c r="S168"/>
  <c r="S167"/>
  <c r="S166"/>
  <c r="U184" i="3"/>
  <c r="U183"/>
  <c r="U182"/>
  <c r="U178"/>
  <c r="U177"/>
  <c r="U176"/>
  <c r="U175"/>
  <c r="U174"/>
  <c r="U173"/>
  <c r="U172"/>
  <c r="U171"/>
  <c r="U170"/>
  <c r="U169"/>
  <c r="U168"/>
  <c r="U167"/>
  <c r="U166"/>
  <c r="V184" i="7"/>
  <c r="U184"/>
  <c r="V183"/>
  <c r="U183"/>
  <c r="U182"/>
  <c r="V181"/>
  <c r="U181"/>
  <c r="V180"/>
  <c r="U180"/>
  <c r="V179"/>
  <c r="U179"/>
  <c r="U178"/>
  <c r="U177"/>
  <c r="V176"/>
  <c r="U176"/>
  <c r="V175"/>
  <c r="U175"/>
  <c r="U174"/>
  <c r="V173"/>
  <c r="U173"/>
  <c r="V172"/>
  <c r="U172"/>
  <c r="V171"/>
  <c r="U171"/>
  <c r="U170"/>
  <c r="V169"/>
  <c r="U169"/>
  <c r="V168"/>
  <c r="U168"/>
  <c r="V167"/>
  <c r="U167"/>
  <c r="AA186" i="9"/>
  <c r="AA185"/>
  <c r="AA182"/>
  <c r="AA181"/>
  <c r="AA180"/>
  <c r="AA179"/>
  <c r="AA178"/>
  <c r="AA177"/>
  <c r="AA176"/>
  <c r="AA175"/>
  <c r="AA174"/>
  <c r="AA173"/>
  <c r="AA171"/>
  <c r="AA170"/>
  <c r="AA169"/>
  <c r="AA168"/>
  <c r="AB184" i="10"/>
  <c r="M184"/>
  <c r="E184"/>
  <c r="AB183"/>
  <c r="M183"/>
  <c r="E183"/>
  <c r="AB182"/>
  <c r="M182"/>
  <c r="E182"/>
  <c r="AB180"/>
  <c r="AB179"/>
  <c r="E179"/>
  <c r="AB178"/>
  <c r="M178"/>
  <c r="E178"/>
  <c r="AB176"/>
  <c r="M176"/>
  <c r="E176"/>
  <c r="M175"/>
  <c r="E175"/>
  <c r="AB174"/>
  <c r="E174"/>
  <c r="AB173"/>
  <c r="M173"/>
  <c r="AB172"/>
  <c r="M172"/>
  <c r="AB171"/>
  <c r="M171"/>
  <c r="E171"/>
  <c r="AB169"/>
  <c r="M169"/>
  <c r="E169"/>
  <c r="AB168"/>
  <c r="M168"/>
  <c r="E168"/>
  <c r="M167"/>
  <c r="E166"/>
  <c r="K202" i="14"/>
  <c r="E255" i="10"/>
  <c r="S237" i="4"/>
  <c r="S236"/>
  <c r="S236" i="1"/>
  <c r="S229"/>
  <c r="AA223" i="9"/>
  <c r="AC166"/>
  <c r="W165" i="8"/>
  <c r="E161" i="10"/>
  <c r="BM160" i="14"/>
  <c r="AS160"/>
  <c r="W160"/>
  <c r="W164" i="6"/>
  <c r="S164" i="4"/>
  <c r="S164" i="1"/>
  <c r="U164" i="3"/>
  <c r="V164" i="7"/>
  <c r="U164"/>
  <c r="AA166" i="9"/>
  <c r="AB164" i="10"/>
  <c r="M164"/>
  <c r="S149" i="12"/>
  <c r="W149" s="1"/>
  <c r="S131" i="3"/>
  <c r="AA129" i="9"/>
  <c r="S126" i="7"/>
  <c r="U126" s="1"/>
  <c r="W127" i="8"/>
  <c r="AC128" i="9"/>
  <c r="S126" i="12"/>
  <c r="W126" s="1"/>
  <c r="AH126" i="5"/>
  <c r="AR126" s="1"/>
  <c r="AC126" i="2"/>
  <c r="S126" i="4"/>
  <c r="S126" i="1"/>
  <c r="W128" i="8"/>
  <c r="AA128" i="9"/>
  <c r="AB126" i="10"/>
  <c r="M126"/>
  <c r="E126"/>
  <c r="AH124" i="5"/>
  <c r="S120" i="1"/>
  <c r="AC120" i="2"/>
  <c r="AC121"/>
  <c r="W120" i="8"/>
  <c r="E195" i="13"/>
  <c r="S116" i="7"/>
  <c r="S117"/>
  <c r="AC116" i="2"/>
  <c r="AC117"/>
  <c r="S116" i="1"/>
  <c r="S117"/>
  <c r="S116" i="3"/>
  <c r="S117"/>
  <c r="U117" s="1"/>
  <c r="AH116" i="5"/>
  <c r="AR116" s="1"/>
  <c r="S116" i="4"/>
  <c r="S115" i="1"/>
  <c r="S114" i="12"/>
  <c r="W114" s="1"/>
  <c r="W117" i="6"/>
  <c r="AH114" i="5"/>
  <c r="S114" i="3"/>
  <c r="U114" s="1"/>
  <c r="AC114" i="2"/>
  <c r="AM114" s="1"/>
  <c r="S114" i="4"/>
  <c r="S114" i="1"/>
  <c r="AC116" i="9"/>
  <c r="W115" i="8"/>
  <c r="AA116" i="9"/>
  <c r="AB114" i="10"/>
  <c r="M114"/>
  <c r="E114"/>
  <c r="W112" i="8"/>
  <c r="S9" i="12"/>
  <c r="W9" s="1"/>
  <c r="W10"/>
  <c r="W11"/>
  <c r="S12"/>
  <c r="W12" s="1"/>
  <c r="S13"/>
  <c r="W13" s="1"/>
  <c r="S14"/>
  <c r="W14" s="1"/>
  <c r="S15"/>
  <c r="W15" s="1"/>
  <c r="S16"/>
  <c r="W16" s="1"/>
  <c r="S17"/>
  <c r="W17" s="1"/>
  <c r="S18"/>
  <c r="W18" s="1"/>
  <c r="S19"/>
  <c r="W19" s="1"/>
  <c r="S20"/>
  <c r="W20" s="1"/>
  <c r="S21"/>
  <c r="W21" s="1"/>
  <c r="S22"/>
  <c r="W22" s="1"/>
  <c r="S23"/>
  <c r="W23" s="1"/>
  <c r="S24"/>
  <c r="W24" s="1"/>
  <c r="S25"/>
  <c r="W25" s="1"/>
  <c r="S26"/>
  <c r="W26" s="1"/>
  <c r="S29"/>
  <c r="W29" s="1"/>
  <c r="S41"/>
  <c r="W41" s="1"/>
  <c r="S42"/>
  <c r="W42" s="1"/>
  <c r="S45"/>
  <c r="W45" s="1"/>
  <c r="S62"/>
  <c r="W62" s="1"/>
  <c r="S64"/>
  <c r="W64" s="1"/>
  <c r="S70"/>
  <c r="W70" s="1"/>
  <c r="S80"/>
  <c r="W80" s="1"/>
  <c r="S85"/>
  <c r="W85" s="1"/>
  <c r="S88"/>
  <c r="W88" s="1"/>
  <c r="S91"/>
  <c r="W91" s="1"/>
  <c r="S92"/>
  <c r="W92" s="1"/>
  <c r="S93"/>
  <c r="W93" s="1"/>
  <c r="S94"/>
  <c r="W94" s="1"/>
  <c r="S95"/>
  <c r="W95" s="1"/>
  <c r="S96"/>
  <c r="W96" s="1"/>
  <c r="S97"/>
  <c r="W97" s="1"/>
  <c r="S98"/>
  <c r="W98" s="1"/>
  <c r="S99"/>
  <c r="W99" s="1"/>
  <c r="S100"/>
  <c r="W100" s="1"/>
  <c r="S101"/>
  <c r="W101" s="1"/>
  <c r="S102"/>
  <c r="W102" s="1"/>
  <c r="S103"/>
  <c r="W103" s="1"/>
  <c r="S104"/>
  <c r="W104" s="1"/>
  <c r="S105"/>
  <c r="W105" s="1"/>
  <c r="S106"/>
  <c r="W106" s="1"/>
  <c r="S107"/>
  <c r="W107" s="1"/>
  <c r="S108"/>
  <c r="W108" s="1"/>
  <c r="S109"/>
  <c r="W109" s="1"/>
  <c r="S110"/>
  <c r="W110" s="1"/>
  <c r="S111"/>
  <c r="W111" s="1"/>
  <c r="S112"/>
  <c r="W112" s="1"/>
  <c r="S113"/>
  <c r="W113" s="1"/>
  <c r="S115"/>
  <c r="W115" s="1"/>
  <c r="S116"/>
  <c r="W116" s="1"/>
  <c r="S117"/>
  <c r="W117" s="1"/>
  <c r="S118"/>
  <c r="W118" s="1"/>
  <c r="S119"/>
  <c r="W119" s="1"/>
  <c r="S120"/>
  <c r="W120" s="1"/>
  <c r="S121"/>
  <c r="W121" s="1"/>
  <c r="S122"/>
  <c r="W122" s="1"/>
  <c r="S123"/>
  <c r="W123" s="1"/>
  <c r="S124"/>
  <c r="W124" s="1"/>
  <c r="S125"/>
  <c r="W125" s="1"/>
  <c r="S127"/>
  <c r="W127" s="1"/>
  <c r="S128"/>
  <c r="W128" s="1"/>
  <c r="S129"/>
  <c r="W129" s="1"/>
  <c r="S130"/>
  <c r="W130" s="1"/>
  <c r="S131"/>
  <c r="W131" s="1"/>
  <c r="S132"/>
  <c r="W132" s="1"/>
  <c r="S134"/>
  <c r="W134" s="1"/>
  <c r="S135"/>
  <c r="W135" s="1"/>
  <c r="S136"/>
  <c r="W136" s="1"/>
  <c r="S137"/>
  <c r="W137" s="1"/>
  <c r="S138"/>
  <c r="W138" s="1"/>
  <c r="S139"/>
  <c r="W139" s="1"/>
  <c r="S140"/>
  <c r="W140" s="1"/>
  <c r="S141"/>
  <c r="W141" s="1"/>
  <c r="S142"/>
  <c r="W142" s="1"/>
  <c r="S143"/>
  <c r="W143" s="1"/>
  <c r="S144"/>
  <c r="W144" s="1"/>
  <c r="S145"/>
  <c r="W145" s="1"/>
  <c r="S146"/>
  <c r="W146" s="1"/>
  <c r="S147"/>
  <c r="W147" s="1"/>
  <c r="S148"/>
  <c r="W148" s="1"/>
  <c r="S150"/>
  <c r="W150" s="1"/>
  <c r="S151"/>
  <c r="W151" s="1"/>
  <c r="S152"/>
  <c r="W152" s="1"/>
  <c r="S153"/>
  <c r="W153" s="1"/>
  <c r="S155"/>
  <c r="W155" s="1"/>
  <c r="S156"/>
  <c r="W156" s="1"/>
  <c r="S157"/>
  <c r="W157" s="1"/>
  <c r="S158"/>
  <c r="W158" s="1"/>
  <c r="S159"/>
  <c r="W159" s="1"/>
  <c r="S160"/>
  <c r="W160" s="1"/>
  <c r="S161"/>
  <c r="W161" s="1"/>
  <c r="S162"/>
  <c r="W162" s="1"/>
  <c r="S163"/>
  <c r="W163" s="1"/>
  <c r="S165"/>
  <c r="W165" s="1"/>
  <c r="S185"/>
  <c r="W185" s="1"/>
  <c r="S186"/>
  <c r="W186" s="1"/>
  <c r="S187"/>
  <c r="W187" s="1"/>
  <c r="S189"/>
  <c r="W189" s="1"/>
  <c r="S190"/>
  <c r="W190" s="1"/>
  <c r="S191"/>
  <c r="W191" s="1"/>
  <c r="S192"/>
  <c r="W192" s="1"/>
  <c r="S193"/>
  <c r="W193" s="1"/>
  <c r="S194"/>
  <c r="W194" s="1"/>
  <c r="S195"/>
  <c r="W195" s="1"/>
  <c r="S199"/>
  <c r="W199" s="1"/>
  <c r="S200"/>
  <c r="W200" s="1"/>
  <c r="S201"/>
  <c r="W201" s="1"/>
  <c r="S202"/>
  <c r="W202" s="1"/>
  <c r="S203"/>
  <c r="W203" s="1"/>
  <c r="S204"/>
  <c r="W204" s="1"/>
  <c r="S205"/>
  <c r="W205" s="1"/>
  <c r="S206"/>
  <c r="W206" s="1"/>
  <c r="S207"/>
  <c r="W207" s="1"/>
  <c r="S208"/>
  <c r="W208" s="1"/>
  <c r="S209"/>
  <c r="W209" s="1"/>
  <c r="S211"/>
  <c r="W211" s="1"/>
  <c r="S212"/>
  <c r="W212" s="1"/>
  <c r="S213"/>
  <c r="W213" s="1"/>
  <c r="S214"/>
  <c r="W214" s="1"/>
  <c r="S215"/>
  <c r="W215" s="1"/>
  <c r="S216"/>
  <c r="W216" s="1"/>
  <c r="S217"/>
  <c r="W217" s="1"/>
  <c r="S219"/>
  <c r="W219" s="1"/>
  <c r="S220"/>
  <c r="W220" s="1"/>
  <c r="S221"/>
  <c r="W221" s="1"/>
  <c r="S222"/>
  <c r="W222" s="1"/>
  <c r="S224"/>
  <c r="W224" s="1"/>
  <c r="S226"/>
  <c r="W226" s="1"/>
  <c r="S230"/>
  <c r="W230" s="1"/>
  <c r="S232"/>
  <c r="W232" s="1"/>
  <c r="S233"/>
  <c r="W233" s="1"/>
  <c r="S234"/>
  <c r="W234" s="1"/>
  <c r="S235"/>
  <c r="W235" s="1"/>
  <c r="S236"/>
  <c r="W236" s="1"/>
  <c r="S237"/>
  <c r="W237" s="1"/>
  <c r="S238"/>
  <c r="W238" s="1"/>
  <c r="S239"/>
  <c r="W239" s="1"/>
  <c r="S241"/>
  <c r="W241" s="1"/>
  <c r="S242"/>
  <c r="W242" s="1"/>
  <c r="S243"/>
  <c r="W243" s="1"/>
  <c r="S244"/>
  <c r="W244" s="1"/>
  <c r="S245"/>
  <c r="W245" s="1"/>
  <c r="S246"/>
  <c r="W246" s="1"/>
  <c r="S247"/>
  <c r="W247" s="1"/>
  <c r="S248"/>
  <c r="W248" s="1"/>
  <c r="S249"/>
  <c r="W249" s="1"/>
  <c r="S250"/>
  <c r="W250" s="1"/>
  <c r="S251"/>
  <c r="W251" s="1"/>
  <c r="S252"/>
  <c r="W252" s="1"/>
  <c r="S253"/>
  <c r="W253" s="1"/>
  <c r="S254"/>
  <c r="W254" s="1"/>
  <c r="S255"/>
  <c r="W255" s="1"/>
  <c r="S256"/>
  <c r="W256" s="1"/>
  <c r="E66" i="13"/>
  <c r="BM66"/>
  <c r="K66"/>
  <c r="W66"/>
  <c r="AI66"/>
  <c r="AS66" s="1"/>
  <c r="AY66"/>
  <c r="E113"/>
  <c r="BM113"/>
  <c r="K113"/>
  <c r="W113"/>
  <c r="AI113"/>
  <c r="AS113" s="1"/>
  <c r="AY113"/>
  <c r="E14"/>
  <c r="BM14"/>
  <c r="M14" s="1"/>
  <c r="K14" s="1"/>
  <c r="AY14" s="1"/>
  <c r="W14"/>
  <c r="AI14"/>
  <c r="AS14" s="1"/>
  <c r="E15"/>
  <c r="BM15"/>
  <c r="M15" s="1"/>
  <c r="K15" s="1"/>
  <c r="AY15" s="1"/>
  <c r="W15"/>
  <c r="AS15"/>
  <c r="E58"/>
  <c r="BM58"/>
  <c r="K58"/>
  <c r="W58"/>
  <c r="AI58"/>
  <c r="AS58"/>
  <c r="AY58"/>
  <c r="E88"/>
  <c r="BM88"/>
  <c r="K88"/>
  <c r="W88"/>
  <c r="AI88"/>
  <c r="AS88" s="1"/>
  <c r="E16"/>
  <c r="BM16"/>
  <c r="M16" s="1"/>
  <c r="K16" s="1"/>
  <c r="AY16" s="1"/>
  <c r="W16"/>
  <c r="AS16"/>
  <c r="E145"/>
  <c r="BM145"/>
  <c r="K145"/>
  <c r="W145"/>
  <c r="AI145"/>
  <c r="AS145" s="1"/>
  <c r="E13"/>
  <c r="BM13"/>
  <c r="M13" s="1"/>
  <c r="K13" s="1"/>
  <c r="W13"/>
  <c r="AI13"/>
  <c r="AS13"/>
  <c r="E125"/>
  <c r="BM125"/>
  <c r="K125"/>
  <c r="W125"/>
  <c r="AI125"/>
  <c r="AS125"/>
  <c r="AY125"/>
  <c r="E199"/>
  <c r="AY199" s="1"/>
  <c r="BM199"/>
  <c r="K199"/>
  <c r="W199"/>
  <c r="AI199"/>
  <c r="AS199" s="1"/>
  <c r="E77"/>
  <c r="AY77" s="1"/>
  <c r="BM77"/>
  <c r="K77"/>
  <c r="W77"/>
  <c r="AS77"/>
  <c r="E94"/>
  <c r="BM94"/>
  <c r="K94"/>
  <c r="W94"/>
  <c r="AI94"/>
  <c r="AS94" s="1"/>
  <c r="AY94"/>
  <c r="E136"/>
  <c r="BM136"/>
  <c r="K136"/>
  <c r="W136"/>
  <c r="AI136"/>
  <c r="AS136" s="1"/>
  <c r="AY136"/>
  <c r="E138"/>
  <c r="BM138"/>
  <c r="K138"/>
  <c r="W138"/>
  <c r="AI138"/>
  <c r="AS138" s="1"/>
  <c r="AY138"/>
  <c r="E164"/>
  <c r="BM164"/>
  <c r="K164"/>
  <c r="W164"/>
  <c r="AI164"/>
  <c r="AS164" s="1"/>
  <c r="E211"/>
  <c r="BM211"/>
  <c r="K211"/>
  <c r="W211"/>
  <c r="AI211"/>
  <c r="AS211" s="1"/>
  <c r="AY211"/>
  <c r="E220"/>
  <c r="BM220"/>
  <c r="K220"/>
  <c r="W220"/>
  <c r="AI220"/>
  <c r="AS220" s="1"/>
  <c r="AY220"/>
  <c r="E146"/>
  <c r="AY146" s="1"/>
  <c r="BM146"/>
  <c r="K146"/>
  <c r="W146"/>
  <c r="AI146"/>
  <c r="AS146" s="1"/>
  <c r="E197"/>
  <c r="AY197" s="1"/>
  <c r="BM197"/>
  <c r="K197"/>
  <c r="W197"/>
  <c r="AI197"/>
  <c r="AS197" s="1"/>
  <c r="E137"/>
  <c r="AY137" s="1"/>
  <c r="BM137"/>
  <c r="K137"/>
  <c r="W137"/>
  <c r="AI137"/>
  <c r="AS137" s="1"/>
  <c r="E241"/>
  <c r="AY241" s="1"/>
  <c r="BM241"/>
  <c r="K241"/>
  <c r="W241"/>
  <c r="AI241"/>
  <c r="AS241" s="1"/>
  <c r="E69"/>
  <c r="AY69" s="1"/>
  <c r="BM69"/>
  <c r="K69"/>
  <c r="W69"/>
  <c r="AI69"/>
  <c r="AS69" s="1"/>
  <c r="E70"/>
  <c r="AY70" s="1"/>
  <c r="BM70"/>
  <c r="K70"/>
  <c r="W70"/>
  <c r="AI70"/>
  <c r="AS70" s="1"/>
  <c r="E184"/>
  <c r="BM184"/>
  <c r="K184"/>
  <c r="W184"/>
  <c r="AI184"/>
  <c r="AS184" s="1"/>
  <c r="AY184"/>
  <c r="E60"/>
  <c r="BM60"/>
  <c r="K60"/>
  <c r="W60"/>
  <c r="AI60"/>
  <c r="AS60" s="1"/>
  <c r="AY60"/>
  <c r="E40"/>
  <c r="BM40"/>
  <c r="K40"/>
  <c r="W40"/>
  <c r="AI40"/>
  <c r="AS40"/>
  <c r="AY40"/>
  <c r="E21"/>
  <c r="BM21"/>
  <c r="M21" s="1"/>
  <c r="K21" s="1"/>
  <c r="W21"/>
  <c r="AI21"/>
  <c r="AS21" s="1"/>
  <c r="E22"/>
  <c r="BM22"/>
  <c r="M22"/>
  <c r="K22" s="1"/>
  <c r="AY22" s="1"/>
  <c r="W22"/>
  <c r="AI22"/>
  <c r="AS22" s="1"/>
  <c r="E24"/>
  <c r="BM24"/>
  <c r="M24" s="1"/>
  <c r="K24" s="1"/>
  <c r="AY24" s="1"/>
  <c r="W24"/>
  <c r="AI24"/>
  <c r="AS24" s="1"/>
  <c r="E25"/>
  <c r="BM25"/>
  <c r="M25" s="1"/>
  <c r="K25" s="1"/>
  <c r="AY25" s="1"/>
  <c r="W25"/>
  <c r="AI25"/>
  <c r="AS25" s="1"/>
  <c r="E30"/>
  <c r="BM30"/>
  <c r="M30" s="1"/>
  <c r="K30" s="1"/>
  <c r="W30"/>
  <c r="AI30"/>
  <c r="AS30" s="1"/>
  <c r="E34"/>
  <c r="BM34"/>
  <c r="M34"/>
  <c r="K34" s="1"/>
  <c r="AY34" s="1"/>
  <c r="AI34"/>
  <c r="AS34"/>
  <c r="E35"/>
  <c r="BM35"/>
  <c r="M35" s="1"/>
  <c r="K35" s="1"/>
  <c r="W35"/>
  <c r="AI35"/>
  <c r="E36"/>
  <c r="BM36"/>
  <c r="M36" s="1"/>
  <c r="K36" s="1"/>
  <c r="AY36" s="1"/>
  <c r="W36"/>
  <c r="AI36"/>
  <c r="AS36" s="1"/>
  <c r="E37"/>
  <c r="BM37"/>
  <c r="M37" s="1"/>
  <c r="K37" s="1"/>
  <c r="W37"/>
  <c r="AI37"/>
  <c r="E46"/>
  <c r="BM46"/>
  <c r="K46"/>
  <c r="W46"/>
  <c r="AI46"/>
  <c r="AS46" s="1"/>
  <c r="AY46"/>
  <c r="E54"/>
  <c r="BM54"/>
  <c r="K54"/>
  <c r="W54"/>
  <c r="AI54"/>
  <c r="AS54" s="1"/>
  <c r="AY54"/>
  <c r="E75"/>
  <c r="BM75"/>
  <c r="K75"/>
  <c r="W75"/>
  <c r="AI75"/>
  <c r="AS75" s="1"/>
  <c r="AY75"/>
  <c r="E79"/>
  <c r="BM79"/>
  <c r="K79"/>
  <c r="W79"/>
  <c r="AI79"/>
  <c r="AS79" s="1"/>
  <c r="AY79"/>
  <c r="E87"/>
  <c r="BM87"/>
  <c r="K87"/>
  <c r="W87"/>
  <c r="AI87"/>
  <c r="AS87" s="1"/>
  <c r="AY87"/>
  <c r="E97"/>
  <c r="BM97"/>
  <c r="K97"/>
  <c r="W97"/>
  <c r="AI97"/>
  <c r="AS97" s="1"/>
  <c r="AY97"/>
  <c r="E104"/>
  <c r="BM104"/>
  <c r="K104"/>
  <c r="W104"/>
  <c r="AS104"/>
  <c r="E110"/>
  <c r="AY110" s="1"/>
  <c r="BM110"/>
  <c r="K110"/>
  <c r="W110"/>
  <c r="AI110"/>
  <c r="AS110" s="1"/>
  <c r="E119"/>
  <c r="AY119" s="1"/>
  <c r="BM119"/>
  <c r="K119"/>
  <c r="W119"/>
  <c r="AI119"/>
  <c r="AS119" s="1"/>
  <c r="E122"/>
  <c r="AY122" s="1"/>
  <c r="BM122"/>
  <c r="K122"/>
  <c r="W122"/>
  <c r="AI122"/>
  <c r="AS122" s="1"/>
  <c r="E130"/>
  <c r="BM130"/>
  <c r="K130"/>
  <c r="W130"/>
  <c r="AS130"/>
  <c r="E135"/>
  <c r="BM135"/>
  <c r="K135"/>
  <c r="W135"/>
  <c r="AI135"/>
  <c r="AS135" s="1"/>
  <c r="AY135"/>
  <c r="E151"/>
  <c r="BM151"/>
  <c r="K151"/>
  <c r="W151"/>
  <c r="AI151"/>
  <c r="AS151" s="1"/>
  <c r="AY151"/>
  <c r="E153"/>
  <c r="BM153"/>
  <c r="K153"/>
  <c r="W153"/>
  <c r="AI153"/>
  <c r="AS153" s="1"/>
  <c r="AY153"/>
  <c r="E160"/>
  <c r="BM160"/>
  <c r="K160"/>
  <c r="W160"/>
  <c r="AI160"/>
  <c r="AS160"/>
  <c r="AY160"/>
  <c r="E166"/>
  <c r="BM166"/>
  <c r="K166"/>
  <c r="W166"/>
  <c r="AI166"/>
  <c r="AS166" s="1"/>
  <c r="E167"/>
  <c r="BM167"/>
  <c r="K167"/>
  <c r="W167"/>
  <c r="AI167"/>
  <c r="AS167" s="1"/>
  <c r="AY167"/>
  <c r="E169"/>
  <c r="BM169"/>
  <c r="K169"/>
  <c r="W169"/>
  <c r="AI169"/>
  <c r="AS169" s="1"/>
  <c r="AY169"/>
  <c r="E179"/>
  <c r="BM179"/>
  <c r="K179"/>
  <c r="W179"/>
  <c r="AI179"/>
  <c r="AS179"/>
  <c r="AY179"/>
  <c r="E182"/>
  <c r="AY182" s="1"/>
  <c r="BM182"/>
  <c r="K182"/>
  <c r="W182"/>
  <c r="AI182"/>
  <c r="AS182" s="1"/>
  <c r="E186"/>
  <c r="AY186" s="1"/>
  <c r="BM186"/>
  <c r="K186"/>
  <c r="W186"/>
  <c r="AI186"/>
  <c r="AS186" s="1"/>
  <c r="E187"/>
  <c r="AY187" s="1"/>
  <c r="BM187"/>
  <c r="K187"/>
  <c r="W187"/>
  <c r="AI187"/>
  <c r="AS187" s="1"/>
  <c r="E193"/>
  <c r="BM193"/>
  <c r="K193"/>
  <c r="AY193" s="1"/>
  <c r="W193"/>
  <c r="AS193"/>
  <c r="E194"/>
  <c r="BM194"/>
  <c r="K194"/>
  <c r="W194"/>
  <c r="AI194"/>
  <c r="AS194" s="1"/>
  <c r="AY194"/>
  <c r="E204"/>
  <c r="BM204"/>
  <c r="K204"/>
  <c r="W204"/>
  <c r="AS204"/>
  <c r="E217"/>
  <c r="BM217"/>
  <c r="K217"/>
  <c r="W217"/>
  <c r="AI217"/>
  <c r="AS217" s="1"/>
  <c r="AY217"/>
  <c r="E227"/>
  <c r="BM227"/>
  <c r="K227"/>
  <c r="W227"/>
  <c r="AI227"/>
  <c r="AS227" s="1"/>
  <c r="AY227"/>
  <c r="E234"/>
  <c r="BM234"/>
  <c r="K234"/>
  <c r="W234"/>
  <c r="AI234"/>
  <c r="AS234" s="1"/>
  <c r="AY234"/>
  <c r="E92"/>
  <c r="BM92"/>
  <c r="K92"/>
  <c r="W92"/>
  <c r="AI92"/>
  <c r="AS92" s="1"/>
  <c r="AY92"/>
  <c r="E64"/>
  <c r="BM64"/>
  <c r="K64"/>
  <c r="W64"/>
  <c r="AI64"/>
  <c r="AS64"/>
  <c r="AY64"/>
  <c r="E65"/>
  <c r="BM65"/>
  <c r="K65"/>
  <c r="W65"/>
  <c r="AS65"/>
  <c r="E175"/>
  <c r="BM175"/>
  <c r="K175"/>
  <c r="W175"/>
  <c r="AI175"/>
  <c r="AS175" s="1"/>
  <c r="AY175"/>
  <c r="E103"/>
  <c r="BM103"/>
  <c r="K103"/>
  <c r="W103"/>
  <c r="AI103"/>
  <c r="AS103" s="1"/>
  <c r="E185"/>
  <c r="BM185"/>
  <c r="K185"/>
  <c r="W185"/>
  <c r="AI185"/>
  <c r="AS185" s="1"/>
  <c r="AY185"/>
  <c r="E222"/>
  <c r="AY222" s="1"/>
  <c r="BM222"/>
  <c r="K222"/>
  <c r="W222"/>
  <c r="AI222"/>
  <c r="AS222" s="1"/>
  <c r="E111"/>
  <c r="AY111" s="1"/>
  <c r="BM111"/>
  <c r="K111"/>
  <c r="W111"/>
  <c r="AI111"/>
  <c r="AS111" s="1"/>
  <c r="E171"/>
  <c r="AY171" s="1"/>
  <c r="BM171"/>
  <c r="K171"/>
  <c r="W171"/>
  <c r="AI171"/>
  <c r="AS171" s="1"/>
  <c r="E228"/>
  <c r="BM228"/>
  <c r="K228"/>
  <c r="W228"/>
  <c r="AI228"/>
  <c r="AS228" s="1"/>
  <c r="AY228"/>
  <c r="E31"/>
  <c r="BM31"/>
  <c r="M31" s="1"/>
  <c r="K31" s="1"/>
  <c r="AY31" s="1"/>
  <c r="W31"/>
  <c r="AI31"/>
  <c r="AS31" s="1"/>
  <c r="E53"/>
  <c r="K53"/>
  <c r="W53"/>
  <c r="AI53"/>
  <c r="AS53"/>
  <c r="E68"/>
  <c r="BM68"/>
  <c r="K68"/>
  <c r="W68"/>
  <c r="AI68"/>
  <c r="AS68" s="1"/>
  <c r="AY68"/>
  <c r="E85"/>
  <c r="BM85"/>
  <c r="K85"/>
  <c r="W85"/>
  <c r="AS85"/>
  <c r="E90"/>
  <c r="AY90" s="1"/>
  <c r="BM90"/>
  <c r="K90"/>
  <c r="W90"/>
  <c r="AI90"/>
  <c r="AS90" s="1"/>
  <c r="E93"/>
  <c r="BM93"/>
  <c r="K93"/>
  <c r="W93"/>
  <c r="AI93"/>
  <c r="AS93" s="1"/>
  <c r="AY93"/>
  <c r="E98"/>
  <c r="BM98"/>
  <c r="K98"/>
  <c r="W98"/>
  <c r="AI98"/>
  <c r="AS98" s="1"/>
  <c r="E178"/>
  <c r="BM178"/>
  <c r="K178"/>
  <c r="W178"/>
  <c r="AI178"/>
  <c r="AS178" s="1"/>
  <c r="AY178"/>
  <c r="E218"/>
  <c r="BM218"/>
  <c r="K218"/>
  <c r="W218"/>
  <c r="AI218"/>
  <c r="AS218" s="1"/>
  <c r="AY218"/>
  <c r="BM233"/>
  <c r="K233"/>
  <c r="AY233" s="1"/>
  <c r="W233"/>
  <c r="AI233"/>
  <c r="AS233" s="1"/>
  <c r="E235"/>
  <c r="BM235"/>
  <c r="K235"/>
  <c r="W235"/>
  <c r="AS235"/>
  <c r="E243"/>
  <c r="BM243"/>
  <c r="K243"/>
  <c r="W243"/>
  <c r="AI243"/>
  <c r="AS243" s="1"/>
  <c r="AY243"/>
  <c r="E229"/>
  <c r="BM229"/>
  <c r="K229"/>
  <c r="AI229"/>
  <c r="AS229" s="1"/>
  <c r="E48"/>
  <c r="BM48"/>
  <c r="K48"/>
  <c r="W48"/>
  <c r="AI48"/>
  <c r="AS48" s="1"/>
  <c r="AY48"/>
  <c r="E23"/>
  <c r="BM23"/>
  <c r="M23" s="1"/>
  <c r="K23" s="1"/>
  <c r="AY23" s="1"/>
  <c r="W23"/>
  <c r="AI23"/>
  <c r="AS23" s="1"/>
  <c r="E26"/>
  <c r="BM26"/>
  <c r="M26" s="1"/>
  <c r="K26" s="1"/>
  <c r="W26"/>
  <c r="AI26"/>
  <c r="AS26" s="1"/>
  <c r="E76"/>
  <c r="BM76"/>
  <c r="K76"/>
  <c r="AY76" s="1"/>
  <c r="W76"/>
  <c r="AI76"/>
  <c r="AS76" s="1"/>
  <c r="E245"/>
  <c r="AY245" s="1"/>
  <c r="BM245"/>
  <c r="K245"/>
  <c r="W245"/>
  <c r="AI245"/>
  <c r="AS245" s="1"/>
  <c r="E108"/>
  <c r="BM108"/>
  <c r="K108"/>
  <c r="W108"/>
  <c r="AI108"/>
  <c r="AS108" s="1"/>
  <c r="AY108"/>
  <c r="E41"/>
  <c r="BM41"/>
  <c r="K41"/>
  <c r="W41"/>
  <c r="AI41"/>
  <c r="AS41" s="1"/>
  <c r="AY41"/>
  <c r="E32"/>
  <c r="M32"/>
  <c r="K32" s="1"/>
  <c r="W32"/>
  <c r="AS32"/>
  <c r="E49"/>
  <c r="BM49"/>
  <c r="K49"/>
  <c r="W49"/>
  <c r="AI49"/>
  <c r="AS49" s="1"/>
  <c r="AY49"/>
  <c r="E51"/>
  <c r="BM51"/>
  <c r="K51"/>
  <c r="W51"/>
  <c r="AI51"/>
  <c r="AS51" s="1"/>
  <c r="AY51"/>
  <c r="E63"/>
  <c r="BM63"/>
  <c r="K63"/>
  <c r="W63"/>
  <c r="AI63"/>
  <c r="AS63" s="1"/>
  <c r="E81"/>
  <c r="BM81"/>
  <c r="K81"/>
  <c r="W81"/>
  <c r="AI81"/>
  <c r="AS81" s="1"/>
  <c r="AY81"/>
  <c r="E95"/>
  <c r="BM95"/>
  <c r="K95"/>
  <c r="W95"/>
  <c r="AI95"/>
  <c r="AS95" s="1"/>
  <c r="AY95"/>
  <c r="E118"/>
  <c r="BM118"/>
  <c r="K118"/>
  <c r="W118"/>
  <c r="AS118"/>
  <c r="E139"/>
  <c r="AY139" s="1"/>
  <c r="BM139"/>
  <c r="K139"/>
  <c r="W139"/>
  <c r="AI139"/>
  <c r="AS139" s="1"/>
  <c r="E141"/>
  <c r="AY141" s="1"/>
  <c r="BM141"/>
  <c r="K141"/>
  <c r="W141"/>
  <c r="AI141"/>
  <c r="AS141" s="1"/>
  <c r="E157"/>
  <c r="AY157" s="1"/>
  <c r="BM157"/>
  <c r="K157"/>
  <c r="W157"/>
  <c r="AI157"/>
  <c r="AS157" s="1"/>
  <c r="E177"/>
  <c r="AY177" s="1"/>
  <c r="BM177"/>
  <c r="K177"/>
  <c r="W177"/>
  <c r="AI177"/>
  <c r="AS177" s="1"/>
  <c r="E188"/>
  <c r="AY188" s="1"/>
  <c r="BM188"/>
  <c r="K188"/>
  <c r="W188"/>
  <c r="AI188"/>
  <c r="AS188" s="1"/>
  <c r="E192"/>
  <c r="BM192"/>
  <c r="K192"/>
  <c r="W192"/>
  <c r="AI192"/>
  <c r="AS192" s="1"/>
  <c r="AY192"/>
  <c r="E196"/>
  <c r="BM196"/>
  <c r="K196"/>
  <c r="W196"/>
  <c r="AI196"/>
  <c r="AS196" s="1"/>
  <c r="AY196"/>
  <c r="E198"/>
  <c r="BM198"/>
  <c r="K198"/>
  <c r="W198"/>
  <c r="AI198"/>
  <c r="AS198" s="1"/>
  <c r="AY198"/>
  <c r="E244"/>
  <c r="BM244"/>
  <c r="K244"/>
  <c r="W244"/>
  <c r="AS244"/>
  <c r="E80"/>
  <c r="BM80"/>
  <c r="K80"/>
  <c r="AY80" s="1"/>
  <c r="W80"/>
  <c r="AI80"/>
  <c r="AS80" s="1"/>
  <c r="E99"/>
  <c r="BM99"/>
  <c r="K99"/>
  <c r="W99"/>
  <c r="AI99"/>
  <c r="AS99" s="1"/>
  <c r="E114"/>
  <c r="AY114" s="1"/>
  <c r="BM114"/>
  <c r="K114"/>
  <c r="W114"/>
  <c r="AI114"/>
  <c r="AS114" s="1"/>
  <c r="E28"/>
  <c r="M28"/>
  <c r="K28" s="1"/>
  <c r="W28"/>
  <c r="AI28"/>
  <c r="E156"/>
  <c r="AY156" s="1"/>
  <c r="BM156"/>
  <c r="K156"/>
  <c r="W156"/>
  <c r="AI156"/>
  <c r="AS156" s="1"/>
  <c r="E237"/>
  <c r="BM237"/>
  <c r="K237"/>
  <c r="AY237" s="1"/>
  <c r="W237"/>
  <c r="AI237"/>
  <c r="AS237" s="1"/>
  <c r="E106"/>
  <c r="BM106"/>
  <c r="K106"/>
  <c r="W106"/>
  <c r="AI106"/>
  <c r="AS106" s="1"/>
  <c r="AY106"/>
  <c r="E231"/>
  <c r="BM231"/>
  <c r="K231"/>
  <c r="W231"/>
  <c r="AI231"/>
  <c r="AS231"/>
  <c r="AY231"/>
  <c r="E210"/>
  <c r="AY210" s="1"/>
  <c r="BM210"/>
  <c r="K210"/>
  <c r="W210"/>
  <c r="AI210"/>
  <c r="AS210" s="1"/>
  <c r="E142"/>
  <c r="AY142" s="1"/>
  <c r="K142"/>
  <c r="W142"/>
  <c r="AI142"/>
  <c r="AS142" s="1"/>
  <c r="E71"/>
  <c r="AY71" s="1"/>
  <c r="BM71"/>
  <c r="K71"/>
  <c r="W71"/>
  <c r="AI71"/>
  <c r="AS71" s="1"/>
  <c r="E132"/>
  <c r="AY132" s="1"/>
  <c r="BM132"/>
  <c r="K132"/>
  <c r="W132"/>
  <c r="AI132"/>
  <c r="AS132" s="1"/>
  <c r="E133"/>
  <c r="AY133" s="1"/>
  <c r="BM133"/>
  <c r="K133"/>
  <c r="W133"/>
  <c r="AI133"/>
  <c r="AS133" s="1"/>
  <c r="BM165"/>
  <c r="W165"/>
  <c r="AI165"/>
  <c r="AS165" s="1"/>
  <c r="AY165"/>
  <c r="E236"/>
  <c r="BM236"/>
  <c r="K236"/>
  <c r="W236"/>
  <c r="AI236"/>
  <c r="AS236" s="1"/>
  <c r="E238"/>
  <c r="BM238"/>
  <c r="K238"/>
  <c r="W238"/>
  <c r="AI238"/>
  <c r="AS238" s="1"/>
  <c r="AY238"/>
  <c r="E239"/>
  <c r="BM239"/>
  <c r="K239"/>
  <c r="W239"/>
  <c r="AI239"/>
  <c r="AS239" s="1"/>
  <c r="AY239"/>
  <c r="E240"/>
  <c r="BM240"/>
  <c r="K240"/>
  <c r="W240"/>
  <c r="AI240"/>
  <c r="E105"/>
  <c r="AY105" s="1"/>
  <c r="BM105"/>
  <c r="K105"/>
  <c r="W105"/>
  <c r="AI105"/>
  <c r="AS105" s="1"/>
  <c r="E96"/>
  <c r="AY96" s="1"/>
  <c r="BM96"/>
  <c r="K96"/>
  <c r="W96"/>
  <c r="AI96"/>
  <c r="AS96" s="1"/>
  <c r="E148"/>
  <c r="AY148" s="1"/>
  <c r="BM148"/>
  <c r="K148"/>
  <c r="W148"/>
  <c r="AI148"/>
  <c r="AS148" s="1"/>
  <c r="E168"/>
  <c r="BM168"/>
  <c r="K168"/>
  <c r="W168"/>
  <c r="AI168"/>
  <c r="AS168" s="1"/>
  <c r="AY168"/>
  <c r="E27"/>
  <c r="BM27"/>
  <c r="M27" s="1"/>
  <c r="K27" s="1"/>
  <c r="AY27" s="1"/>
  <c r="W27"/>
  <c r="AI27"/>
  <c r="AS27" s="1"/>
  <c r="E18"/>
  <c r="BM18"/>
  <c r="M18" s="1"/>
  <c r="K18" s="1"/>
  <c r="W18"/>
  <c r="AI18"/>
  <c r="E19"/>
  <c r="BM19"/>
  <c r="M19" s="1"/>
  <c r="K19" s="1"/>
  <c r="W19"/>
  <c r="AI19"/>
  <c r="AS19" s="1"/>
  <c r="E73"/>
  <c r="BM73"/>
  <c r="K73"/>
  <c r="AI73"/>
  <c r="AS73" s="1"/>
  <c r="E116"/>
  <c r="AY116" s="1"/>
  <c r="BM116"/>
  <c r="K116"/>
  <c r="W116"/>
  <c r="AI116"/>
  <c r="AS116" s="1"/>
  <c r="E152"/>
  <c r="AY152" s="1"/>
  <c r="BM152"/>
  <c r="K152"/>
  <c r="W152"/>
  <c r="AI152"/>
  <c r="AS152" s="1"/>
  <c r="BM159"/>
  <c r="W159"/>
  <c r="AY159"/>
  <c r="E189"/>
  <c r="K189"/>
  <c r="W189"/>
  <c r="AI189"/>
  <c r="AS189" s="1"/>
  <c r="E129"/>
  <c r="BM129"/>
  <c r="K129"/>
  <c r="W129"/>
  <c r="AI129"/>
  <c r="AS129" s="1"/>
  <c r="E162"/>
  <c r="AY162" s="1"/>
  <c r="BM162"/>
  <c r="K162"/>
  <c r="W162"/>
  <c r="AI162"/>
  <c r="AS162" s="1"/>
  <c r="E205"/>
  <c r="AY205" s="1"/>
  <c r="BM205"/>
  <c r="K205"/>
  <c r="W205"/>
  <c r="AI205"/>
  <c r="AS205" s="1"/>
  <c r="E209"/>
  <c r="BM209"/>
  <c r="K209"/>
  <c r="W209"/>
  <c r="AI209"/>
  <c r="AS209" s="1"/>
  <c r="AY209"/>
  <c r="E115"/>
  <c r="BM115"/>
  <c r="K115"/>
  <c r="W115"/>
  <c r="AI115"/>
  <c r="AS115" s="1"/>
  <c r="AY115"/>
  <c r="E43"/>
  <c r="BM43"/>
  <c r="K43"/>
  <c r="W43"/>
  <c r="AI43"/>
  <c r="AS43" s="1"/>
  <c r="AY43"/>
  <c r="E246"/>
  <c r="BM246"/>
  <c r="K246"/>
  <c r="W246"/>
  <c r="AI246"/>
  <c r="AS246" s="1"/>
  <c r="AY246"/>
  <c r="E124"/>
  <c r="BM124"/>
  <c r="K124"/>
  <c r="W124"/>
  <c r="AI124"/>
  <c r="AS124"/>
  <c r="AY124"/>
  <c r="E38"/>
  <c r="BM38"/>
  <c r="M38"/>
  <c r="K38" s="1"/>
  <c r="AY38" s="1"/>
  <c r="W38"/>
  <c r="AI38"/>
  <c r="AS38" s="1"/>
  <c r="E131"/>
  <c r="BM131"/>
  <c r="K131"/>
  <c r="W131"/>
  <c r="AI131"/>
  <c r="AS131" s="1"/>
  <c r="AY131"/>
  <c r="E61"/>
  <c r="BM61"/>
  <c r="K61"/>
  <c r="W61"/>
  <c r="AI61"/>
  <c r="AS61" s="1"/>
  <c r="AY61"/>
  <c r="E100"/>
  <c r="BM100"/>
  <c r="K100"/>
  <c r="W100"/>
  <c r="AI100"/>
  <c r="AS100"/>
  <c r="AY100"/>
  <c r="E102"/>
  <c r="BM102"/>
  <c r="K102"/>
  <c r="W102"/>
  <c r="AI102"/>
  <c r="AS102" s="1"/>
  <c r="E213"/>
  <c r="AY213" s="1"/>
  <c r="BM213"/>
  <c r="K213"/>
  <c r="W213"/>
  <c r="AI213"/>
  <c r="AS213" s="1"/>
  <c r="E47"/>
  <c r="AY47" s="1"/>
  <c r="BM47"/>
  <c r="K47"/>
  <c r="W47"/>
  <c r="AI47"/>
  <c r="AS47" s="1"/>
  <c r="E52"/>
  <c r="BM52"/>
  <c r="K52"/>
  <c r="W52"/>
  <c r="AS52"/>
  <c r="E62"/>
  <c r="BM62"/>
  <c r="K62"/>
  <c r="W62"/>
  <c r="AI62"/>
  <c r="AS62" s="1"/>
  <c r="E74"/>
  <c r="AY74" s="1"/>
  <c r="BM74"/>
  <c r="K74"/>
  <c r="W74"/>
  <c r="AI74"/>
  <c r="AS74" s="1"/>
  <c r="E101"/>
  <c r="AY101" s="1"/>
  <c r="BM101"/>
  <c r="K101"/>
  <c r="W101"/>
  <c r="AI101"/>
  <c r="AS101" s="1"/>
  <c r="E109"/>
  <c r="BM109"/>
  <c r="K109"/>
  <c r="W109"/>
  <c r="AI109"/>
  <c r="E134"/>
  <c r="BM134"/>
  <c r="K134"/>
  <c r="W134"/>
  <c r="AI134"/>
  <c r="AS134" s="1"/>
  <c r="E140"/>
  <c r="AY140" s="1"/>
  <c r="BM140"/>
  <c r="K140"/>
  <c r="W140"/>
  <c r="AI140"/>
  <c r="AS140" s="1"/>
  <c r="E158"/>
  <c r="BM158"/>
  <c r="K158"/>
  <c r="W158"/>
  <c r="AI158"/>
  <c r="AS158" s="1"/>
  <c r="E181"/>
  <c r="BM181"/>
  <c r="K181"/>
  <c r="W181"/>
  <c r="AI181"/>
  <c r="AS181" s="1"/>
  <c r="AY181"/>
  <c r="E212"/>
  <c r="BM212"/>
  <c r="K212"/>
  <c r="W212"/>
  <c r="AI212"/>
  <c r="AS212" s="1"/>
  <c r="E216"/>
  <c r="AY216" s="1"/>
  <c r="BM216"/>
  <c r="K216"/>
  <c r="W216"/>
  <c r="AI216"/>
  <c r="AS216" s="1"/>
  <c r="E221"/>
  <c r="AY221" s="1"/>
  <c r="BM221"/>
  <c r="K221"/>
  <c r="W221"/>
  <c r="AI221"/>
  <c r="AS221" s="1"/>
  <c r="E232"/>
  <c r="AY232" s="1"/>
  <c r="BM232"/>
  <c r="K232"/>
  <c r="W232"/>
  <c r="AI232"/>
  <c r="AS232" s="1"/>
  <c r="E247"/>
  <c r="BM247"/>
  <c r="K247"/>
  <c r="W247"/>
  <c r="AI247"/>
  <c r="AS247" s="1"/>
  <c r="E173"/>
  <c r="BM173"/>
  <c r="K173"/>
  <c r="W173"/>
  <c r="AI173"/>
  <c r="AS173" s="1"/>
  <c r="AY173"/>
  <c r="E230"/>
  <c r="K230"/>
  <c r="AY230" s="1"/>
  <c r="W230"/>
  <c r="AS230"/>
  <c r="E17"/>
  <c r="BM17"/>
  <c r="M17" s="1"/>
  <c r="K17" s="1"/>
  <c r="W17"/>
  <c r="AI17"/>
  <c r="AS17" s="1"/>
  <c r="E107"/>
  <c r="BM107"/>
  <c r="K107"/>
  <c r="W107"/>
  <c r="AS107"/>
  <c r="E176"/>
  <c r="BM176"/>
  <c r="K176"/>
  <c r="W176"/>
  <c r="AI176"/>
  <c r="AS176" s="1"/>
  <c r="AY176"/>
  <c r="E203"/>
  <c r="BM203"/>
  <c r="K203"/>
  <c r="AY203" s="1"/>
  <c r="W203"/>
  <c r="AI203"/>
  <c r="AS203" s="1"/>
  <c r="E72"/>
  <c r="AY72" s="1"/>
  <c r="BM72"/>
  <c r="K72"/>
  <c r="W72"/>
  <c r="AI72"/>
  <c r="AS72" s="1"/>
  <c r="E121"/>
  <c r="BM121"/>
  <c r="K121"/>
  <c r="W121"/>
  <c r="AI121"/>
  <c r="AS121" s="1"/>
  <c r="AY121"/>
  <c r="E161"/>
  <c r="BM161"/>
  <c r="K161"/>
  <c r="W161"/>
  <c r="AI161"/>
  <c r="AS161" s="1"/>
  <c r="AY161"/>
  <c r="E112"/>
  <c r="BM112"/>
  <c r="K112"/>
  <c r="AY112" s="1"/>
  <c r="W112"/>
  <c r="AI112"/>
  <c r="AS112" s="1"/>
  <c r="E50"/>
  <c r="AY50" s="1"/>
  <c r="BM50"/>
  <c r="K50"/>
  <c r="W50"/>
  <c r="AI50"/>
  <c r="AS50" s="1"/>
  <c r="E144"/>
  <c r="BM144"/>
  <c r="K144"/>
  <c r="W144"/>
  <c r="AI144"/>
  <c r="AS144" s="1"/>
  <c r="AY144"/>
  <c r="E84"/>
  <c r="BM84"/>
  <c r="K84"/>
  <c r="W84"/>
  <c r="AI84"/>
  <c r="AS84" s="1"/>
  <c r="AY84"/>
  <c r="E174"/>
  <c r="BM174"/>
  <c r="K174"/>
  <c r="AY174" s="1"/>
  <c r="W174"/>
  <c r="AI174"/>
  <c r="AS174" s="1"/>
  <c r="E82"/>
  <c r="AY82" s="1"/>
  <c r="BM82"/>
  <c r="K82"/>
  <c r="W82"/>
  <c r="AI82"/>
  <c r="AS82" s="1"/>
  <c r="E207"/>
  <c r="BM207"/>
  <c r="K207"/>
  <c r="W207"/>
  <c r="AI207"/>
  <c r="AS207" s="1"/>
  <c r="AY207"/>
  <c r="E191"/>
  <c r="BM191"/>
  <c r="K191"/>
  <c r="W191"/>
  <c r="AI191"/>
  <c r="AS191" s="1"/>
  <c r="AY191"/>
  <c r="E12"/>
  <c r="BM12"/>
  <c r="M12" s="1"/>
  <c r="K12" s="1"/>
  <c r="AY12" s="1"/>
  <c r="W12"/>
  <c r="E42"/>
  <c r="BM42"/>
  <c r="K42"/>
  <c r="AY42" s="1"/>
  <c r="W42"/>
  <c r="AI42"/>
  <c r="AS42" s="1"/>
  <c r="E44"/>
  <c r="BM44"/>
  <c r="K44"/>
  <c r="W44"/>
  <c r="AI44"/>
  <c r="AS44"/>
  <c r="E117"/>
  <c r="BM117"/>
  <c r="K117"/>
  <c r="W117"/>
  <c r="AI117"/>
  <c r="AS117" s="1"/>
  <c r="AY117"/>
  <c r="E128"/>
  <c r="BM128"/>
  <c r="K128"/>
  <c r="W128"/>
  <c r="AI128"/>
  <c r="AS128" s="1"/>
  <c r="AY128"/>
  <c r="E150"/>
  <c r="BM150"/>
  <c r="K150"/>
  <c r="AY150" s="1"/>
  <c r="W150"/>
  <c r="AI150"/>
  <c r="AS150" s="1"/>
  <c r="E11"/>
  <c r="BM11"/>
  <c r="M11" s="1"/>
  <c r="K11" s="1"/>
  <c r="W11"/>
  <c r="AI11"/>
  <c r="AS11"/>
  <c r="E20"/>
  <c r="BM20"/>
  <c r="M20" s="1"/>
  <c r="K20" s="1"/>
  <c r="AY20" s="1"/>
  <c r="W20"/>
  <c r="AI20"/>
  <c r="AS20" s="1"/>
  <c r="BM163"/>
  <c r="W163"/>
  <c r="AI163"/>
  <c r="AS163"/>
  <c r="AY163"/>
  <c r="E78"/>
  <c r="AY78" s="1"/>
  <c r="BM78"/>
  <c r="K78"/>
  <c r="W78"/>
  <c r="AI78"/>
  <c r="AS78" s="1"/>
  <c r="E91"/>
  <c r="BM91"/>
  <c r="K91"/>
  <c r="W91"/>
  <c r="AI91"/>
  <c r="AS91" s="1"/>
  <c r="AY91"/>
  <c r="BM172"/>
  <c r="W172"/>
  <c r="AI172"/>
  <c r="AS172" s="1"/>
  <c r="AY172"/>
  <c r="E120"/>
  <c r="BM120"/>
  <c r="K120"/>
  <c r="W120"/>
  <c r="AI120"/>
  <c r="AS120"/>
  <c r="AY120"/>
  <c r="E143"/>
  <c r="BM143"/>
  <c r="K143"/>
  <c r="AY143" s="1"/>
  <c r="W143"/>
  <c r="AI143"/>
  <c r="AS143" s="1"/>
  <c r="E155"/>
  <c r="BM155"/>
  <c r="K155"/>
  <c r="W155"/>
  <c r="AI155"/>
  <c r="AS155"/>
  <c r="AY155"/>
  <c r="E202"/>
  <c r="BM202"/>
  <c r="K202"/>
  <c r="W202"/>
  <c r="AI202"/>
  <c r="AS202" s="1"/>
  <c r="E206"/>
  <c r="BM206"/>
  <c r="K206"/>
  <c r="W206"/>
  <c r="AI206"/>
  <c r="AS206"/>
  <c r="AY206"/>
  <c r="E214"/>
  <c r="AY214" s="1"/>
  <c r="BM214"/>
  <c r="K214"/>
  <c r="W214"/>
  <c r="AI214"/>
  <c r="AS214" s="1"/>
  <c r="E59"/>
  <c r="BM59"/>
  <c r="K59"/>
  <c r="W59"/>
  <c r="AI59"/>
  <c r="AS59" s="1"/>
  <c r="AY59"/>
  <c r="E89"/>
  <c r="BM89"/>
  <c r="K89"/>
  <c r="W89"/>
  <c r="AI89"/>
  <c r="AS89" s="1"/>
  <c r="E149"/>
  <c r="BM149"/>
  <c r="K149"/>
  <c r="W149"/>
  <c r="AI149"/>
  <c r="AS149" s="1"/>
  <c r="AY149"/>
  <c r="E226"/>
  <c r="BM226"/>
  <c r="K226"/>
  <c r="W226"/>
  <c r="AI226"/>
  <c r="AS226" s="1"/>
  <c r="AY226"/>
  <c r="E200"/>
  <c r="BM200"/>
  <c r="K200"/>
  <c r="W200"/>
  <c r="AI200"/>
  <c r="AS200"/>
  <c r="AY200"/>
  <c r="E147"/>
  <c r="BM147"/>
  <c r="K147"/>
  <c r="W147"/>
  <c r="AI147"/>
  <c r="AS147" s="1"/>
  <c r="E215"/>
  <c r="AY215" s="1"/>
  <c r="BM215"/>
  <c r="K215"/>
  <c r="AI215"/>
  <c r="AS215" s="1"/>
  <c r="E126"/>
  <c r="AY126" s="1"/>
  <c r="BM126"/>
  <c r="K126"/>
  <c r="W126"/>
  <c r="AI126"/>
  <c r="AS126" s="1"/>
  <c r="E83"/>
  <c r="BM83"/>
  <c r="K83"/>
  <c r="W83"/>
  <c r="AI83"/>
  <c r="AS83" s="1"/>
  <c r="E208"/>
  <c r="BM208"/>
  <c r="K208"/>
  <c r="AY208"/>
  <c r="W208"/>
  <c r="AI208"/>
  <c r="AS208" s="1"/>
  <c r="E127"/>
  <c r="BM127"/>
  <c r="K127"/>
  <c r="W127"/>
  <c r="AI127"/>
  <c r="AS127" s="1"/>
  <c r="BM195"/>
  <c r="K195"/>
  <c r="AY195" s="1"/>
  <c r="W195"/>
  <c r="AI195"/>
  <c r="AS195" s="1"/>
  <c r="E29"/>
  <c r="BM29"/>
  <c r="M29" s="1"/>
  <c r="K29" s="1"/>
  <c r="W29"/>
  <c r="AI29"/>
  <c r="AS29" s="1"/>
  <c r="E123"/>
  <c r="AY123" s="1"/>
  <c r="BM123"/>
  <c r="K123"/>
  <c r="W123"/>
  <c r="AI123"/>
  <c r="AS123" s="1"/>
  <c r="E223"/>
  <c r="BM223"/>
  <c r="K223"/>
  <c r="AY223" s="1"/>
  <c r="W223"/>
  <c r="AI223"/>
  <c r="AS223" s="1"/>
  <c r="E180"/>
  <c r="BM180"/>
  <c r="K180"/>
  <c r="W180"/>
  <c r="AI180"/>
  <c r="AS180" s="1"/>
  <c r="E242"/>
  <c r="AY242" s="1"/>
  <c r="BM242"/>
  <c r="K242"/>
  <c r="W242"/>
  <c r="AI242"/>
  <c r="AS242" s="1"/>
  <c r="E39"/>
  <c r="AY39" s="1"/>
  <c r="BM39"/>
  <c r="K39"/>
  <c r="W39"/>
  <c r="AI39"/>
  <c r="AS39" s="1"/>
  <c r="E225"/>
  <c r="BM225"/>
  <c r="K225"/>
  <c r="AY225" s="1"/>
  <c r="W225"/>
  <c r="AI225"/>
  <c r="AS225" s="1"/>
  <c r="E154"/>
  <c r="BM154"/>
  <c r="K154"/>
  <c r="W154"/>
  <c r="AI154"/>
  <c r="AS154" s="1"/>
  <c r="E170"/>
  <c r="AY170" s="1"/>
  <c r="BM170"/>
  <c r="K170"/>
  <c r="W170"/>
  <c r="AI170"/>
  <c r="AS170" s="1"/>
  <c r="E183"/>
  <c r="BM183"/>
  <c r="K183"/>
  <c r="W183"/>
  <c r="AI183"/>
  <c r="AS183" s="1"/>
  <c r="E219"/>
  <c r="BM219"/>
  <c r="K219"/>
  <c r="AY219" s="1"/>
  <c r="W219"/>
  <c r="AI219"/>
  <c r="AS219" s="1"/>
  <c r="E224"/>
  <c r="AY224" s="1"/>
  <c r="BM224"/>
  <c r="K224"/>
  <c r="W224"/>
  <c r="AI224"/>
  <c r="AS224" s="1"/>
  <c r="E10" i="14"/>
  <c r="K10"/>
  <c r="AY10" s="1"/>
  <c r="W10"/>
  <c r="AI10"/>
  <c r="AS10" s="1"/>
  <c r="BM10"/>
  <c r="E11"/>
  <c r="BM11"/>
  <c r="K11"/>
  <c r="W11"/>
  <c r="AI11"/>
  <c r="AS11" s="1"/>
  <c r="BM12"/>
  <c r="K12"/>
  <c r="AY12" s="1"/>
  <c r="W12"/>
  <c r="AI12"/>
  <c r="AS12" s="1"/>
  <c r="E13"/>
  <c r="K13"/>
  <c r="W13"/>
  <c r="AI13"/>
  <c r="AS13" s="1"/>
  <c r="BM13"/>
  <c r="E14"/>
  <c r="K14"/>
  <c r="W14"/>
  <c r="AI14"/>
  <c r="AS14" s="1"/>
  <c r="BM14"/>
  <c r="E15"/>
  <c r="K15"/>
  <c r="W15"/>
  <c r="AI15"/>
  <c r="AS15" s="1"/>
  <c r="BM15"/>
  <c r="E16"/>
  <c r="K16"/>
  <c r="W16"/>
  <c r="AI16"/>
  <c r="AS16" s="1"/>
  <c r="BM16"/>
  <c r="E17"/>
  <c r="K17"/>
  <c r="W17"/>
  <c r="AI17"/>
  <c r="AS17" s="1"/>
  <c r="BM17"/>
  <c r="E18"/>
  <c r="BM18"/>
  <c r="K18"/>
  <c r="W18"/>
  <c r="AI18"/>
  <c r="AS18" s="1"/>
  <c r="AY18"/>
  <c r="E19"/>
  <c r="K19"/>
  <c r="W19"/>
  <c r="AI19"/>
  <c r="AS19" s="1"/>
  <c r="BM19"/>
  <c r="E20"/>
  <c r="W20"/>
  <c r="AI20"/>
  <c r="AS20" s="1"/>
  <c r="AY20"/>
  <c r="BM20"/>
  <c r="E21"/>
  <c r="BM21"/>
  <c r="K21"/>
  <c r="AY21" s="1"/>
  <c r="W21"/>
  <c r="AI21"/>
  <c r="AS21" s="1"/>
  <c r="E22"/>
  <c r="BM22"/>
  <c r="K22"/>
  <c r="W22"/>
  <c r="AI22"/>
  <c r="AS22" s="1"/>
  <c r="E23"/>
  <c r="K23"/>
  <c r="W23"/>
  <c r="AI23"/>
  <c r="AS23" s="1"/>
  <c r="BM23"/>
  <c r="E24"/>
  <c r="K24"/>
  <c r="W24"/>
  <c r="AI24"/>
  <c r="AS24" s="1"/>
  <c r="BM24"/>
  <c r="E25"/>
  <c r="K25"/>
  <c r="W25"/>
  <c r="AI25"/>
  <c r="AS25" s="1"/>
  <c r="BM25"/>
  <c r="E26"/>
  <c r="K26"/>
  <c r="W26"/>
  <c r="AI26"/>
  <c r="AS26" s="1"/>
  <c r="BM26"/>
  <c r="E27"/>
  <c r="K27"/>
  <c r="W27"/>
  <c r="AI27"/>
  <c r="AS27" s="1"/>
  <c r="BM27"/>
  <c r="E30"/>
  <c r="K30"/>
  <c r="W30"/>
  <c r="AI30"/>
  <c r="AS30" s="1"/>
  <c r="BM30"/>
  <c r="E31"/>
  <c r="K31"/>
  <c r="AY31" s="1"/>
  <c r="AI31"/>
  <c r="AS31" s="1"/>
  <c r="BM31"/>
  <c r="E33"/>
  <c r="K33"/>
  <c r="AY33" s="1"/>
  <c r="W33"/>
  <c r="AI33"/>
  <c r="AS33" s="1"/>
  <c r="BM33"/>
  <c r="E35"/>
  <c r="AY35" s="1"/>
  <c r="K35"/>
  <c r="W35"/>
  <c r="AI35"/>
  <c r="AS35" s="1"/>
  <c r="BM35"/>
  <c r="E36"/>
  <c r="K36"/>
  <c r="W36"/>
  <c r="AI36"/>
  <c r="AS36" s="1"/>
  <c r="BM36"/>
  <c r="E38"/>
  <c r="K38"/>
  <c r="W38"/>
  <c r="AI38"/>
  <c r="AS38" s="1"/>
  <c r="BM38"/>
  <c r="E42"/>
  <c r="K42"/>
  <c r="W42"/>
  <c r="AI42"/>
  <c r="AS42" s="1"/>
  <c r="BM42"/>
  <c r="E43"/>
  <c r="K43"/>
  <c r="W43"/>
  <c r="AI43"/>
  <c r="AS43" s="1"/>
  <c r="BM43"/>
  <c r="E46"/>
  <c r="K46"/>
  <c r="W46"/>
  <c r="AI46"/>
  <c r="AS46" s="1"/>
  <c r="BM46"/>
  <c r="E49"/>
  <c r="K49"/>
  <c r="W49"/>
  <c r="AI49"/>
  <c r="AS49" s="1"/>
  <c r="BM49"/>
  <c r="E51"/>
  <c r="K51"/>
  <c r="AI51"/>
  <c r="AS51" s="1"/>
  <c r="BM51"/>
  <c r="E54"/>
  <c r="K54"/>
  <c r="W54"/>
  <c r="AI54"/>
  <c r="AS54" s="1"/>
  <c r="BM54"/>
  <c r="E55"/>
  <c r="K55"/>
  <c r="AI55"/>
  <c r="AS55" s="1"/>
  <c r="BM55"/>
  <c r="E63"/>
  <c r="K63"/>
  <c r="W63"/>
  <c r="AI63"/>
  <c r="AS63" s="1"/>
  <c r="BM63"/>
  <c r="E65"/>
  <c r="K65"/>
  <c r="W65"/>
  <c r="AI65"/>
  <c r="AS65" s="1"/>
  <c r="BM65"/>
  <c r="E71"/>
  <c r="K71"/>
  <c r="W71"/>
  <c r="AI71"/>
  <c r="AS71" s="1"/>
  <c r="BM71"/>
  <c r="E80"/>
  <c r="K80"/>
  <c r="W80"/>
  <c r="AI80"/>
  <c r="AS80" s="1"/>
  <c r="BM80"/>
  <c r="E81"/>
  <c r="BM81"/>
  <c r="K81"/>
  <c r="W81"/>
  <c r="AI81"/>
  <c r="AS81" s="1"/>
  <c r="E83"/>
  <c r="K83"/>
  <c r="W83"/>
  <c r="AI83"/>
  <c r="AS83" s="1"/>
  <c r="BM83"/>
  <c r="E84"/>
  <c r="K84"/>
  <c r="W84"/>
  <c r="AI84"/>
  <c r="AS84" s="1"/>
  <c r="BM84"/>
  <c r="E85"/>
  <c r="K85"/>
  <c r="W85"/>
  <c r="AI85"/>
  <c r="AS85" s="1"/>
  <c r="BM85"/>
  <c r="E89"/>
  <c r="K89"/>
  <c r="W89"/>
  <c r="AI89"/>
  <c r="AS89" s="1"/>
  <c r="BM89"/>
  <c r="E91"/>
  <c r="K91"/>
  <c r="W91"/>
  <c r="AI91"/>
  <c r="AS91" s="1"/>
  <c r="BM91"/>
  <c r="E92"/>
  <c r="K92"/>
  <c r="W92"/>
  <c r="AI92"/>
  <c r="AS92" s="1"/>
  <c r="BM92"/>
  <c r="E93"/>
  <c r="K93"/>
  <c r="W93"/>
  <c r="AI93"/>
  <c r="AS93" s="1"/>
  <c r="BM93"/>
  <c r="E94"/>
  <c r="K94"/>
  <c r="W94"/>
  <c r="AI94"/>
  <c r="AS94" s="1"/>
  <c r="BM94"/>
  <c r="E95"/>
  <c r="K95"/>
  <c r="W95"/>
  <c r="AI95"/>
  <c r="AS95"/>
  <c r="BM95"/>
  <c r="K96"/>
  <c r="W96"/>
  <c r="AI96"/>
  <c r="AS96" s="1"/>
  <c r="BM96"/>
  <c r="E97"/>
  <c r="K97"/>
  <c r="W97"/>
  <c r="AI97"/>
  <c r="AS97" s="1"/>
  <c r="BM97"/>
  <c r="K98"/>
  <c r="W98"/>
  <c r="AI98"/>
  <c r="AS98" s="1"/>
  <c r="BM98"/>
  <c r="K99"/>
  <c r="AY99" s="1"/>
  <c r="W99"/>
  <c r="AI99"/>
  <c r="AS99" s="1"/>
  <c r="BM99"/>
  <c r="E100"/>
  <c r="K100"/>
  <c r="W100"/>
  <c r="AS100"/>
  <c r="BM100"/>
  <c r="E101"/>
  <c r="K101"/>
  <c r="AY101" s="1"/>
  <c r="W101"/>
  <c r="AI101"/>
  <c r="AS101" s="1"/>
  <c r="BM101"/>
  <c r="E102"/>
  <c r="K102"/>
  <c r="W102"/>
  <c r="AI102"/>
  <c r="AS102" s="1"/>
  <c r="BM102"/>
  <c r="K103"/>
  <c r="AY103" s="1"/>
  <c r="W103"/>
  <c r="AI103"/>
  <c r="AS103" s="1"/>
  <c r="BM103"/>
  <c r="K104"/>
  <c r="AY104"/>
  <c r="W104"/>
  <c r="AS104"/>
  <c r="BM104"/>
  <c r="E105"/>
  <c r="K105"/>
  <c r="W105"/>
  <c r="AI105"/>
  <c r="AS105"/>
  <c r="BM105"/>
  <c r="E106"/>
  <c r="K106"/>
  <c r="W106"/>
  <c r="AI106"/>
  <c r="AS106"/>
  <c r="BM106"/>
  <c r="E107"/>
  <c r="K107"/>
  <c r="W107"/>
  <c r="AI107"/>
  <c r="AS107" s="1"/>
  <c r="BM107"/>
  <c r="E108"/>
  <c r="K108"/>
  <c r="W108"/>
  <c r="AI108"/>
  <c r="AS108" s="1"/>
  <c r="BM108"/>
  <c r="E109"/>
  <c r="K109"/>
  <c r="W109"/>
  <c r="AI109"/>
  <c r="AS109" s="1"/>
  <c r="BM109"/>
  <c r="E110"/>
  <c r="K110"/>
  <c r="W110"/>
  <c r="AI110"/>
  <c r="AS110" s="1"/>
  <c r="BM110"/>
  <c r="E111"/>
  <c r="K111"/>
  <c r="W111"/>
  <c r="AI111"/>
  <c r="AS111" s="1"/>
  <c r="BM111"/>
  <c r="E112"/>
  <c r="K112"/>
  <c r="W112"/>
  <c r="AI112"/>
  <c r="AS112" s="1"/>
  <c r="BM112"/>
  <c r="E113"/>
  <c r="AY113" s="1"/>
  <c r="K113"/>
  <c r="W113"/>
  <c r="AI113"/>
  <c r="AS113" s="1"/>
  <c r="BM113"/>
  <c r="E114"/>
  <c r="K114"/>
  <c r="W114"/>
  <c r="AI114"/>
  <c r="AS114" s="1"/>
  <c r="BM114"/>
  <c r="E115"/>
  <c r="K115"/>
  <c r="AY115"/>
  <c r="AI115"/>
  <c r="AS115"/>
  <c r="BM115"/>
  <c r="E116"/>
  <c r="K116"/>
  <c r="W116"/>
  <c r="AI116"/>
  <c r="AS116" s="1"/>
  <c r="BM116"/>
  <c r="E117"/>
  <c r="K117"/>
  <c r="W117"/>
  <c r="AI117"/>
  <c r="AS117"/>
  <c r="BM117"/>
  <c r="E118"/>
  <c r="K118"/>
  <c r="AY118"/>
  <c r="W118"/>
  <c r="AI118"/>
  <c r="AS118" s="1"/>
  <c r="BM118"/>
  <c r="K119"/>
  <c r="AY119" s="1"/>
  <c r="W119"/>
  <c r="AI119"/>
  <c r="AS119" s="1"/>
  <c r="BM119"/>
  <c r="E120"/>
  <c r="K120"/>
  <c r="W120"/>
  <c r="AI120"/>
  <c r="AS120" s="1"/>
  <c r="BM120"/>
  <c r="E121"/>
  <c r="K121"/>
  <c r="W121"/>
  <c r="AI121"/>
  <c r="AS121" s="1"/>
  <c r="BM121"/>
  <c r="E122"/>
  <c r="K122"/>
  <c r="W122"/>
  <c r="AI122"/>
  <c r="AS122" s="1"/>
  <c r="BM122"/>
  <c r="E123"/>
  <c r="K123"/>
  <c r="W123"/>
  <c r="AI123"/>
  <c r="AS123" s="1"/>
  <c r="BM123"/>
  <c r="E124"/>
  <c r="K124"/>
  <c r="W124"/>
  <c r="AI124"/>
  <c r="AS124" s="1"/>
  <c r="BM124"/>
  <c r="E125"/>
  <c r="K125"/>
  <c r="W125"/>
  <c r="AI125"/>
  <c r="AS125" s="1"/>
  <c r="BM125"/>
  <c r="E126"/>
  <c r="K126"/>
  <c r="W126"/>
  <c r="AI126"/>
  <c r="AS126" s="1"/>
  <c r="BM126"/>
  <c r="E127"/>
  <c r="K127"/>
  <c r="W127"/>
  <c r="AI127"/>
  <c r="AS127" s="1"/>
  <c r="BM127"/>
  <c r="E128"/>
  <c r="K128"/>
  <c r="W128"/>
  <c r="AI128"/>
  <c r="AS128" s="1"/>
  <c r="BM128"/>
  <c r="E129"/>
  <c r="K129"/>
  <c r="AY129" s="1"/>
  <c r="W129"/>
  <c r="AI129"/>
  <c r="AS129" s="1"/>
  <c r="BM129"/>
  <c r="E130"/>
  <c r="K130"/>
  <c r="W130"/>
  <c r="AI130"/>
  <c r="AS130" s="1"/>
  <c r="BM130"/>
  <c r="K131"/>
  <c r="AY131" s="1"/>
  <c r="W131"/>
  <c r="AI131"/>
  <c r="AS131" s="1"/>
  <c r="BM131"/>
  <c r="E132"/>
  <c r="K132"/>
  <c r="W132"/>
  <c r="AI132"/>
  <c r="AS132" s="1"/>
  <c r="BM132"/>
  <c r="E133"/>
  <c r="K133"/>
  <c r="W133"/>
  <c r="AI133"/>
  <c r="AS133" s="1"/>
  <c r="BM133"/>
  <c r="E134"/>
  <c r="K134"/>
  <c r="W134"/>
  <c r="AI134"/>
  <c r="AS134" s="1"/>
  <c r="BM134"/>
  <c r="E135"/>
  <c r="K135"/>
  <c r="W135"/>
  <c r="AI135"/>
  <c r="AS135" s="1"/>
  <c r="BM135"/>
  <c r="E136"/>
  <c r="K136"/>
  <c r="W136"/>
  <c r="AI136"/>
  <c r="AS136" s="1"/>
  <c r="BM136"/>
  <c r="E137"/>
  <c r="K137"/>
  <c r="W137"/>
  <c r="AI137"/>
  <c r="AS137" s="1"/>
  <c r="BM137"/>
  <c r="E138"/>
  <c r="K138"/>
  <c r="W138"/>
  <c r="AI138"/>
  <c r="AS138" s="1"/>
  <c r="BM138"/>
  <c r="E139"/>
  <c r="K139"/>
  <c r="W139"/>
  <c r="AI139"/>
  <c r="AS139" s="1"/>
  <c r="BM139"/>
  <c r="K140"/>
  <c r="AY140" s="1"/>
  <c r="W140"/>
  <c r="AI140"/>
  <c r="AS140" s="1"/>
  <c r="BM140"/>
  <c r="K141"/>
  <c r="AY141" s="1"/>
  <c r="W141"/>
  <c r="AI141"/>
  <c r="AS141" s="1"/>
  <c r="BM141"/>
  <c r="E142"/>
  <c r="K142"/>
  <c r="W142"/>
  <c r="AI142"/>
  <c r="AS142" s="1"/>
  <c r="BM142"/>
  <c r="E143"/>
  <c r="K143"/>
  <c r="W143"/>
  <c r="AI143"/>
  <c r="AS143" s="1"/>
  <c r="BM143"/>
  <c r="E144"/>
  <c r="K144"/>
  <c r="W144"/>
  <c r="AI144"/>
  <c r="AS144" s="1"/>
  <c r="BM144"/>
  <c r="E145"/>
  <c r="K145"/>
  <c r="W145"/>
  <c r="AI145"/>
  <c r="AS145" s="1"/>
  <c r="BM145"/>
  <c r="E146"/>
  <c r="K146"/>
  <c r="W146"/>
  <c r="AI146"/>
  <c r="AS146" s="1"/>
  <c r="BM146"/>
  <c r="E147"/>
  <c r="K147"/>
  <c r="W147"/>
  <c r="AI147"/>
  <c r="AS147" s="1"/>
  <c r="BM147"/>
  <c r="E148"/>
  <c r="K148"/>
  <c r="W148"/>
  <c r="AS148"/>
  <c r="BM148"/>
  <c r="E149"/>
  <c r="K149"/>
  <c r="W149"/>
  <c r="AI149"/>
  <c r="AS149" s="1"/>
  <c r="BM149"/>
  <c r="E150"/>
  <c r="K150"/>
  <c r="W150"/>
  <c r="AI150"/>
  <c r="AS150" s="1"/>
  <c r="BM150"/>
  <c r="K151"/>
  <c r="AY151" s="1"/>
  <c r="AI151"/>
  <c r="AS151" s="1"/>
  <c r="BM151"/>
  <c r="K152"/>
  <c r="AY152" s="1"/>
  <c r="W152"/>
  <c r="AI152"/>
  <c r="AS152" s="1"/>
  <c r="BM152"/>
  <c r="E153"/>
  <c r="K153"/>
  <c r="W153"/>
  <c r="AI153"/>
  <c r="AS153" s="1"/>
  <c r="BM153"/>
  <c r="E154"/>
  <c r="K154"/>
  <c r="W154"/>
  <c r="AI154"/>
  <c r="AS154" s="1"/>
  <c r="BM154"/>
  <c r="K155"/>
  <c r="AY155" s="1"/>
  <c r="W155"/>
  <c r="AS155"/>
  <c r="BM155"/>
  <c r="E156"/>
  <c r="K156"/>
  <c r="W156"/>
  <c r="AI156"/>
  <c r="AS156" s="1"/>
  <c r="BM156"/>
  <c r="E157"/>
  <c r="K157"/>
  <c r="W157"/>
  <c r="AI157"/>
  <c r="AS157" s="1"/>
  <c r="BM157"/>
  <c r="E158"/>
  <c r="K158"/>
  <c r="W158"/>
  <c r="AI158"/>
  <c r="AS158" s="1"/>
  <c r="BM158"/>
  <c r="E159"/>
  <c r="K159"/>
  <c r="W159"/>
  <c r="AI159"/>
  <c r="AS159" s="1"/>
  <c r="BM159"/>
  <c r="E161"/>
  <c r="K161"/>
  <c r="W161"/>
  <c r="AI161"/>
  <c r="AS161" s="1"/>
  <c r="BM161"/>
  <c r="E182"/>
  <c r="K182"/>
  <c r="W182"/>
  <c r="AI182"/>
  <c r="AS182" s="1"/>
  <c r="BM182"/>
  <c r="K183"/>
  <c r="W183"/>
  <c r="AI183"/>
  <c r="AS183" s="1"/>
  <c r="AY183"/>
  <c r="BM183"/>
  <c r="E184"/>
  <c r="K184"/>
  <c r="W184"/>
  <c r="AI184"/>
  <c r="AS184" s="1"/>
  <c r="BM184"/>
  <c r="E185"/>
  <c r="K185"/>
  <c r="W185"/>
  <c r="AI185"/>
  <c r="AS185" s="1"/>
  <c r="BM185"/>
  <c r="K186"/>
  <c r="AY186" s="1"/>
  <c r="W186"/>
  <c r="AI186"/>
  <c r="AS186" s="1"/>
  <c r="BM186"/>
  <c r="K187"/>
  <c r="AY187" s="1"/>
  <c r="W187"/>
  <c r="AI187"/>
  <c r="AS187" s="1"/>
  <c r="BM187"/>
  <c r="E188"/>
  <c r="K188"/>
  <c r="W188"/>
  <c r="AI188"/>
  <c r="AS188" s="1"/>
  <c r="BM188"/>
  <c r="E189"/>
  <c r="K189"/>
  <c r="W189"/>
  <c r="AI189"/>
  <c r="AS189" s="1"/>
  <c r="BM189"/>
  <c r="E190"/>
  <c r="K190"/>
  <c r="W190"/>
  <c r="AI190"/>
  <c r="AS190" s="1"/>
  <c r="BM190"/>
  <c r="E191"/>
  <c r="K191"/>
  <c r="W191"/>
  <c r="AI191"/>
  <c r="AS191" s="1"/>
  <c r="BM191"/>
  <c r="E192"/>
  <c r="K192"/>
  <c r="W192"/>
  <c r="AI192"/>
  <c r="AS192" s="1"/>
  <c r="BM192"/>
  <c r="E193"/>
  <c r="K193"/>
  <c r="W193"/>
  <c r="AI193"/>
  <c r="AS193" s="1"/>
  <c r="BM193"/>
  <c r="E194"/>
  <c r="K194"/>
  <c r="W194"/>
  <c r="AI194"/>
  <c r="AS194" s="1"/>
  <c r="BM194"/>
  <c r="K195"/>
  <c r="AY195" s="1"/>
  <c r="W195"/>
  <c r="AI195"/>
  <c r="AS195" s="1"/>
  <c r="BM195"/>
  <c r="E196"/>
  <c r="K196"/>
  <c r="W196"/>
  <c r="AI196"/>
  <c r="AS196" s="1"/>
  <c r="BM196"/>
  <c r="E197"/>
  <c r="K197"/>
  <c r="W197"/>
  <c r="AI197"/>
  <c r="AS197" s="1"/>
  <c r="BM197"/>
  <c r="E198"/>
  <c r="K198"/>
  <c r="W198"/>
  <c r="AI198"/>
  <c r="AS198" s="1"/>
  <c r="BM198"/>
  <c r="E199"/>
  <c r="K199"/>
  <c r="W199"/>
  <c r="AI199"/>
  <c r="AS199" s="1"/>
  <c r="BM199"/>
  <c r="E200"/>
  <c r="K200"/>
  <c r="W200"/>
  <c r="AI200"/>
  <c r="AS200" s="1"/>
  <c r="BM200"/>
  <c r="E201"/>
  <c r="K201"/>
  <c r="W201"/>
  <c r="AI201"/>
  <c r="AS201" s="1"/>
  <c r="BM201"/>
  <c r="E202"/>
  <c r="AY202" s="1"/>
  <c r="W202"/>
  <c r="AI202"/>
  <c r="AS202" s="1"/>
  <c r="BM202"/>
  <c r="E203"/>
  <c r="K203"/>
  <c r="W203"/>
  <c r="AI203"/>
  <c r="AS203" s="1"/>
  <c r="BM203"/>
  <c r="E204"/>
  <c r="K204"/>
  <c r="W204"/>
  <c r="AI204"/>
  <c r="AS204" s="1"/>
  <c r="BM204"/>
  <c r="E205"/>
  <c r="K205"/>
  <c r="BM205"/>
  <c r="E207"/>
  <c r="K207"/>
  <c r="W207"/>
  <c r="AI207"/>
  <c r="AS207" s="1"/>
  <c r="BM207"/>
  <c r="E208"/>
  <c r="K208"/>
  <c r="W208"/>
  <c r="AI208"/>
  <c r="AS208" s="1"/>
  <c r="BM208"/>
  <c r="E209"/>
  <c r="K209"/>
  <c r="W209"/>
  <c r="AI209"/>
  <c r="AS209" s="1"/>
  <c r="BM209"/>
  <c r="K210"/>
  <c r="AY210" s="1"/>
  <c r="W210"/>
  <c r="AI210"/>
  <c r="AS210" s="1"/>
  <c r="BM210"/>
  <c r="E211"/>
  <c r="K211"/>
  <c r="W211"/>
  <c r="AI211"/>
  <c r="AS211" s="1"/>
  <c r="BM211"/>
  <c r="E212"/>
  <c r="K212"/>
  <c r="W212"/>
  <c r="AI212"/>
  <c r="AS212" s="1"/>
  <c r="BM212"/>
  <c r="K213"/>
  <c r="AY213" s="1"/>
  <c r="W213"/>
  <c r="AI213"/>
  <c r="AS213" s="1"/>
  <c r="BM213"/>
  <c r="K214"/>
  <c r="W214"/>
  <c r="AI214"/>
  <c r="AS214" s="1"/>
  <c r="BM214"/>
  <c r="E215"/>
  <c r="K215"/>
  <c r="W215"/>
  <c r="AI215"/>
  <c r="AS215" s="1"/>
  <c r="BM215"/>
  <c r="E216"/>
  <c r="K216"/>
  <c r="W216"/>
  <c r="AI216"/>
  <c r="AS216" s="1"/>
  <c r="BM216"/>
  <c r="E217"/>
  <c r="K217"/>
  <c r="W217"/>
  <c r="AI217"/>
  <c r="AS217" s="1"/>
  <c r="BM217"/>
  <c r="E218"/>
  <c r="K218"/>
  <c r="W218"/>
  <c r="AI218"/>
  <c r="AS218" s="1"/>
  <c r="BM218"/>
  <c r="E220"/>
  <c r="K220"/>
  <c r="W220"/>
  <c r="AI220"/>
  <c r="AS220" s="1"/>
  <c r="BM220"/>
  <c r="E222"/>
  <c r="K222"/>
  <c r="W222"/>
  <c r="AI222"/>
  <c r="AS222" s="1"/>
  <c r="BM222"/>
  <c r="BM224"/>
  <c r="E225"/>
  <c r="K225"/>
  <c r="AY225" s="1"/>
  <c r="W225"/>
  <c r="AI225"/>
  <c r="AS225" s="1"/>
  <c r="BM225"/>
  <c r="E226"/>
  <c r="K226"/>
  <c r="W226"/>
  <c r="AI226"/>
  <c r="AS226" s="1"/>
  <c r="BM226"/>
  <c r="E227"/>
  <c r="K227"/>
  <c r="W227"/>
  <c r="AI227"/>
  <c r="AS227" s="1"/>
  <c r="E228"/>
  <c r="K228"/>
  <c r="W228"/>
  <c r="AI228"/>
  <c r="AS228" s="1"/>
  <c r="BM228"/>
  <c r="E229"/>
  <c r="K229"/>
  <c r="W229"/>
  <c r="AI229"/>
  <c r="AS229" s="1"/>
  <c r="BM229"/>
  <c r="E230"/>
  <c r="K230"/>
  <c r="W230"/>
  <c r="AI230"/>
  <c r="AS230" s="1"/>
  <c r="BM230"/>
  <c r="E231"/>
  <c r="K231"/>
  <c r="W231"/>
  <c r="AI231"/>
  <c r="AS231" s="1"/>
  <c r="BM231"/>
  <c r="E232"/>
  <c r="K232"/>
  <c r="W232"/>
  <c r="AI232"/>
  <c r="AS232" s="1"/>
  <c r="BM232"/>
  <c r="K233"/>
  <c r="AY233" s="1"/>
  <c r="W233"/>
  <c r="AI233"/>
  <c r="AS233" s="1"/>
  <c r="BM233"/>
  <c r="K234"/>
  <c r="AY234" s="1"/>
  <c r="W234"/>
  <c r="AI234"/>
  <c r="AS234" s="1"/>
  <c r="BM234"/>
  <c r="E236"/>
  <c r="K236"/>
  <c r="W236"/>
  <c r="AI236"/>
  <c r="AS236" s="1"/>
  <c r="BM236"/>
  <c r="K237"/>
  <c r="AY237" s="1"/>
  <c r="W237"/>
  <c r="AI237"/>
  <c r="AS237" s="1"/>
  <c r="BM237"/>
  <c r="E238"/>
  <c r="K238"/>
  <c r="W238"/>
  <c r="AI238"/>
  <c r="AS238" s="1"/>
  <c r="BM238"/>
  <c r="E239"/>
  <c r="K239"/>
  <c r="W239"/>
  <c r="AI239"/>
  <c r="AS239" s="1"/>
  <c r="BM239"/>
  <c r="E240"/>
  <c r="K240"/>
  <c r="W240"/>
  <c r="AI240"/>
  <c r="AS240" s="1"/>
  <c r="BM240"/>
  <c r="E241"/>
  <c r="K241"/>
  <c r="W241"/>
  <c r="AI241"/>
  <c r="AS241" s="1"/>
  <c r="BM241"/>
  <c r="K242"/>
  <c r="AY242" s="1"/>
  <c r="W242"/>
  <c r="AI242"/>
  <c r="AS242" s="1"/>
  <c r="BM242"/>
  <c r="K243"/>
  <c r="AY243" s="1"/>
  <c r="W243"/>
  <c r="AI243"/>
  <c r="AS243" s="1"/>
  <c r="BM243"/>
  <c r="K244"/>
  <c r="W244"/>
  <c r="AI244"/>
  <c r="AS244" s="1"/>
  <c r="BM244"/>
  <c r="E245"/>
  <c r="K245"/>
  <c r="W245"/>
  <c r="AI245"/>
  <c r="AS245" s="1"/>
  <c r="BM245"/>
  <c r="E246"/>
  <c r="K246"/>
  <c r="W246"/>
  <c r="AI246"/>
  <c r="AS246" s="1"/>
  <c r="BM246"/>
  <c r="E247"/>
  <c r="K247"/>
  <c r="W247"/>
  <c r="AI247"/>
  <c r="AS247" s="1"/>
  <c r="BM247"/>
  <c r="E248"/>
  <c r="K248"/>
  <c r="W248"/>
  <c r="AI248"/>
  <c r="AS248" s="1"/>
  <c r="BM248"/>
  <c r="K249"/>
  <c r="AY249" s="1"/>
  <c r="W249"/>
  <c r="AI249"/>
  <c r="AS249" s="1"/>
  <c r="BM249"/>
  <c r="K250"/>
  <c r="AY250" s="1"/>
  <c r="W250"/>
  <c r="AI250"/>
  <c r="AS250" s="1"/>
  <c r="BM250"/>
  <c r="K251"/>
  <c r="AY251" s="1"/>
  <c r="W251"/>
  <c r="AI251"/>
  <c r="AS251" s="1"/>
  <c r="BM251"/>
  <c r="W12" i="6"/>
  <c r="BN12"/>
  <c r="W13"/>
  <c r="W14"/>
  <c r="W15"/>
  <c r="BN15"/>
  <c r="W16"/>
  <c r="W17"/>
  <c r="BN17"/>
  <c r="W18"/>
  <c r="BN18"/>
  <c r="W19"/>
  <c r="BN19"/>
  <c r="W20"/>
  <c r="W21"/>
  <c r="BN21"/>
  <c r="W22"/>
  <c r="BN22"/>
  <c r="W23"/>
  <c r="W24"/>
  <c r="W25"/>
  <c r="BN25"/>
  <c r="W26"/>
  <c r="W27"/>
  <c r="BN27"/>
  <c r="W28"/>
  <c r="BN28"/>
  <c r="W29"/>
  <c r="BN29"/>
  <c r="W32"/>
  <c r="BN32"/>
  <c r="W33"/>
  <c r="W35"/>
  <c r="W36"/>
  <c r="W37"/>
  <c r="W39"/>
  <c r="BN39"/>
  <c r="W40"/>
  <c r="W44"/>
  <c r="W45"/>
  <c r="W48"/>
  <c r="W49"/>
  <c r="W51"/>
  <c r="W57"/>
  <c r="W65"/>
  <c r="W67"/>
  <c r="W73"/>
  <c r="W76"/>
  <c r="W82"/>
  <c r="W83"/>
  <c r="W84"/>
  <c r="W86"/>
  <c r="W87"/>
  <c r="W90"/>
  <c r="W92"/>
  <c r="W93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BN113"/>
  <c r="W113"/>
  <c r="W114"/>
  <c r="W116"/>
  <c r="W118"/>
  <c r="W119"/>
  <c r="W120"/>
  <c r="W121"/>
  <c r="W122"/>
  <c r="W123"/>
  <c r="W124"/>
  <c r="BN125"/>
  <c r="W125"/>
  <c r="W126"/>
  <c r="W127"/>
  <c r="W128"/>
  <c r="W129"/>
  <c r="W130"/>
  <c r="W131"/>
  <c r="W132"/>
  <c r="W133"/>
  <c r="W134"/>
  <c r="W135"/>
  <c r="W136"/>
  <c r="W138"/>
  <c r="W139"/>
  <c r="W140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5"/>
  <c r="W185"/>
  <c r="W187"/>
  <c r="W188"/>
  <c r="W189"/>
  <c r="W190"/>
  <c r="W191"/>
  <c r="W192"/>
  <c r="W193"/>
  <c r="W194"/>
  <c r="W195"/>
  <c r="W196"/>
  <c r="W197"/>
  <c r="W198"/>
  <c r="W199"/>
  <c r="BN200"/>
  <c r="W200"/>
  <c r="W201"/>
  <c r="W202"/>
  <c r="W203"/>
  <c r="W204"/>
  <c r="W205"/>
  <c r="W206"/>
  <c r="W207"/>
  <c r="W208"/>
  <c r="W209"/>
  <c r="W211"/>
  <c r="W212"/>
  <c r="W213"/>
  <c r="W214"/>
  <c r="W216"/>
  <c r="W217"/>
  <c r="W218"/>
  <c r="W220"/>
  <c r="W221"/>
  <c r="W222"/>
  <c r="W223"/>
  <c r="W224"/>
  <c r="W226"/>
  <c r="W229"/>
  <c r="W230"/>
  <c r="W231"/>
  <c r="W232"/>
  <c r="W233"/>
  <c r="W234"/>
  <c r="W235"/>
  <c r="W236"/>
  <c r="W237"/>
  <c r="W238"/>
  <c r="W240"/>
  <c r="W241"/>
  <c r="W242"/>
  <c r="W243"/>
  <c r="W244"/>
  <c r="W245"/>
  <c r="W246"/>
  <c r="W247"/>
  <c r="W248"/>
  <c r="W249"/>
  <c r="W250"/>
  <c r="W252"/>
  <c r="W253"/>
  <c r="W254"/>
  <c r="W255"/>
  <c r="AH9" i="5"/>
  <c r="S9" i="3"/>
  <c r="AH10" i="5"/>
  <c r="S10" i="3"/>
  <c r="AH11" i="5"/>
  <c r="S11" i="3"/>
  <c r="AH12" i="5"/>
  <c r="S12" i="3"/>
  <c r="AH13" i="5"/>
  <c r="S13" i="3"/>
  <c r="AH14" i="5"/>
  <c r="S14" i="3"/>
  <c r="AH15" i="5"/>
  <c r="S15" i="3"/>
  <c r="AH16" i="5"/>
  <c r="S16" i="3"/>
  <c r="AH17" i="5"/>
  <c r="S17" i="3"/>
  <c r="AH18" i="5"/>
  <c r="S18" i="3"/>
  <c r="AH19" i="5"/>
  <c r="S19" i="3"/>
  <c r="AH20" i="5"/>
  <c r="S20" i="3"/>
  <c r="AH21" i="5"/>
  <c r="S21" i="3"/>
  <c r="AH22" i="5"/>
  <c r="S22" i="3"/>
  <c r="AH23" i="5"/>
  <c r="S23" i="3"/>
  <c r="S24"/>
  <c r="AR24" i="5" s="1"/>
  <c r="AH25"/>
  <c r="S25" i="3"/>
  <c r="AH26" i="5"/>
  <c r="S26" i="3"/>
  <c r="AH29" i="5"/>
  <c r="S29" i="3"/>
  <c r="AH41" i="5"/>
  <c r="S41" i="3"/>
  <c r="AH42" i="5"/>
  <c r="S42" i="3"/>
  <c r="AH45" i="5"/>
  <c r="S45" i="3"/>
  <c r="AH62" i="5"/>
  <c r="S62" i="3"/>
  <c r="AH64" i="5"/>
  <c r="S64" i="3"/>
  <c r="AH70" i="5"/>
  <c r="S70" i="3"/>
  <c r="AH80" i="5"/>
  <c r="S80" i="3"/>
  <c r="AR80" i="5" s="1"/>
  <c r="AH85"/>
  <c r="S85" i="3"/>
  <c r="AH88" i="5"/>
  <c r="S88" i="3"/>
  <c r="AH91" i="5"/>
  <c r="S91" i="3"/>
  <c r="AH92" i="5"/>
  <c r="S92" i="3"/>
  <c r="AR92" i="5" s="1"/>
  <c r="AH93"/>
  <c r="S93" i="3"/>
  <c r="AH94" i="5"/>
  <c r="S94" i="3"/>
  <c r="AH95" i="5"/>
  <c r="S95" i="3"/>
  <c r="AH96" i="5"/>
  <c r="S96" i="3"/>
  <c r="U96" s="1"/>
  <c r="AH97" i="5"/>
  <c r="S97" i="3"/>
  <c r="AH98" i="5"/>
  <c r="S98" i="3"/>
  <c r="AH99" i="5"/>
  <c r="S99" i="3"/>
  <c r="U99" s="1"/>
  <c r="AH100" i="5"/>
  <c r="S100" i="3"/>
  <c r="AH101" i="5"/>
  <c r="S101" i="3"/>
  <c r="AH102" i="5"/>
  <c r="S102" i="3"/>
  <c r="AH103" i="5"/>
  <c r="S103" i="3"/>
  <c r="U103" s="1"/>
  <c r="AH104" i="5"/>
  <c r="S104" i="3"/>
  <c r="AH105" i="5"/>
  <c r="S105" i="3"/>
  <c r="U105" s="1"/>
  <c r="AH106" i="5"/>
  <c r="S106" i="3"/>
  <c r="AH107" i="5"/>
  <c r="S107" i="3"/>
  <c r="U107" s="1"/>
  <c r="S108"/>
  <c r="AR108" i="5" s="1"/>
  <c r="AH109"/>
  <c r="S109" i="3"/>
  <c r="AH110" i="5"/>
  <c r="S110" i="3"/>
  <c r="U110" s="1"/>
  <c r="AH111" i="5"/>
  <c r="S111" i="3"/>
  <c r="AH112" i="5"/>
  <c r="S112" i="3"/>
  <c r="U112" s="1"/>
  <c r="AH113" i="5"/>
  <c r="S113" i="3"/>
  <c r="AH115" i="5"/>
  <c r="S115" i="3"/>
  <c r="AH117" i="5"/>
  <c r="AR117" s="1"/>
  <c r="AH118"/>
  <c r="S118" i="3"/>
  <c r="S119"/>
  <c r="AR119" i="5" s="1"/>
  <c r="AH120"/>
  <c r="S120" i="3"/>
  <c r="U120" s="1"/>
  <c r="AH121" i="5"/>
  <c r="AR121" s="1"/>
  <c r="AH122"/>
  <c r="S122" i="3"/>
  <c r="U122" s="1"/>
  <c r="AH123" i="5"/>
  <c r="S124" i="3"/>
  <c r="AH125" i="5"/>
  <c r="S125" i="3"/>
  <c r="AH128" i="5"/>
  <c r="S128" i="3"/>
  <c r="AH129" i="5"/>
  <c r="S129" i="3"/>
  <c r="AH130" i="5"/>
  <c r="S130" i="3"/>
  <c r="AH131" i="5"/>
  <c r="AR131" s="1"/>
  <c r="AH132"/>
  <c r="S132" i="3"/>
  <c r="AH134" i="5"/>
  <c r="S134" i="3"/>
  <c r="AH135" i="5"/>
  <c r="S135" i="3"/>
  <c r="AH136" i="5"/>
  <c r="S136" i="3"/>
  <c r="S137"/>
  <c r="AR137" i="5" s="1"/>
  <c r="AH138"/>
  <c r="S138" i="3"/>
  <c r="AH139" i="5"/>
  <c r="S139" i="3"/>
  <c r="AH140" i="5"/>
  <c r="S140" i="3"/>
  <c r="AH141" i="5"/>
  <c r="S141" i="3"/>
  <c r="U141" s="1"/>
  <c r="AH142" i="5"/>
  <c r="S142" i="3"/>
  <c r="AH143" i="5"/>
  <c r="S143" i="3"/>
  <c r="U143" s="1"/>
  <c r="AH144" i="5"/>
  <c r="S144" i="3"/>
  <c r="AH145" i="5"/>
  <c r="S145" i="3"/>
  <c r="AH146" i="5"/>
  <c r="S146" i="3"/>
  <c r="AH147" i="5"/>
  <c r="S147" i="3"/>
  <c r="AH148" i="5"/>
  <c r="S148" i="3"/>
  <c r="AH149" i="5"/>
  <c r="S149" i="3"/>
  <c r="AH150" i="5"/>
  <c r="S150" i="3"/>
  <c r="AH151" i="5"/>
  <c r="S151" i="3"/>
  <c r="AH152" i="5"/>
  <c r="S152" i="3"/>
  <c r="AH153" i="5"/>
  <c r="S153" i="3"/>
  <c r="AH155" i="5"/>
  <c r="S155" i="3"/>
  <c r="AH156" i="5"/>
  <c r="S156" i="3"/>
  <c r="AH157" i="5"/>
  <c r="S157" i="3"/>
  <c r="AH158" i="5"/>
  <c r="S158" i="3"/>
  <c r="AH159" i="5"/>
  <c r="AH160"/>
  <c r="S160" i="3"/>
  <c r="U160" s="1"/>
  <c r="AH161" i="5"/>
  <c r="S161" i="3"/>
  <c r="AH162" i="5"/>
  <c r="S162" i="3"/>
  <c r="AH163" i="5"/>
  <c r="S163" i="3"/>
  <c r="AH165" i="5"/>
  <c r="S165" i="3"/>
  <c r="AC9" i="2"/>
  <c r="S9" i="7"/>
  <c r="S11"/>
  <c r="AM11" i="2" s="1"/>
  <c r="AC12"/>
  <c r="S12" i="7"/>
  <c r="AC13" i="2"/>
  <c r="S13" i="7"/>
  <c r="AC14" i="2"/>
  <c r="S14" i="7"/>
  <c r="AC15" i="2"/>
  <c r="S15" i="7"/>
  <c r="AC16" i="2"/>
  <c r="S16" i="7"/>
  <c r="AC17" i="2"/>
  <c r="S17" i="7"/>
  <c r="AC18" i="2"/>
  <c r="S18" i="7"/>
  <c r="AC19" i="2"/>
  <c r="S19" i="7"/>
  <c r="AC20" i="2"/>
  <c r="S20" i="7"/>
  <c r="AC21" i="2"/>
  <c r="S21" i="7"/>
  <c r="AC22" i="2"/>
  <c r="S22" i="7"/>
  <c r="AC23" i="2"/>
  <c r="S23" i="7"/>
  <c r="AC24" i="2"/>
  <c r="S24" i="7"/>
  <c r="AC25" i="2"/>
  <c r="S25" i="7"/>
  <c r="AC26" i="2"/>
  <c r="S26" i="7"/>
  <c r="AC29" i="2"/>
  <c r="S29" i="7"/>
  <c r="AC41" i="2"/>
  <c r="S41" i="7"/>
  <c r="AC42" i="2"/>
  <c r="S42" i="7"/>
  <c r="AC45" i="2"/>
  <c r="S45" i="7"/>
  <c r="AC62" i="2"/>
  <c r="S62" i="7"/>
  <c r="U62" s="1"/>
  <c r="AC64" i="2"/>
  <c r="S64" i="7"/>
  <c r="AC70" i="2"/>
  <c r="S70" i="7"/>
  <c r="AC80" i="2"/>
  <c r="S80" i="7"/>
  <c r="AC85" i="2"/>
  <c r="S85" i="7"/>
  <c r="AC88" i="2"/>
  <c r="S88" i="7"/>
  <c r="AC91" i="2"/>
  <c r="S91" i="7"/>
  <c r="AC92" i="2"/>
  <c r="S92" i="7"/>
  <c r="AC93" i="2"/>
  <c r="S93" i="7"/>
  <c r="AC94" i="2"/>
  <c r="S94" i="7"/>
  <c r="AC95" i="2"/>
  <c r="S95" i="7"/>
  <c r="AC96" i="2"/>
  <c r="S96" i="7"/>
  <c r="AC97" i="2"/>
  <c r="S97" i="7"/>
  <c r="AC98" i="2"/>
  <c r="S98" i="7"/>
  <c r="AC99" i="2"/>
  <c r="S99" i="7"/>
  <c r="AC100" i="2"/>
  <c r="S100" i="7"/>
  <c r="AC101" i="2"/>
  <c r="S101" i="7"/>
  <c r="AC102" i="2"/>
  <c r="S102" i="7"/>
  <c r="AC103" i="2"/>
  <c r="S103" i="7"/>
  <c r="AC104" i="2"/>
  <c r="S104" i="7"/>
  <c r="AC105" i="2"/>
  <c r="S105" i="7"/>
  <c r="U105" s="1"/>
  <c r="AC106" i="2"/>
  <c r="S106" i="7"/>
  <c r="U106" s="1"/>
  <c r="AC107" i="2"/>
  <c r="S107" i="7"/>
  <c r="U107" s="1"/>
  <c r="AC108" i="2"/>
  <c r="S108" i="7"/>
  <c r="V108" s="1"/>
  <c r="AC109" i="2"/>
  <c r="S109" i="7"/>
  <c r="AC110" i="2"/>
  <c r="S110" i="7"/>
  <c r="AC111" i="2"/>
  <c r="S111" i="7"/>
  <c r="V111" s="1"/>
  <c r="AC112" i="2"/>
  <c r="S112" i="7"/>
  <c r="U112" s="1"/>
  <c r="AC113" i="2"/>
  <c r="S113" i="7"/>
  <c r="U113" s="1"/>
  <c r="AC115" i="2"/>
  <c r="S115" i="7"/>
  <c r="U115" s="1"/>
  <c r="AM116" i="2"/>
  <c r="AC118"/>
  <c r="S118" i="7"/>
  <c r="AC119" i="2"/>
  <c r="S119" i="7"/>
  <c r="S120"/>
  <c r="AM120" i="2" s="1"/>
  <c r="S121" i="7"/>
  <c r="AM121" i="2" s="1"/>
  <c r="AC122"/>
  <c r="S122" i="7"/>
  <c r="AC123" i="2"/>
  <c r="AC124"/>
  <c r="S124" i="7"/>
  <c r="AC125" i="2"/>
  <c r="S125" i="7"/>
  <c r="AC127" i="2"/>
  <c r="S127" i="7"/>
  <c r="AC128" i="2"/>
  <c r="S128" i="7"/>
  <c r="AC129" i="2"/>
  <c r="S129" i="7"/>
  <c r="AC130" i="2"/>
  <c r="S130" i="7"/>
  <c r="AC131" i="2"/>
  <c r="S131" i="7"/>
  <c r="AC132" i="2"/>
  <c r="S132" i="7"/>
  <c r="AC134" i="2"/>
  <c r="S134" i="7"/>
  <c r="U134" s="1"/>
  <c r="AC135" i="2"/>
  <c r="S135" i="7"/>
  <c r="V135" s="1"/>
  <c r="AC136" i="2"/>
  <c r="S136" i="7"/>
  <c r="V136" s="1"/>
  <c r="AC137" i="2"/>
  <c r="S137" i="7"/>
  <c r="U137" s="1"/>
  <c r="AC138" i="2"/>
  <c r="S138" i="7"/>
  <c r="U138" s="1"/>
  <c r="AC139" i="2"/>
  <c r="S139" i="7"/>
  <c r="U139" s="1"/>
  <c r="AC140" i="2"/>
  <c r="S140" i="7"/>
  <c r="V140" s="1"/>
  <c r="AC141" i="2"/>
  <c r="S141" i="7"/>
  <c r="S142"/>
  <c r="AM142" i="2" s="1"/>
  <c r="AC143"/>
  <c r="S143" i="7"/>
  <c r="V143" s="1"/>
  <c r="AC144" i="2"/>
  <c r="S144" i="7"/>
  <c r="U144" s="1"/>
  <c r="AC145" i="2"/>
  <c r="S145" i="7"/>
  <c r="AC146" i="2"/>
  <c r="S146" i="7"/>
  <c r="AC147" i="2"/>
  <c r="S147" i="7"/>
  <c r="U147" s="1"/>
  <c r="AC148" i="2"/>
  <c r="S148" i="7"/>
  <c r="V148" s="1"/>
  <c r="AC149" i="2"/>
  <c r="S149" i="7"/>
  <c r="AC150" i="2"/>
  <c r="S150" i="7"/>
  <c r="AC151" i="2"/>
  <c r="S151" i="7"/>
  <c r="V151" s="1"/>
  <c r="AC152" i="2"/>
  <c r="S152" i="7"/>
  <c r="AC153" i="2"/>
  <c r="S153" i="7"/>
  <c r="AC155" i="2"/>
  <c r="S155" i="7"/>
  <c r="U155" s="1"/>
  <c r="AC156" i="2"/>
  <c r="S156" i="7"/>
  <c r="AC157" i="2"/>
  <c r="S157" i="7"/>
  <c r="AC158" i="2"/>
  <c r="S158" i="7"/>
  <c r="S159"/>
  <c r="AM159" i="2" s="1"/>
  <c r="AC160"/>
  <c r="S160" i="7"/>
  <c r="S161"/>
  <c r="AM161" i="2" s="1"/>
  <c r="AC162"/>
  <c r="S162" i="7"/>
  <c r="AC163" i="2"/>
  <c r="S163" i="7"/>
  <c r="AC165" i="2"/>
  <c r="S165" i="7"/>
  <c r="AC249" i="2"/>
  <c r="S250" i="7"/>
  <c r="AC250" i="2"/>
  <c r="S251" i="7"/>
  <c r="AC251" i="2"/>
  <c r="S252" i="7"/>
  <c r="AC252" i="2"/>
  <c r="S253" i="7"/>
  <c r="AC253" i="2"/>
  <c r="S254" i="7"/>
  <c r="U254" s="1"/>
  <c r="AC254" i="2"/>
  <c r="S255" i="7"/>
  <c r="AC255" i="2"/>
  <c r="S256" i="7"/>
  <c r="S9" i="4"/>
  <c r="S10"/>
  <c r="S12"/>
  <c r="S14"/>
  <c r="S15"/>
  <c r="S16"/>
  <c r="S17"/>
  <c r="S18"/>
  <c r="S19"/>
  <c r="S20"/>
  <c r="S21"/>
  <c r="S22"/>
  <c r="S24"/>
  <c r="S25"/>
  <c r="S26"/>
  <c r="S29"/>
  <c r="S41"/>
  <c r="S42"/>
  <c r="S45"/>
  <c r="S64"/>
  <c r="S70"/>
  <c r="S80"/>
  <c r="S85"/>
  <c r="S88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5"/>
  <c r="S117"/>
  <c r="S118"/>
  <c r="S119"/>
  <c r="S120"/>
  <c r="S121"/>
  <c r="S122"/>
  <c r="S123"/>
  <c r="S124"/>
  <c r="S125"/>
  <c r="S127"/>
  <c r="S128"/>
  <c r="S129"/>
  <c r="S130"/>
  <c r="S131"/>
  <c r="S132"/>
  <c r="S134"/>
  <c r="S135"/>
  <c r="S136"/>
  <c r="S137"/>
  <c r="S138"/>
  <c r="S139"/>
  <c r="S140"/>
  <c r="S141"/>
  <c r="S142"/>
  <c r="S144"/>
  <c r="S145"/>
  <c r="S146"/>
  <c r="S147"/>
  <c r="S148"/>
  <c r="S149"/>
  <c r="S150"/>
  <c r="S151"/>
  <c r="S152"/>
  <c r="S153"/>
  <c r="S155"/>
  <c r="S156"/>
  <c r="S157"/>
  <c r="S158"/>
  <c r="S159"/>
  <c r="S160"/>
  <c r="S161"/>
  <c r="S162"/>
  <c r="S163"/>
  <c r="S165"/>
  <c r="S185"/>
  <c r="S186"/>
  <c r="S187"/>
  <c r="S188"/>
  <c r="S189"/>
  <c r="S190"/>
  <c r="S191"/>
  <c r="S192"/>
  <c r="S193"/>
  <c r="S194"/>
  <c r="S195"/>
  <c r="S196"/>
  <c r="S198"/>
  <c r="S199"/>
  <c r="S200"/>
  <c r="S201"/>
  <c r="S202"/>
  <c r="S203"/>
  <c r="S204"/>
  <c r="S205"/>
  <c r="S206"/>
  <c r="S207"/>
  <c r="S208"/>
  <c r="S209"/>
  <c r="S211"/>
  <c r="S212"/>
  <c r="S213"/>
  <c r="S214"/>
  <c r="S215"/>
  <c r="S216"/>
  <c r="S217"/>
  <c r="S218"/>
  <c r="S219"/>
  <c r="S220"/>
  <c r="S221"/>
  <c r="S224"/>
  <c r="S226"/>
  <c r="S229"/>
  <c r="S230"/>
  <c r="S231"/>
  <c r="S232"/>
  <c r="S234"/>
  <c r="S235"/>
  <c r="S238"/>
  <c r="S240"/>
  <c r="S241"/>
  <c r="S242"/>
  <c r="S243"/>
  <c r="S244"/>
  <c r="S245"/>
  <c r="S246"/>
  <c r="S247"/>
  <c r="S248"/>
  <c r="S249"/>
  <c r="S250"/>
  <c r="S251"/>
  <c r="S252"/>
  <c r="S253"/>
  <c r="S254"/>
  <c r="S255"/>
  <c r="S10" i="1"/>
  <c r="S11"/>
  <c r="S12"/>
  <c r="S13"/>
  <c r="S14"/>
  <c r="S15"/>
  <c r="S16"/>
  <c r="S17"/>
  <c r="S18"/>
  <c r="S19"/>
  <c r="S20"/>
  <c r="S21"/>
  <c r="S22"/>
  <c r="S23"/>
  <c r="S24"/>
  <c r="S25"/>
  <c r="S26"/>
  <c r="S29"/>
  <c r="S41"/>
  <c r="S42"/>
  <c r="S45"/>
  <c r="S62"/>
  <c r="S64"/>
  <c r="S70"/>
  <c r="S80"/>
  <c r="S85"/>
  <c r="S88"/>
  <c r="S91"/>
  <c r="S92"/>
  <c r="S93"/>
  <c r="S94"/>
  <c r="S95"/>
  <c r="S96"/>
  <c r="S98"/>
  <c r="S99"/>
  <c r="S100"/>
  <c r="S101"/>
  <c r="S102"/>
  <c r="S103"/>
  <c r="S104"/>
  <c r="S105"/>
  <c r="S106"/>
  <c r="S107"/>
  <c r="S108"/>
  <c r="S109"/>
  <c r="S110"/>
  <c r="S111"/>
  <c r="S112"/>
  <c r="S113"/>
  <c r="S118"/>
  <c r="S119"/>
  <c r="S121"/>
  <c r="S122"/>
  <c r="S123"/>
  <c r="S124"/>
  <c r="S125"/>
  <c r="S127"/>
  <c r="S128"/>
  <c r="S129"/>
  <c r="S130"/>
  <c r="S131"/>
  <c r="S132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5"/>
  <c r="S156"/>
  <c r="S157"/>
  <c r="S158"/>
  <c r="S159"/>
  <c r="S160"/>
  <c r="S161"/>
  <c r="S162"/>
  <c r="S163"/>
  <c r="S165"/>
  <c r="S185"/>
  <c r="S186"/>
  <c r="S187"/>
  <c r="S188"/>
  <c r="S189"/>
  <c r="S190"/>
  <c r="S191"/>
  <c r="S192"/>
  <c r="S193"/>
  <c r="S194"/>
  <c r="S195"/>
  <c r="S196"/>
  <c r="S198"/>
  <c r="S199"/>
  <c r="S200"/>
  <c r="S201"/>
  <c r="S202"/>
  <c r="S204"/>
  <c r="S205"/>
  <c r="S206"/>
  <c r="S207"/>
  <c r="S208"/>
  <c r="S209"/>
  <c r="S211"/>
  <c r="S212"/>
  <c r="S213"/>
  <c r="S214"/>
  <c r="S215"/>
  <c r="S216"/>
  <c r="S217"/>
  <c r="S218"/>
  <c r="S219"/>
  <c r="S220"/>
  <c r="S221"/>
  <c r="S222"/>
  <c r="S224"/>
  <c r="S226"/>
  <c r="S230"/>
  <c r="S231"/>
  <c r="S232"/>
  <c r="S233"/>
  <c r="S234"/>
  <c r="S235"/>
  <c r="S237"/>
  <c r="S238"/>
  <c r="S240"/>
  <c r="S241"/>
  <c r="S242"/>
  <c r="S243"/>
  <c r="S245"/>
  <c r="S246"/>
  <c r="S247"/>
  <c r="S248"/>
  <c r="S249"/>
  <c r="S250"/>
  <c r="S251"/>
  <c r="S252"/>
  <c r="S253"/>
  <c r="S254"/>
  <c r="S255"/>
  <c r="U10" i="3"/>
  <c r="U11"/>
  <c r="U12"/>
  <c r="U13"/>
  <c r="U14"/>
  <c r="U15"/>
  <c r="U16"/>
  <c r="U17"/>
  <c r="U18"/>
  <c r="U19"/>
  <c r="U20"/>
  <c r="U21"/>
  <c r="U22"/>
  <c r="U23"/>
  <c r="U24"/>
  <c r="U25"/>
  <c r="U26"/>
  <c r="U29"/>
  <c r="U41"/>
  <c r="U42"/>
  <c r="U45"/>
  <c r="U62"/>
  <c r="U64"/>
  <c r="U70"/>
  <c r="U80"/>
  <c r="U85"/>
  <c r="U88"/>
  <c r="U92"/>
  <c r="U93"/>
  <c r="U94"/>
  <c r="U95"/>
  <c r="U97"/>
  <c r="U100"/>
  <c r="U101"/>
  <c r="U102"/>
  <c r="U104"/>
  <c r="U106"/>
  <c r="U108"/>
  <c r="U109"/>
  <c r="U111"/>
  <c r="U113"/>
  <c r="U116"/>
  <c r="U118"/>
  <c r="U119"/>
  <c r="U121"/>
  <c r="U125"/>
  <c r="U128"/>
  <c r="U130"/>
  <c r="U131"/>
  <c r="U134"/>
  <c r="U136"/>
  <c r="U137"/>
  <c r="U140"/>
  <c r="U142"/>
  <c r="U144"/>
  <c r="U146"/>
  <c r="U148"/>
  <c r="U149"/>
  <c r="U150"/>
  <c r="U152"/>
  <c r="U153"/>
  <c r="U155"/>
  <c r="U156"/>
  <c r="U157"/>
  <c r="U158"/>
  <c r="U161"/>
  <c r="U163"/>
  <c r="U165"/>
  <c r="U185"/>
  <c r="U186"/>
  <c r="U187"/>
  <c r="U188"/>
  <c r="U189"/>
  <c r="U190"/>
  <c r="U191"/>
  <c r="U192"/>
  <c r="U193"/>
  <c r="U194"/>
  <c r="U195"/>
  <c r="U196"/>
  <c r="U198"/>
  <c r="U199"/>
  <c r="U200"/>
  <c r="U201"/>
  <c r="U202"/>
  <c r="U203"/>
  <c r="U206"/>
  <c r="U207"/>
  <c r="U208"/>
  <c r="U209"/>
  <c r="U211"/>
  <c r="U212"/>
  <c r="U213"/>
  <c r="U214"/>
  <c r="U215"/>
  <c r="U216"/>
  <c r="U218"/>
  <c r="U220"/>
  <c r="U221"/>
  <c r="U223"/>
  <c r="U224"/>
  <c r="U226"/>
  <c r="U229"/>
  <c r="U230"/>
  <c r="U231"/>
  <c r="U233"/>
  <c r="U234"/>
  <c r="U236"/>
  <c r="U237"/>
  <c r="U238"/>
  <c r="U240"/>
  <c r="U241"/>
  <c r="U242"/>
  <c r="U243"/>
  <c r="U244"/>
  <c r="U245"/>
  <c r="U246"/>
  <c r="U247"/>
  <c r="U248"/>
  <c r="U249"/>
  <c r="U250"/>
  <c r="U251"/>
  <c r="U252"/>
  <c r="U254"/>
  <c r="U9" i="7"/>
  <c r="V9"/>
  <c r="U10"/>
  <c r="V10"/>
  <c r="U11"/>
  <c r="V11"/>
  <c r="U12"/>
  <c r="V12"/>
  <c r="U13"/>
  <c r="V13"/>
  <c r="U14"/>
  <c r="V14"/>
  <c r="U15"/>
  <c r="V15"/>
  <c r="U16"/>
  <c r="V16"/>
  <c r="U17"/>
  <c r="V17"/>
  <c r="U18"/>
  <c r="V18"/>
  <c r="U19"/>
  <c r="V19"/>
  <c r="U20"/>
  <c r="V20"/>
  <c r="U21"/>
  <c r="V21"/>
  <c r="U22"/>
  <c r="V22"/>
  <c r="U23"/>
  <c r="V23"/>
  <c r="U24"/>
  <c r="U25"/>
  <c r="V25"/>
  <c r="U26"/>
  <c r="V26"/>
  <c r="U29"/>
  <c r="V29"/>
  <c r="U41"/>
  <c r="V41"/>
  <c r="U42"/>
  <c r="V42"/>
  <c r="U45"/>
  <c r="V45"/>
  <c r="V62"/>
  <c r="U64"/>
  <c r="V64"/>
  <c r="U70"/>
  <c r="V70"/>
  <c r="U80"/>
  <c r="V80"/>
  <c r="U85"/>
  <c r="V85"/>
  <c r="U88"/>
  <c r="V88"/>
  <c r="U91"/>
  <c r="V92"/>
  <c r="U93"/>
  <c r="V93"/>
  <c r="U94"/>
  <c r="V94"/>
  <c r="U95"/>
  <c r="V95"/>
  <c r="U96"/>
  <c r="V96"/>
  <c r="U97"/>
  <c r="V97"/>
  <c r="V98"/>
  <c r="U99"/>
  <c r="V99"/>
  <c r="U100"/>
  <c r="U101"/>
  <c r="V101"/>
  <c r="U102"/>
  <c r="V102"/>
  <c r="U103"/>
  <c r="V103"/>
  <c r="U104"/>
  <c r="V104"/>
  <c r="V105"/>
  <c r="V106"/>
  <c r="U108"/>
  <c r="U109"/>
  <c r="U110"/>
  <c r="U111"/>
  <c r="V112"/>
  <c r="V113"/>
  <c r="V115"/>
  <c r="U116"/>
  <c r="V116"/>
  <c r="V117"/>
  <c r="V118"/>
  <c r="U119"/>
  <c r="V119"/>
  <c r="V120"/>
  <c r="U121"/>
  <c r="V121"/>
  <c r="U122"/>
  <c r="V122"/>
  <c r="U124"/>
  <c r="V124"/>
  <c r="V125"/>
  <c r="U127"/>
  <c r="V127"/>
  <c r="U128"/>
  <c r="V128"/>
  <c r="U129"/>
  <c r="V129"/>
  <c r="U130"/>
  <c r="V130"/>
  <c r="U131"/>
  <c r="V134"/>
  <c r="U136"/>
  <c r="V137"/>
  <c r="V138"/>
  <c r="V139"/>
  <c r="U141"/>
  <c r="V141"/>
  <c r="U142"/>
  <c r="U143"/>
  <c r="V144"/>
  <c r="V145"/>
  <c r="V146"/>
  <c r="U148"/>
  <c r="U149"/>
  <c r="U150"/>
  <c r="U151"/>
  <c r="V152"/>
  <c r="V153"/>
  <c r="V155"/>
  <c r="V156"/>
  <c r="U157"/>
  <c r="U158"/>
  <c r="V158"/>
  <c r="U159"/>
  <c r="U160"/>
  <c r="V160"/>
  <c r="U161"/>
  <c r="V162"/>
  <c r="V163"/>
  <c r="U165"/>
  <c r="V165"/>
  <c r="U185"/>
  <c r="V185"/>
  <c r="U186"/>
  <c r="V186"/>
  <c r="U187"/>
  <c r="V187"/>
  <c r="U188"/>
  <c r="V188"/>
  <c r="U189"/>
  <c r="V189"/>
  <c r="U190"/>
  <c r="V190"/>
  <c r="U191"/>
  <c r="V191"/>
  <c r="U192"/>
  <c r="V192"/>
  <c r="U193"/>
  <c r="V193"/>
  <c r="U194"/>
  <c r="V194"/>
  <c r="V195"/>
  <c r="U196"/>
  <c r="V196"/>
  <c r="U198"/>
  <c r="V198"/>
  <c r="U199"/>
  <c r="V199"/>
  <c r="U200"/>
  <c r="V200"/>
  <c r="U201"/>
  <c r="V201"/>
  <c r="U202"/>
  <c r="U203"/>
  <c r="V203"/>
  <c r="U204"/>
  <c r="V204"/>
  <c r="V205"/>
  <c r="U206"/>
  <c r="V206"/>
  <c r="U207"/>
  <c r="V207"/>
  <c r="U208"/>
  <c r="V208"/>
  <c r="U209"/>
  <c r="V209"/>
  <c r="U211"/>
  <c r="V211"/>
  <c r="U212"/>
  <c r="V212"/>
  <c r="U213"/>
  <c r="U214"/>
  <c r="V214"/>
  <c r="U215"/>
  <c r="V215"/>
  <c r="U216"/>
  <c r="V216"/>
  <c r="U217"/>
  <c r="V217"/>
  <c r="U218"/>
  <c r="V218"/>
  <c r="U219"/>
  <c r="V219"/>
  <c r="U220"/>
  <c r="V220"/>
  <c r="U221"/>
  <c r="V221"/>
  <c r="U222"/>
  <c r="V222"/>
  <c r="U223"/>
  <c r="V223"/>
  <c r="U224"/>
  <c r="V224"/>
  <c r="U225"/>
  <c r="U226"/>
  <c r="V226"/>
  <c r="U227"/>
  <c r="U228"/>
  <c r="U229"/>
  <c r="V229"/>
  <c r="U230"/>
  <c r="V230"/>
  <c r="U232"/>
  <c r="V232"/>
  <c r="U233"/>
  <c r="V233"/>
  <c r="U234"/>
  <c r="V234"/>
  <c r="U235"/>
  <c r="V235"/>
  <c r="U236"/>
  <c r="V236"/>
  <c r="U237"/>
  <c r="V237"/>
  <c r="U238"/>
  <c r="V238"/>
  <c r="U239"/>
  <c r="V239"/>
  <c r="U240"/>
  <c r="U241"/>
  <c r="V241"/>
  <c r="U242"/>
  <c r="V242"/>
  <c r="U243"/>
  <c r="V243"/>
  <c r="U244"/>
  <c r="V244"/>
  <c r="U245"/>
  <c r="V245"/>
  <c r="U246"/>
  <c r="U247"/>
  <c r="V247"/>
  <c r="U248"/>
  <c r="V248"/>
  <c r="U249"/>
  <c r="V249"/>
  <c r="U250"/>
  <c r="V250"/>
  <c r="U251"/>
  <c r="V251"/>
  <c r="U252"/>
  <c r="V252"/>
  <c r="U253"/>
  <c r="V254"/>
  <c r="V255"/>
  <c r="U256"/>
  <c r="V256"/>
  <c r="W10" i="8"/>
  <c r="AA10"/>
  <c r="AC11" i="9"/>
  <c r="AC12"/>
  <c r="AC13"/>
  <c r="AC14"/>
  <c r="AC15"/>
  <c r="AC16"/>
  <c r="AC17"/>
  <c r="AC16" i="8" s="1"/>
  <c r="AC18" i="9"/>
  <c r="AC17" i="8" s="1"/>
  <c r="W18"/>
  <c r="AA18"/>
  <c r="AC19" i="9"/>
  <c r="W19" i="8"/>
  <c r="AA19"/>
  <c r="AC20" i="9"/>
  <c r="W20" i="8"/>
  <c r="AA20"/>
  <c r="AC21" i="9"/>
  <c r="W21" i="8"/>
  <c r="AA21"/>
  <c r="AC22" i="9"/>
  <c r="W22" i="8"/>
  <c r="AA22"/>
  <c r="AC22" s="1"/>
  <c r="AC23" i="9"/>
  <c r="W23" i="8"/>
  <c r="AA23"/>
  <c r="AC24" i="9"/>
  <c r="W24" i="8"/>
  <c r="AA24"/>
  <c r="AC25" i="9"/>
  <c r="W25" i="8"/>
  <c r="AA25"/>
  <c r="AC26" i="9"/>
  <c r="AC25" i="8" s="1"/>
  <c r="W26"/>
  <c r="AA26"/>
  <c r="AC27" i="9"/>
  <c r="W27" i="8"/>
  <c r="AA27"/>
  <c r="AC28" i="9"/>
  <c r="AC27" i="8" s="1"/>
  <c r="W30"/>
  <c r="AA30"/>
  <c r="AC31" i="9"/>
  <c r="W42" i="8"/>
  <c r="AA42"/>
  <c r="AC43" i="9"/>
  <c r="W43" i="8"/>
  <c r="AA43"/>
  <c r="AC44" i="9"/>
  <c r="W46" i="8"/>
  <c r="AA46"/>
  <c r="AC47" i="9"/>
  <c r="W81" i="8"/>
  <c r="AC82" i="9"/>
  <c r="W86" i="8"/>
  <c r="AC87" i="9"/>
  <c r="W89" i="8"/>
  <c r="AC90" i="9"/>
  <c r="W92" i="8"/>
  <c r="AC93" i="9"/>
  <c r="W93" i="8"/>
  <c r="AC94" i="9"/>
  <c r="W94" i="8"/>
  <c r="AC95" i="9"/>
  <c r="W95" i="8"/>
  <c r="AC96" i="9"/>
  <c r="W96" i="8"/>
  <c r="AC97" i="9"/>
  <c r="W97" i="8"/>
  <c r="AC98" i="9"/>
  <c r="W98" i="8"/>
  <c r="AC99" i="9"/>
  <c r="W99" i="8"/>
  <c r="AC100" i="9"/>
  <c r="W100" i="8"/>
  <c r="AC101" i="9"/>
  <c r="W101" i="8"/>
  <c r="AC102" i="9"/>
  <c r="W102" i="8"/>
  <c r="AC103" i="9"/>
  <c r="W103" i="8"/>
  <c r="AC104" i="9"/>
  <c r="W104" i="8"/>
  <c r="AC105" i="9"/>
  <c r="W106" i="8"/>
  <c r="AC107" i="9"/>
  <c r="W107" i="8"/>
  <c r="AC108" i="9"/>
  <c r="W108" i="8"/>
  <c r="AC109" i="9"/>
  <c r="W109" i="8"/>
  <c r="AC110" i="9"/>
  <c r="W110" i="8"/>
  <c r="AC111" i="9"/>
  <c r="W111" i="8"/>
  <c r="AC113" i="9"/>
  <c r="W113" i="8"/>
  <c r="AC114" i="9"/>
  <c r="W114" i="8"/>
  <c r="AC115" i="9"/>
  <c r="W116" i="8"/>
  <c r="AC117" i="9"/>
  <c r="W117" i="8"/>
  <c r="AC118" i="9"/>
  <c r="W118" i="8"/>
  <c r="AC119" i="9"/>
  <c r="W119" i="8"/>
  <c r="AC120" i="9"/>
  <c r="AC121"/>
  <c r="W121" i="8"/>
  <c r="AC122" i="9"/>
  <c r="W122" i="8"/>
  <c r="AC123" i="9"/>
  <c r="W123" i="8"/>
  <c r="AC124" i="9"/>
  <c r="W124" i="8"/>
  <c r="AC125" i="9"/>
  <c r="W125" i="8"/>
  <c r="AC126" i="9"/>
  <c r="W126" i="8"/>
  <c r="AC127" i="9"/>
  <c r="AC129"/>
  <c r="W129" i="8"/>
  <c r="AC130" i="9"/>
  <c r="W130" i="8"/>
  <c r="AC131" i="9"/>
  <c r="W131" i="8"/>
  <c r="AC132" i="9"/>
  <c r="W132" i="8"/>
  <c r="AC133" i="9"/>
  <c r="W133" i="8"/>
  <c r="AC134" i="9"/>
  <c r="W135" i="8"/>
  <c r="AC136" i="9"/>
  <c r="W136" i="8"/>
  <c r="AC137" i="9"/>
  <c r="W137" i="8"/>
  <c r="AC138" i="9"/>
  <c r="W138" i="8"/>
  <c r="AC139" i="9"/>
  <c r="W139" i="8"/>
  <c r="AC140" i="9"/>
  <c r="W140" i="8"/>
  <c r="AC141" i="9"/>
  <c r="W141" i="8"/>
  <c r="AC142" i="9"/>
  <c r="W142" i="8"/>
  <c r="AC143" i="9"/>
  <c r="W143" i="8"/>
  <c r="AC144" i="9"/>
  <c r="W144" i="8"/>
  <c r="AC145" i="9"/>
  <c r="W145" i="8"/>
  <c r="AC146" i="9"/>
  <c r="W146" i="8"/>
  <c r="AC147" i="9"/>
  <c r="W147" i="8"/>
  <c r="AC148" i="9"/>
  <c r="W148" i="8"/>
  <c r="AC149" i="9"/>
  <c r="W149" i="8"/>
  <c r="AC150" i="9"/>
  <c r="W150" i="8"/>
  <c r="AC151" i="9"/>
  <c r="W151" i="8"/>
  <c r="AC152" i="9"/>
  <c r="W152" i="8"/>
  <c r="AC153" i="9"/>
  <c r="W153" i="8"/>
  <c r="AC154" i="9"/>
  <c r="W154" i="8"/>
  <c r="AC155" i="9"/>
  <c r="W156" i="8"/>
  <c r="AC157" i="9"/>
  <c r="W157" i="8"/>
  <c r="AC158" i="9"/>
  <c r="W158" i="8"/>
  <c r="AC159" i="9"/>
  <c r="W159" i="8"/>
  <c r="AC160" i="9"/>
  <c r="W160" i="8"/>
  <c r="AC161" i="9"/>
  <c r="W161" i="8"/>
  <c r="AC162" i="9"/>
  <c r="W162" i="8"/>
  <c r="W163"/>
  <c r="AC164" i="9"/>
  <c r="W164" i="8"/>
  <c r="AC165" i="9"/>
  <c r="W166" i="8"/>
  <c r="AC167" i="9"/>
  <c r="W187" i="8"/>
  <c r="AC188" i="9"/>
  <c r="W189" i="8"/>
  <c r="AC190" i="9"/>
  <c r="W192" i="8"/>
  <c r="AC193" i="9"/>
  <c r="W193" i="8"/>
  <c r="AC194" i="9"/>
  <c r="AC193" i="8" s="1"/>
  <c r="W194"/>
  <c r="AC194" s="1"/>
  <c r="W195"/>
  <c r="AC196" i="9"/>
  <c r="W196" i="8"/>
  <c r="AC197" i="9"/>
  <c r="W197" i="8"/>
  <c r="AC198" i="9"/>
  <c r="W199" i="8"/>
  <c r="AC200" i="9"/>
  <c r="W200" i="8"/>
  <c r="AC201" i="9"/>
  <c r="W201" i="8"/>
  <c r="AC202" i="9"/>
  <c r="W202" i="8"/>
  <c r="AC203" i="9"/>
  <c r="W203" i="8"/>
  <c r="AC204" i="9"/>
  <c r="W204" i="8"/>
  <c r="AC205" i="9"/>
  <c r="W205" i="8"/>
  <c r="AC206" i="9"/>
  <c r="W206" i="8"/>
  <c r="W207"/>
  <c r="AC208" i="9"/>
  <c r="W208" i="8"/>
  <c r="W209"/>
  <c r="W210"/>
  <c r="W212"/>
  <c r="AC213" i="9"/>
  <c r="W213" i="8"/>
  <c r="AC214" i="9"/>
  <c r="W214" i="8"/>
  <c r="AC215" i="9"/>
  <c r="W215" i="8"/>
  <c r="AC216" i="9"/>
  <c r="W216" i="8"/>
  <c r="AC217" i="9"/>
  <c r="W217" i="8"/>
  <c r="AC218" i="9"/>
  <c r="W218" i="8"/>
  <c r="AC219" i="9"/>
  <c r="W219" i="8"/>
  <c r="AC220" i="9"/>
  <c r="W220" i="8"/>
  <c r="AC221" i="9"/>
  <c r="W221" i="8"/>
  <c r="AC222" i="9"/>
  <c r="W222" i="8"/>
  <c r="AC223" i="9"/>
  <c r="W223" i="8"/>
  <c r="AC224" i="9"/>
  <c r="W225" i="8"/>
  <c r="AC226" i="9"/>
  <c r="W227" i="8"/>
  <c r="AC228" i="9"/>
  <c r="W230" i="8"/>
  <c r="AC231" i="9"/>
  <c r="W231" i="8"/>
  <c r="AC232" i="9"/>
  <c r="W233" i="8"/>
  <c r="AC234" i="9"/>
  <c r="W234" i="8"/>
  <c r="AC235" i="9"/>
  <c r="W235" i="8"/>
  <c r="W236"/>
  <c r="AC237" i="9"/>
  <c r="W237" i="8"/>
  <c r="AC238" i="9"/>
  <c r="W238" i="8"/>
  <c r="AC239" i="9"/>
  <c r="W239" i="8"/>
  <c r="AC240" i="9"/>
  <c r="W240" i="8"/>
  <c r="AC241" i="9"/>
  <c r="W242" i="8"/>
  <c r="AC243" i="9"/>
  <c r="W243" i="8"/>
  <c r="AC244" i="9"/>
  <c r="W244" i="8"/>
  <c r="AC245" i="9"/>
  <c r="W245" i="8"/>
  <c r="AC246" i="9"/>
  <c r="W246" i="8"/>
  <c r="AC247" i="9"/>
  <c r="W247" i="8"/>
  <c r="AC248" i="9"/>
  <c r="W248" i="8"/>
  <c r="AC249" i="9"/>
  <c r="W249" i="8"/>
  <c r="AC250" i="9"/>
  <c r="AC249" i="8" s="1"/>
  <c r="W250"/>
  <c r="AC251" i="9"/>
  <c r="W251" i="8"/>
  <c r="AC252" i="9"/>
  <c r="AC251" i="8" s="1"/>
  <c r="W252"/>
  <c r="AC253" i="9"/>
  <c r="AC252" i="8" s="1"/>
  <c r="W253"/>
  <c r="AC254" i="9"/>
  <c r="W254" i="8"/>
  <c r="AC255" i="9"/>
  <c r="AC254" i="8" s="1"/>
  <c r="W255"/>
  <c r="AC256" i="9"/>
  <c r="W256" i="8"/>
  <c r="AC257" i="9"/>
  <c r="AC256" i="8" s="1"/>
  <c r="W257"/>
  <c r="AC258" i="9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31"/>
  <c r="AA43"/>
  <c r="AA44"/>
  <c r="AA47"/>
  <c r="AA64"/>
  <c r="AA66"/>
  <c r="AA72"/>
  <c r="AA82"/>
  <c r="AA87"/>
  <c r="AA90"/>
  <c r="AA93"/>
  <c r="AA94"/>
  <c r="AA95"/>
  <c r="AA96"/>
  <c r="AA97"/>
  <c r="AA99"/>
  <c r="AA100"/>
  <c r="AA101"/>
  <c r="AA102"/>
  <c r="AA103"/>
  <c r="AA104"/>
  <c r="AA105"/>
  <c r="AA106"/>
  <c r="AA107"/>
  <c r="AA108"/>
  <c r="AA109"/>
  <c r="AA110"/>
  <c r="AA111"/>
  <c r="AA112"/>
  <c r="AA113"/>
  <c r="AA114"/>
  <c r="AA115"/>
  <c r="AA117"/>
  <c r="AA118"/>
  <c r="AA119"/>
  <c r="AA120"/>
  <c r="AA121"/>
  <c r="AA122"/>
  <c r="AA124"/>
  <c r="AA125"/>
  <c r="AA126"/>
  <c r="AA127"/>
  <c r="AA130"/>
  <c r="AA131"/>
  <c r="AA132"/>
  <c r="AA133"/>
  <c r="AA136"/>
  <c r="AA137"/>
  <c r="AA138"/>
  <c r="AA139"/>
  <c r="AA140"/>
  <c r="AA141"/>
  <c r="AA142"/>
  <c r="AA143"/>
  <c r="AA144"/>
  <c r="AA145"/>
  <c r="AA146"/>
  <c r="AA147"/>
  <c r="AA149"/>
  <c r="AA150"/>
  <c r="AA151"/>
  <c r="AA152"/>
  <c r="AA153"/>
  <c r="AA154"/>
  <c r="AA155"/>
  <c r="AA157"/>
  <c r="AA158"/>
  <c r="AA159"/>
  <c r="AA160"/>
  <c r="AA161"/>
  <c r="AA162"/>
  <c r="AA163"/>
  <c r="AA164"/>
  <c r="AA165"/>
  <c r="AA167"/>
  <c r="AA187"/>
  <c r="AA188"/>
  <c r="AA190"/>
  <c r="AA193"/>
  <c r="AA194"/>
  <c r="AA195"/>
  <c r="AA196"/>
  <c r="AA198"/>
  <c r="AA200"/>
  <c r="AA201"/>
  <c r="AA202"/>
  <c r="AA203"/>
  <c r="AA204"/>
  <c r="AA205"/>
  <c r="AA206"/>
  <c r="AA208"/>
  <c r="AA209"/>
  <c r="AA210"/>
  <c r="AA211"/>
  <c r="AA213"/>
  <c r="AA214"/>
  <c r="AA215"/>
  <c r="AA216"/>
  <c r="AA217"/>
  <c r="AA218"/>
  <c r="AA219"/>
  <c r="AA220"/>
  <c r="AA221"/>
  <c r="AA222"/>
  <c r="AA224"/>
  <c r="AA226"/>
  <c r="AA228"/>
  <c r="E9" i="10"/>
  <c r="M9"/>
  <c r="AB9"/>
  <c r="E10"/>
  <c r="M10"/>
  <c r="E11"/>
  <c r="M11"/>
  <c r="E12"/>
  <c r="M12"/>
  <c r="AB12"/>
  <c r="E13"/>
  <c r="M13"/>
  <c r="E14"/>
  <c r="M14"/>
  <c r="AB14"/>
  <c r="E15"/>
  <c r="M15"/>
  <c r="E16"/>
  <c r="M16"/>
  <c r="AB16"/>
  <c r="E17"/>
  <c r="M17"/>
  <c r="E18"/>
  <c r="M18"/>
  <c r="AB18"/>
  <c r="E19"/>
  <c r="M19"/>
  <c r="E20"/>
  <c r="M20"/>
  <c r="AB20"/>
  <c r="E21"/>
  <c r="M21"/>
  <c r="E22"/>
  <c r="M22"/>
  <c r="AB22"/>
  <c r="E23"/>
  <c r="M23"/>
  <c r="E24"/>
  <c r="M24"/>
  <c r="AB24"/>
  <c r="E25"/>
  <c r="M25"/>
  <c r="M26"/>
  <c r="AB26"/>
  <c r="E29"/>
  <c r="M29"/>
  <c r="AB29"/>
  <c r="E41"/>
  <c r="M41"/>
  <c r="AB41"/>
  <c r="E42"/>
  <c r="M42"/>
  <c r="AB42"/>
  <c r="E45"/>
  <c r="M45"/>
  <c r="AB45"/>
  <c r="E62"/>
  <c r="M62"/>
  <c r="AB62"/>
  <c r="E70"/>
  <c r="M70"/>
  <c r="E85"/>
  <c r="M85"/>
  <c r="E88"/>
  <c r="M88"/>
  <c r="AB88"/>
  <c r="E91"/>
  <c r="M91"/>
  <c r="AB91"/>
  <c r="E92"/>
  <c r="M92"/>
  <c r="E94"/>
  <c r="M94"/>
  <c r="E95"/>
  <c r="M95"/>
  <c r="AB95"/>
  <c r="E96"/>
  <c r="M96"/>
  <c r="E97"/>
  <c r="M97"/>
  <c r="AB97"/>
  <c r="M98"/>
  <c r="AB98"/>
  <c r="E99"/>
  <c r="M99"/>
  <c r="E100"/>
  <c r="M100"/>
  <c r="E101"/>
  <c r="M101"/>
  <c r="AB101"/>
  <c r="E102"/>
  <c r="M102"/>
  <c r="E103"/>
  <c r="M103"/>
  <c r="AB103"/>
  <c r="E104"/>
  <c r="M104"/>
  <c r="AB104"/>
  <c r="E105"/>
  <c r="M105"/>
  <c r="E106"/>
  <c r="M106"/>
  <c r="AB106"/>
  <c r="E107"/>
  <c r="M107"/>
  <c r="E108"/>
  <c r="M108"/>
  <c r="AB108"/>
  <c r="E109"/>
  <c r="M109"/>
  <c r="E110"/>
  <c r="M110"/>
  <c r="M111"/>
  <c r="AB111"/>
  <c r="E112"/>
  <c r="M112"/>
  <c r="E113"/>
  <c r="M113"/>
  <c r="AB113"/>
  <c r="E115"/>
  <c r="M115"/>
  <c r="AB115"/>
  <c r="E116"/>
  <c r="M116"/>
  <c r="AB116"/>
  <c r="E117"/>
  <c r="M117"/>
  <c r="AB117"/>
  <c r="E118"/>
  <c r="M118"/>
  <c r="AB118"/>
  <c r="E119"/>
  <c r="M119"/>
  <c r="AB119"/>
  <c r="E120"/>
  <c r="M120"/>
  <c r="AB120"/>
  <c r="E121"/>
  <c r="M121"/>
  <c r="AB121"/>
  <c r="E122"/>
  <c r="M122"/>
  <c r="AB122"/>
  <c r="E123"/>
  <c r="M123"/>
  <c r="AB123"/>
  <c r="E124"/>
  <c r="M124"/>
  <c r="AB124"/>
  <c r="E125"/>
  <c r="M125"/>
  <c r="AB125"/>
  <c r="E127"/>
  <c r="M127"/>
  <c r="AB127"/>
  <c r="E128"/>
  <c r="M128"/>
  <c r="E129"/>
  <c r="M129"/>
  <c r="AB129"/>
  <c r="E130"/>
  <c r="M130"/>
  <c r="AB130"/>
  <c r="E131"/>
  <c r="M131"/>
  <c r="AB131"/>
  <c r="E132"/>
  <c r="M132"/>
  <c r="E134"/>
  <c r="M134"/>
  <c r="AB134"/>
  <c r="E135"/>
  <c r="M135"/>
  <c r="AB135"/>
  <c r="E136"/>
  <c r="M136"/>
  <c r="AB136"/>
  <c r="E137"/>
  <c r="M137"/>
  <c r="E138"/>
  <c r="M138"/>
  <c r="AB138"/>
  <c r="E139"/>
  <c r="M139"/>
  <c r="E140"/>
  <c r="M140"/>
  <c r="AB140"/>
  <c r="E141"/>
  <c r="M141"/>
  <c r="E142"/>
  <c r="M142"/>
  <c r="AB142"/>
  <c r="E143"/>
  <c r="M143"/>
  <c r="E144"/>
  <c r="M144"/>
  <c r="AB144"/>
  <c r="E145"/>
  <c r="M145"/>
  <c r="E146"/>
  <c r="M146"/>
  <c r="AB146"/>
  <c r="E147"/>
  <c r="M147"/>
  <c r="E148"/>
  <c r="M148"/>
  <c r="AB148"/>
  <c r="E149"/>
  <c r="M149"/>
  <c r="E150"/>
  <c r="M150"/>
  <c r="AB150"/>
  <c r="E151"/>
  <c r="M151"/>
  <c r="E152"/>
  <c r="M152"/>
  <c r="AB152"/>
  <c r="E153"/>
  <c r="M153"/>
  <c r="AB153"/>
  <c r="E155"/>
  <c r="M155"/>
  <c r="AB155"/>
  <c r="E156"/>
  <c r="M156"/>
  <c r="AB156"/>
  <c r="E157"/>
  <c r="M157"/>
  <c r="AB157"/>
  <c r="E158"/>
  <c r="M158"/>
  <c r="AB158"/>
  <c r="E159"/>
  <c r="M159"/>
  <c r="E160"/>
  <c r="M160"/>
  <c r="AB160"/>
  <c r="M161"/>
  <c r="E162"/>
  <c r="M162"/>
  <c r="AB162"/>
  <c r="E163"/>
  <c r="M163"/>
  <c r="AB163"/>
  <c r="E165"/>
  <c r="M165"/>
  <c r="AB165"/>
  <c r="E185"/>
  <c r="M185"/>
  <c r="AB185"/>
  <c r="E186"/>
  <c r="M186"/>
  <c r="E187"/>
  <c r="M187"/>
  <c r="E188"/>
  <c r="M188"/>
  <c r="AB188"/>
  <c r="E191"/>
  <c r="M191"/>
  <c r="AB191"/>
  <c r="E192"/>
  <c r="M192"/>
  <c r="AB192"/>
  <c r="M193"/>
  <c r="AB193"/>
  <c r="M194"/>
  <c r="AB194"/>
  <c r="E195"/>
  <c r="M195"/>
  <c r="E196"/>
  <c r="M196"/>
  <c r="AB196"/>
  <c r="E198"/>
  <c r="M198"/>
  <c r="AB198"/>
  <c r="M199"/>
  <c r="AB199"/>
  <c r="E200"/>
  <c r="M200"/>
  <c r="AB200"/>
  <c r="E201"/>
  <c r="M201"/>
  <c r="AB201"/>
  <c r="E202"/>
  <c r="M202"/>
  <c r="AB202"/>
  <c r="E203"/>
  <c r="M203"/>
  <c r="AB203"/>
  <c r="E204"/>
  <c r="M204"/>
  <c r="AB204"/>
  <c r="E205"/>
  <c r="M205"/>
  <c r="AB205"/>
  <c r="E206"/>
  <c r="M206"/>
  <c r="AB206"/>
  <c r="E207"/>
  <c r="M207"/>
  <c r="AB207"/>
  <c r="E208"/>
  <c r="M208"/>
  <c r="AB208"/>
  <c r="M209"/>
  <c r="AB209"/>
  <c r="E211"/>
  <c r="M211"/>
  <c r="AB211"/>
  <c r="E212"/>
  <c r="M212"/>
  <c r="AB212"/>
  <c r="E213"/>
  <c r="M213"/>
  <c r="AB213"/>
  <c r="E214"/>
  <c r="M214"/>
  <c r="AB214"/>
  <c r="E215"/>
  <c r="M215"/>
  <c r="AB215"/>
  <c r="E216"/>
  <c r="M216"/>
  <c r="AB216"/>
  <c r="E217"/>
  <c r="M217"/>
  <c r="AB217"/>
  <c r="E218"/>
  <c r="M218"/>
  <c r="E219"/>
  <c r="M219"/>
  <c r="E220"/>
  <c r="M220"/>
  <c r="AB220"/>
  <c r="E221"/>
  <c r="M221"/>
  <c r="AB221"/>
  <c r="E222"/>
  <c r="M222"/>
  <c r="AB222"/>
  <c r="E223"/>
  <c r="M223"/>
  <c r="AB223"/>
  <c r="E224"/>
  <c r="M224"/>
  <c r="AB224"/>
  <c r="E226"/>
  <c r="AB226"/>
  <c r="E229"/>
  <c r="AB229"/>
  <c r="E230"/>
  <c r="AB230"/>
  <c r="AB232"/>
  <c r="E233"/>
  <c r="AB233"/>
  <c r="E235"/>
  <c r="AB235"/>
  <c r="E236"/>
  <c r="AB236"/>
  <c r="E237"/>
  <c r="AB237"/>
  <c r="E238"/>
  <c r="AB238"/>
  <c r="E239"/>
  <c r="AB239"/>
  <c r="E241"/>
  <c r="AB241"/>
  <c r="E242"/>
  <c r="AB242"/>
  <c r="E243"/>
  <c r="AB243"/>
  <c r="E244"/>
  <c r="AB244"/>
  <c r="E245"/>
  <c r="AB245"/>
  <c r="E246"/>
  <c r="AB246"/>
  <c r="E247"/>
  <c r="AB247"/>
  <c r="E248"/>
  <c r="AB248"/>
  <c r="E249"/>
  <c r="AB249"/>
  <c r="E250"/>
  <c r="AB250"/>
  <c r="E251"/>
  <c r="AB251"/>
  <c r="E252"/>
  <c r="AB252"/>
  <c r="E253"/>
  <c r="AB253"/>
  <c r="E254"/>
  <c r="AB254"/>
  <c r="AB255"/>
  <c r="E256"/>
  <c r="AB256"/>
  <c r="AB44"/>
  <c r="AB210"/>
  <c r="AY200" i="14"/>
  <c r="AB227" i="10"/>
  <c r="AY206" i="14"/>
  <c r="AR210" i="5"/>
  <c r="AY214" i="14"/>
  <c r="AY211"/>
  <c r="AY218"/>
  <c r="AR149" i="5"/>
  <c r="AR141"/>
  <c r="AR100"/>
  <c r="AR45"/>
  <c r="AR20"/>
  <c r="AR12"/>
  <c r="AR213"/>
  <c r="AR231"/>
  <c r="AR240"/>
  <c r="AR244"/>
  <c r="AR248"/>
  <c r="AR252"/>
  <c r="U222" i="3"/>
  <c r="U227"/>
  <c r="AM221" i="2"/>
  <c r="AM220"/>
  <c r="AB219" i="10"/>
  <c r="AY216" i="14"/>
  <c r="AY215"/>
  <c r="AR227" i="5"/>
  <c r="AM227" i="2"/>
  <c r="AR225" i="5"/>
  <c r="AM225" i="2"/>
  <c r="V225" i="7"/>
  <c r="AY226" i="14"/>
  <c r="AR230" i="5"/>
  <c r="AM230" i="2"/>
  <c r="AM228"/>
  <c r="V228" i="7"/>
  <c r="AR237" i="5"/>
  <c r="AM252" i="2"/>
  <c r="V253" i="7"/>
  <c r="AM251" i="2"/>
  <c r="AY245" i="14"/>
  <c r="AR249" i="5"/>
  <c r="AM249" i="2"/>
  <c r="AM248"/>
  <c r="AR246" i="5"/>
  <c r="AB228" i="10"/>
  <c r="AR243" i="5"/>
  <c r="AY238" i="14"/>
  <c r="AR242" i="5"/>
  <c r="AM242" i="2"/>
  <c r="AR241" i="5"/>
  <c r="AM241" i="2"/>
  <c r="AR239" i="5"/>
  <c r="AR235"/>
  <c r="AM236" i="2"/>
  <c r="U235" i="3"/>
  <c r="AY230" i="14"/>
  <c r="AY229"/>
  <c r="AY244"/>
  <c r="AR254" i="5"/>
  <c r="AR255"/>
  <c r="AM254" i="2"/>
  <c r="U255" i="3"/>
  <c r="U253"/>
  <c r="U255" i="7"/>
  <c r="AY241" i="14"/>
  <c r="AZ245" i="6"/>
  <c r="AR245" i="5"/>
  <c r="AM245" i="2"/>
  <c r="AM253"/>
  <c r="AA188" i="8"/>
  <c r="AC188" s="1"/>
  <c r="AY228" i="14"/>
  <c r="AR232" i="5"/>
  <c r="U232" i="3"/>
  <c r="AM238" i="2"/>
  <c r="AR229" i="5"/>
  <c r="AR125"/>
  <c r="AM125" i="2"/>
  <c r="U125" i="7"/>
  <c r="AY130" i="14"/>
  <c r="U132" i="3"/>
  <c r="V132" i="7"/>
  <c r="V131"/>
  <c r="AY125" i="14"/>
  <c r="AM127" i="2"/>
  <c r="U129" i="3"/>
  <c r="V126" i="7"/>
  <c r="AY135" i="14"/>
  <c r="AM138" i="2"/>
  <c r="U138" i="3"/>
  <c r="AY133" i="14"/>
  <c r="AY132"/>
  <c r="AM136" i="2"/>
  <c r="U135" i="7"/>
  <c r="AM144" i="2"/>
  <c r="AR143" i="5"/>
  <c r="AM143" i="2"/>
  <c r="AR139" i="5"/>
  <c r="U139" i="3"/>
  <c r="AY146" i="14"/>
  <c r="AZ150" i="6"/>
  <c r="AZ147"/>
  <c r="AR148" i="5"/>
  <c r="AM147" i="2"/>
  <c r="AR146" i="5"/>
  <c r="AR155"/>
  <c r="U154" i="7"/>
  <c r="AY150" i="14"/>
  <c r="AM151" i="2"/>
  <c r="AB240" i="10"/>
  <c r="AB154"/>
  <c r="AY154" i="14"/>
  <c r="AM158" i="2"/>
  <c r="AZ157" i="6"/>
  <c r="AM157" i="2"/>
  <c r="V157" i="7"/>
  <c r="AR156" i="5"/>
  <c r="U162" i="7"/>
  <c r="AB161" i="10"/>
  <c r="AY156" i="14"/>
  <c r="AM100" i="2"/>
  <c r="V100" i="7"/>
  <c r="AB99" i="10"/>
  <c r="AR99" i="5"/>
  <c r="AM98" i="2"/>
  <c r="U98" i="3"/>
  <c r="U98" i="7"/>
  <c r="AM97" i="2"/>
  <c r="AC165" i="8"/>
  <c r="AY106" i="14"/>
  <c r="AY105"/>
  <c r="AM102" i="2"/>
  <c r="AY109" i="14"/>
  <c r="AR109" i="5"/>
  <c r="AM108" i="2"/>
  <c r="AR106" i="5"/>
  <c r="AC106" i="8"/>
  <c r="AR113" i="5"/>
  <c r="AM113" i="2"/>
  <c r="AY111" i="14"/>
  <c r="AR111" i="5"/>
  <c r="AY110" i="14"/>
  <c r="AR110" i="5"/>
  <c r="AY117" i="14"/>
  <c r="AM118" i="2"/>
  <c r="U118" i="7"/>
  <c r="AY116" i="14"/>
  <c r="AM117" i="2"/>
  <c r="U117" i="7"/>
  <c r="AY52" i="13"/>
  <c r="AY32"/>
  <c r="AY53"/>
  <c r="AY65"/>
  <c r="AY33"/>
  <c r="AY138" i="14"/>
  <c r="AY120"/>
  <c r="AY114"/>
  <c r="AY107"/>
  <c r="AY102"/>
  <c r="AY96"/>
  <c r="AY92"/>
  <c r="AY84"/>
  <c r="AY80"/>
  <c r="AY25"/>
  <c r="AY98"/>
  <c r="AY44"/>
  <c r="AY142"/>
  <c r="AY136"/>
  <c r="AY124"/>
  <c r="AY122"/>
  <c r="AY112"/>
  <c r="AY82"/>
  <c r="AY87"/>
  <c r="AY16"/>
  <c r="AY47"/>
  <c r="AY53"/>
  <c r="AY57"/>
  <c r="AY60"/>
  <c r="AY62"/>
  <c r="AY66"/>
  <c r="AY67"/>
  <c r="AY65"/>
  <c r="AY55"/>
  <c r="AY54"/>
  <c r="AY49"/>
  <c r="AY36"/>
  <c r="AY27"/>
  <c r="AY23"/>
  <c r="AY14"/>
  <c r="AY32"/>
  <c r="AY39"/>
  <c r="AZ77" i="6"/>
  <c r="AZ78"/>
  <c r="AZ79"/>
  <c r="AZ88"/>
  <c r="AZ30"/>
  <c r="AZ43"/>
  <c r="AZ52"/>
  <c r="AZ54"/>
  <c r="AZ59"/>
  <c r="AZ61"/>
  <c r="AZ64"/>
  <c r="AZ66"/>
  <c r="AZ68"/>
  <c r="AZ69"/>
  <c r="AZ72"/>
  <c r="AZ15"/>
  <c r="AZ17"/>
  <c r="AZ19"/>
  <c r="AZ21"/>
  <c r="AZ23"/>
  <c r="AZ25"/>
  <c r="AZ27"/>
  <c r="AZ152"/>
  <c r="AZ149"/>
  <c r="AR153" i="5"/>
  <c r="AR152"/>
  <c r="AR142"/>
  <c r="AR136"/>
  <c r="AR130"/>
  <c r="AR122"/>
  <c r="AR120"/>
  <c r="AR105"/>
  <c r="AR104"/>
  <c r="AR103"/>
  <c r="AR96"/>
  <c r="AR95"/>
  <c r="AR64"/>
  <c r="AR42"/>
  <c r="AR41"/>
  <c r="AR26"/>
  <c r="AR25"/>
  <c r="AR23"/>
  <c r="AR114"/>
  <c r="AR169"/>
  <c r="AR238"/>
  <c r="AR247"/>
  <c r="AM9" i="2"/>
  <c r="AM255"/>
  <c r="AM155"/>
  <c r="AM115"/>
  <c r="AM101"/>
  <c r="AM99"/>
  <c r="AM96"/>
  <c r="AM88"/>
  <c r="AM85"/>
  <c r="AM45"/>
  <c r="AM42"/>
  <c r="AM203"/>
  <c r="AM168"/>
  <c r="AM169"/>
  <c r="AM185"/>
  <c r="AM229"/>
  <c r="AM240"/>
  <c r="U90" i="3"/>
  <c r="U55"/>
  <c r="U56"/>
  <c r="U57"/>
  <c r="U59"/>
  <c r="U51"/>
  <c r="U48"/>
  <c r="U46"/>
  <c r="U47"/>
  <c r="AR159" i="5"/>
  <c r="U44" i="3"/>
  <c r="AR204" i="5"/>
  <c r="AR219"/>
  <c r="V90" i="7"/>
  <c r="U89"/>
  <c r="V89"/>
  <c r="V86"/>
  <c r="V87"/>
  <c r="U83"/>
  <c r="U78"/>
  <c r="V78"/>
  <c r="U77"/>
  <c r="U74"/>
  <c r="V74"/>
  <c r="U68"/>
  <c r="V71"/>
  <c r="U69"/>
  <c r="V69"/>
  <c r="U65"/>
  <c r="U67"/>
  <c r="U63"/>
  <c r="V63"/>
  <c r="U61"/>
  <c r="V61"/>
  <c r="U59"/>
  <c r="U60"/>
  <c r="U55"/>
  <c r="V55"/>
  <c r="U57"/>
  <c r="V57"/>
  <c r="U52"/>
  <c r="V51"/>
  <c r="U46"/>
  <c r="V43"/>
  <c r="U37"/>
  <c r="U38"/>
  <c r="U35"/>
  <c r="V35"/>
  <c r="U34"/>
  <c r="U32"/>
  <c r="U31"/>
  <c r="V31"/>
  <c r="U30"/>
  <c r="V30"/>
  <c r="V27"/>
  <c r="V28"/>
  <c r="AM202" i="2"/>
  <c r="AM205"/>
  <c r="AM213"/>
  <c r="V154" i="7"/>
  <c r="V166"/>
  <c r="AC26" i="8"/>
  <c r="AC18"/>
  <c r="AC155"/>
  <c r="AC85" i="9"/>
  <c r="AC86"/>
  <c r="AC84"/>
  <c r="AC81"/>
  <c r="AC76"/>
  <c r="AC77"/>
  <c r="AC78"/>
  <c r="AC70"/>
  <c r="AA67"/>
  <c r="AC68"/>
  <c r="AC65"/>
  <c r="AA61"/>
  <c r="AC62"/>
  <c r="AC63"/>
  <c r="AC60"/>
  <c r="AA56"/>
  <c r="AA50"/>
  <c r="AC53"/>
  <c r="AC54"/>
  <c r="AC49"/>
  <c r="AC45"/>
  <c r="AA33"/>
  <c r="AC34"/>
  <c r="AA36"/>
  <c r="AC37"/>
  <c r="AA39"/>
  <c r="AC40"/>
  <c r="AC42"/>
  <c r="AC30"/>
  <c r="AC99" i="8"/>
  <c r="AC101"/>
  <c r="AC103"/>
  <c r="AC10"/>
  <c r="AC98"/>
  <c r="AC100"/>
  <c r="AC102"/>
  <c r="AC104"/>
  <c r="AC167"/>
  <c r="AC174"/>
  <c r="AC179"/>
  <c r="AB151" i="10"/>
  <c r="AB149"/>
  <c r="AB147"/>
  <c r="AB145"/>
  <c r="AB143"/>
  <c r="AB141"/>
  <c r="AB139"/>
  <c r="AB137"/>
  <c r="AB132"/>
  <c r="AB128"/>
  <c r="AB112"/>
  <c r="AB109"/>
  <c r="AB107"/>
  <c r="AB102"/>
  <c r="AB100"/>
  <c r="AB96"/>
  <c r="AB94"/>
  <c r="AB92"/>
  <c r="AB85"/>
  <c r="AB70"/>
  <c r="AB175"/>
  <c r="AB177"/>
  <c r="AB189"/>
  <c r="AA111" i="8"/>
  <c r="AC111" s="1"/>
  <c r="AA65"/>
  <c r="AC65" s="1"/>
  <c r="AA160"/>
  <c r="AC160" s="1"/>
  <c r="AA168"/>
  <c r="AC168" s="1"/>
  <c r="AA171"/>
  <c r="AC171" s="1"/>
  <c r="AA187"/>
  <c r="AA219"/>
  <c r="AC219" s="1"/>
  <c r="AB78" i="10"/>
  <c r="AB60"/>
  <c r="AB31"/>
  <c r="AB33"/>
  <c r="AB39"/>
  <c r="AB225"/>
  <c r="AY93" i="14"/>
  <c r="AZ95" i="6"/>
  <c r="AM92" i="2"/>
  <c r="U92" i="7"/>
  <c r="AZ93" i="6"/>
  <c r="V91" i="7"/>
  <c r="AY143" i="14"/>
  <c r="AZ146" i="6"/>
  <c r="AY97" i="14"/>
  <c r="AC97" i="8"/>
  <c r="AC96"/>
  <c r="AC95"/>
  <c r="AB30" i="10"/>
  <c r="AA31" i="8"/>
  <c r="AA38"/>
  <c r="AB37" i="10"/>
  <c r="AA48" i="8"/>
  <c r="AC48" s="1"/>
  <c r="AB47" i="10"/>
  <c r="AA50" i="8"/>
  <c r="AB49" i="10"/>
  <c r="AA52" i="8"/>
  <c r="AB51" i="10"/>
  <c r="AA62" i="8"/>
  <c r="AC62" s="1"/>
  <c r="AB63" i="10"/>
  <c r="AA64" i="8"/>
  <c r="AA74"/>
  <c r="AB73" i="10"/>
  <c r="AA76" i="8"/>
  <c r="AC76" s="1"/>
  <c r="AB75" i="10"/>
  <c r="AB79"/>
  <c r="AA80" i="8"/>
  <c r="AB81" i="10"/>
  <c r="AA82" i="8"/>
  <c r="AB83" i="10"/>
  <c r="AA84" i="8"/>
  <c r="AB84" i="10"/>
  <c r="AA85" i="8"/>
  <c r="AB86" i="10"/>
  <c r="AA87" i="8"/>
  <c r="AA94"/>
  <c r="AC94" s="1"/>
  <c r="AB93" i="10"/>
  <c r="AA91" i="8"/>
  <c r="AB90" i="10"/>
  <c r="AB10"/>
  <c r="AB38"/>
  <c r="AA39" i="8"/>
  <c r="AB58" i="10"/>
  <c r="AA59" i="8"/>
  <c r="AA66"/>
  <c r="AB65" i="10"/>
  <c r="AB71"/>
  <c r="AA72" i="8"/>
  <c r="AB82" i="10"/>
  <c r="AA83" i="8"/>
  <c r="AC83" s="1"/>
  <c r="AA88"/>
  <c r="AB87" i="10"/>
  <c r="M56"/>
  <c r="AB67"/>
  <c r="AB11"/>
  <c r="AB15"/>
  <c r="AY89" i="14"/>
  <c r="AR88" i="5"/>
  <c r="AC89" i="8"/>
  <c r="AY46" i="14"/>
  <c r="AZ48" i="6"/>
  <c r="AC81" i="8"/>
  <c r="AY71" i="14"/>
  <c r="AR70" i="5"/>
  <c r="AM70" i="2"/>
  <c r="AR9" i="5"/>
  <c r="AR17"/>
  <c r="AR44"/>
  <c r="AR112"/>
  <c r="AR165"/>
  <c r="AR223"/>
  <c r="AR250"/>
  <c r="AM21" i="2"/>
  <c r="AM29"/>
  <c r="AM41"/>
  <c r="AM62"/>
  <c r="AM124"/>
  <c r="AM165"/>
  <c r="AM231"/>
  <c r="AM250"/>
  <c r="U9" i="3"/>
  <c r="AM44" i="2"/>
  <c r="AC166" i="8"/>
  <c r="AC86"/>
  <c r="AY29" i="13"/>
  <c r="AY17"/>
  <c r="AY73"/>
  <c r="AY244"/>
  <c r="AY235"/>
  <c r="AY35"/>
  <c r="AY56"/>
  <c r="AY118"/>
  <c r="AY204"/>
  <c r="AY130"/>
  <c r="AY67"/>
  <c r="AZ12" i="6"/>
  <c r="AR163" i="5"/>
  <c r="AR162"/>
  <c r="AR161"/>
  <c r="AR118"/>
  <c r="AR115"/>
  <c r="AR98"/>
  <c r="AR97"/>
  <c r="AR94"/>
  <c r="AR93"/>
  <c r="AR62"/>
  <c r="AR29"/>
  <c r="AR166"/>
  <c r="AR167"/>
  <c r="AR168"/>
  <c r="AR164"/>
  <c r="AR236"/>
  <c r="AR251"/>
  <c r="AR253"/>
  <c r="AR157"/>
  <c r="AR151"/>
  <c r="AR150"/>
  <c r="AR147"/>
  <c r="AR145"/>
  <c r="AR144"/>
  <c r="AR140"/>
  <c r="AR138"/>
  <c r="AR132"/>
  <c r="AR102"/>
  <c r="AR91"/>
  <c r="AR85"/>
  <c r="AR18"/>
  <c r="AR14"/>
  <c r="AR13"/>
  <c r="AR11"/>
  <c r="AR10"/>
  <c r="AM160" i="2"/>
  <c r="AM141"/>
  <c r="AM132"/>
  <c r="AM131"/>
  <c r="AM110"/>
  <c r="AM109"/>
  <c r="AM94"/>
  <c r="AM93"/>
  <c r="AM91"/>
  <c r="AM80"/>
  <c r="AM64"/>
  <c r="AM26"/>
  <c r="AM19"/>
  <c r="AM18"/>
  <c r="AM17"/>
  <c r="AM199"/>
  <c r="AM235"/>
  <c r="AM237"/>
  <c r="AM188"/>
  <c r="AM246"/>
  <c r="AM247"/>
  <c r="AM10"/>
  <c r="U84" i="3"/>
  <c r="U86"/>
  <c r="AM140" i="2"/>
  <c r="AM112"/>
  <c r="AM137"/>
  <c r="AM111"/>
  <c r="AM106"/>
  <c r="AM107"/>
  <c r="AM105"/>
  <c r="V147" i="7"/>
  <c r="AM148" i="2"/>
  <c r="AM139"/>
  <c r="AM134"/>
  <c r="AM135"/>
  <c r="U132" i="7"/>
  <c r="U163"/>
  <c r="V161"/>
  <c r="V159"/>
  <c r="U156"/>
  <c r="U153"/>
  <c r="V150"/>
  <c r="V149"/>
  <c r="U146"/>
  <c r="U145"/>
  <c r="V142"/>
  <c r="U140"/>
  <c r="U120"/>
  <c r="V110"/>
  <c r="V109"/>
  <c r="V107"/>
  <c r="V32"/>
  <c r="V33"/>
  <c r="U33"/>
  <c r="V34"/>
  <c r="V60"/>
  <c r="V76"/>
  <c r="U76"/>
  <c r="AC257" i="8"/>
  <c r="AC255"/>
  <c r="AC253"/>
  <c r="AC250"/>
  <c r="AC248"/>
  <c r="AC192"/>
  <c r="AC180"/>
  <c r="AC181"/>
  <c r="AC43"/>
  <c r="V24" i="7"/>
  <c r="U152"/>
  <c r="U162" i="3"/>
  <c r="U151"/>
  <c r="U147"/>
  <c r="U145"/>
  <c r="U135"/>
  <c r="U124"/>
  <c r="U115"/>
  <c r="U91"/>
  <c r="AR52" i="5"/>
  <c r="U82" i="3"/>
  <c r="U90" i="7"/>
  <c r="AM28" i="2"/>
  <c r="AM37"/>
  <c r="AM43"/>
  <c r="AM59"/>
  <c r="AM65"/>
  <c r="AM67"/>
  <c r="AM77"/>
  <c r="AM84"/>
  <c r="V40" i="7"/>
  <c r="U40"/>
  <c r="V46"/>
  <c r="V52"/>
  <c r="V68"/>
  <c r="U71"/>
  <c r="V83"/>
  <c r="V84"/>
  <c r="U86"/>
  <c r="AC231" i="8"/>
  <c r="AC230"/>
  <c r="AC227"/>
  <c r="AC225"/>
  <c r="AC204"/>
  <c r="AC203"/>
  <c r="AC202"/>
  <c r="AC201"/>
  <c r="AC195"/>
  <c r="AC136"/>
  <c r="AC135"/>
  <c r="AC133"/>
  <c r="AC132"/>
  <c r="AC93"/>
  <c r="AC92"/>
  <c r="AC173"/>
  <c r="AC177"/>
  <c r="AC71"/>
  <c r="S229" i="12" l="1"/>
  <c r="W229" s="1"/>
  <c r="AY183" i="13"/>
  <c r="AY158"/>
  <c r="AY102"/>
  <c r="AY236"/>
  <c r="AY166"/>
  <c r="AY164"/>
  <c r="AY13"/>
  <c r="AY145"/>
  <c r="AY154"/>
  <c r="AY180"/>
  <c r="AY127"/>
  <c r="AY11"/>
  <c r="AY129"/>
  <c r="AY189"/>
  <c r="AY18"/>
  <c r="AY99"/>
  <c r="AY229"/>
  <c r="AY98"/>
  <c r="AY103"/>
  <c r="AY30"/>
  <c r="AY21"/>
  <c r="AY185" i="14"/>
  <c r="AY184"/>
  <c r="AY149"/>
  <c r="AY42"/>
  <c r="AY13"/>
  <c r="AY236"/>
  <c r="AY19"/>
  <c r="AY11"/>
  <c r="AY159"/>
  <c r="AY217"/>
  <c r="AY212"/>
  <c r="AY209"/>
  <c r="AY207"/>
  <c r="AY205"/>
  <c r="AY204"/>
  <c r="AY199"/>
  <c r="AY194"/>
  <c r="AY190"/>
  <c r="AY188"/>
  <c r="AY91"/>
  <c r="AY81"/>
  <c r="AY43"/>
  <c r="AY24"/>
  <c r="AY171"/>
  <c r="BM66"/>
  <c r="AY74"/>
  <c r="AY76"/>
  <c r="AY78"/>
  <c r="AY86"/>
  <c r="AY90"/>
  <c r="BM90"/>
  <c r="AM130" i="2"/>
  <c r="AM128"/>
  <c r="AM243"/>
  <c r="AM244"/>
  <c r="AM74"/>
  <c r="AM83"/>
  <c r="AR177" i="5"/>
  <c r="AR172"/>
  <c r="AR176"/>
  <c r="AR178"/>
  <c r="AR179"/>
  <c r="AR183"/>
  <c r="AR184"/>
  <c r="AR186"/>
  <c r="AR187"/>
  <c r="AM56" i="2"/>
  <c r="U56" i="7"/>
  <c r="V56"/>
  <c r="AM175" i="2"/>
  <c r="AM176"/>
  <c r="AM177"/>
  <c r="AM179"/>
  <c r="AM180"/>
  <c r="AM189"/>
  <c r="AM190"/>
  <c r="AM191"/>
  <c r="AM193"/>
  <c r="AM198"/>
  <c r="AM167"/>
  <c r="AC175" i="8"/>
  <c r="AC176"/>
  <c r="AC137"/>
  <c r="AC42"/>
  <c r="AC126"/>
  <c r="AC84"/>
  <c r="AC187"/>
  <c r="AC127"/>
  <c r="AC131"/>
  <c r="AC128"/>
  <c r="AY203" i="14"/>
  <c r="AY26"/>
  <c r="AY247"/>
  <c r="AY240"/>
  <c r="AY220"/>
  <c r="AY193"/>
  <c r="AY192"/>
  <c r="AY191"/>
  <c r="AY157"/>
  <c r="AY145"/>
  <c r="AY123"/>
  <c r="AY100"/>
  <c r="AY83"/>
  <c r="AY22"/>
  <c r="AY17"/>
  <c r="AY173"/>
  <c r="AY28"/>
  <c r="AY40"/>
  <c r="BM40"/>
  <c r="AY41"/>
  <c r="AY50"/>
  <c r="AY64"/>
  <c r="AY68"/>
  <c r="AY70"/>
  <c r="AY75"/>
  <c r="AY77"/>
  <c r="AY58"/>
  <c r="AY61"/>
  <c r="AY69"/>
  <c r="AY72"/>
  <c r="AY73"/>
  <c r="AY248"/>
  <c r="AY246"/>
  <c r="AY239"/>
  <c r="AY232"/>
  <c r="AY231"/>
  <c r="AY208"/>
  <c r="AY201"/>
  <c r="AY198"/>
  <c r="AY197"/>
  <c r="AY196"/>
  <c r="AY189"/>
  <c r="AY182"/>
  <c r="AY161"/>
  <c r="AY158"/>
  <c r="AY153"/>
  <c r="AY148"/>
  <c r="AY147"/>
  <c r="AY139"/>
  <c r="AY134"/>
  <c r="AY128"/>
  <c r="AY126"/>
  <c r="AY95"/>
  <c r="AY94"/>
  <c r="AY51"/>
  <c r="AY15"/>
  <c r="AY178"/>
  <c r="AY180"/>
  <c r="AY79"/>
  <c r="AZ13" i="6"/>
  <c r="AZ22"/>
  <c r="AZ81"/>
  <c r="AZ91"/>
  <c r="AY222" i="14"/>
  <c r="AY170"/>
  <c r="AY212" i="13"/>
  <c r="AY202"/>
  <c r="AY147"/>
  <c r="AY134"/>
  <c r="AY104"/>
  <c r="AY89"/>
  <c r="AY88"/>
  <c r="AY83"/>
  <c r="AY85"/>
  <c r="AY62"/>
  <c r="AY63"/>
  <c r="AY44"/>
  <c r="AY37"/>
  <c r="AY19"/>
  <c r="AY28"/>
  <c r="AY26"/>
  <c r="AY240"/>
  <c r="AY247"/>
  <c r="AY107"/>
  <c r="S66" i="12"/>
  <c r="W66" s="1"/>
  <c r="S28"/>
  <c r="W28" s="1"/>
  <c r="S35"/>
  <c r="W35" s="1"/>
  <c r="S36"/>
  <c r="W36" s="1"/>
  <c r="S63"/>
  <c r="W63" s="1"/>
  <c r="S56"/>
  <c r="W56" s="1"/>
  <c r="S84"/>
  <c r="W84" s="1"/>
  <c r="W86"/>
  <c r="AR185" i="5"/>
  <c r="AH31"/>
  <c r="AH32"/>
  <c r="AH50"/>
  <c r="AH51"/>
  <c r="AH53"/>
  <c r="AR32"/>
  <c r="AR158"/>
  <c r="AR21"/>
  <c r="AR228"/>
  <c r="AR15"/>
  <c r="AR16"/>
  <c r="AR19"/>
  <c r="AR22"/>
  <c r="AR51"/>
  <c r="AH27"/>
  <c r="AH63"/>
  <c r="AR129"/>
  <c r="AR135"/>
  <c r="AR134"/>
  <c r="AR128"/>
  <c r="AR101"/>
  <c r="AR201"/>
  <c r="AR124"/>
  <c r="AM154" i="2"/>
  <c r="AC32"/>
  <c r="AM32" s="1"/>
  <c r="AM58"/>
  <c r="AC50"/>
  <c r="AC51"/>
  <c r="AM51" s="1"/>
  <c r="AM163"/>
  <c r="AM162"/>
  <c r="AM156"/>
  <c r="AM153"/>
  <c r="AM150"/>
  <c r="AM149"/>
  <c r="AM146"/>
  <c r="AM145"/>
  <c r="AM25"/>
  <c r="AM23"/>
  <c r="AM22"/>
  <c r="AM20"/>
  <c r="AM16"/>
  <c r="AM15"/>
  <c r="AM14"/>
  <c r="AM13"/>
  <c r="AM12"/>
  <c r="AM201"/>
  <c r="AM226"/>
  <c r="AM232"/>
  <c r="AM233"/>
  <c r="AM234"/>
  <c r="AM210"/>
  <c r="AM223"/>
  <c r="AM63"/>
  <c r="AM122"/>
  <c r="AM119"/>
  <c r="AM104"/>
  <c r="AM103"/>
  <c r="AM95"/>
  <c r="AM239"/>
  <c r="AC31"/>
  <c r="AM31" s="1"/>
  <c r="AC53"/>
  <c r="AR75" i="5"/>
  <c r="U75" i="3"/>
  <c r="S58"/>
  <c r="U58" s="1"/>
  <c r="S60"/>
  <c r="U60" s="1"/>
  <c r="S61"/>
  <c r="S63"/>
  <c r="U63" s="1"/>
  <c r="S65"/>
  <c r="S66"/>
  <c r="U66" s="1"/>
  <c r="S67"/>
  <c r="S68"/>
  <c r="S69"/>
  <c r="S76"/>
  <c r="S77"/>
  <c r="S27"/>
  <c r="S28"/>
  <c r="S30"/>
  <c r="AR39" i="5"/>
  <c r="U39" i="3"/>
  <c r="AR79" i="5"/>
  <c r="U79" i="3"/>
  <c r="AR174" i="5"/>
  <c r="U228" i="3"/>
  <c r="S31"/>
  <c r="U31" s="1"/>
  <c r="S40"/>
  <c r="S78"/>
  <c r="S81"/>
  <c r="S83"/>
  <c r="S87"/>
  <c r="AR71" i="5"/>
  <c r="U71" i="3"/>
  <c r="AR78" i="5"/>
  <c r="U78" i="3"/>
  <c r="AR154" i="5"/>
  <c r="S89" i="3"/>
  <c r="AR160" i="5"/>
  <c r="AR107"/>
  <c r="AR189"/>
  <c r="AR193"/>
  <c r="AR195"/>
  <c r="AR196"/>
  <c r="AR207"/>
  <c r="AR212"/>
  <c r="AR200"/>
  <c r="S33" i="3"/>
  <c r="S34"/>
  <c r="S35"/>
  <c r="S36"/>
  <c r="S38"/>
  <c r="S43"/>
  <c r="S49"/>
  <c r="S50"/>
  <c r="S53"/>
  <c r="S54"/>
  <c r="S73"/>
  <c r="S74"/>
  <c r="U195" i="7"/>
  <c r="AM152" i="2"/>
  <c r="V231" i="7"/>
  <c r="AM75" i="2"/>
  <c r="V75" i="7"/>
  <c r="U75"/>
  <c r="V114"/>
  <c r="AM126" i="2"/>
  <c r="U166" i="7"/>
  <c r="AM49" i="2"/>
  <c r="V49" i="7"/>
  <c r="U49"/>
  <c r="AM79" i="2"/>
  <c r="U79" i="7"/>
  <c r="V79"/>
  <c r="AM73" i="2"/>
  <c r="V73" i="7"/>
  <c r="U73"/>
  <c r="AM196" i="2"/>
  <c r="AM204"/>
  <c r="AM206"/>
  <c r="AM211"/>
  <c r="AM217"/>
  <c r="AM222"/>
  <c r="V39" i="7"/>
  <c r="V48"/>
  <c r="S50"/>
  <c r="S53"/>
  <c r="AM47" i="2"/>
  <c r="V47" i="7"/>
  <c r="U47"/>
  <c r="AM54" i="2"/>
  <c r="U54" i="7"/>
  <c r="V54"/>
  <c r="AM81" i="2"/>
  <c r="U81" i="7"/>
  <c r="V81"/>
  <c r="AM36" i="2"/>
  <c r="V36" i="7"/>
  <c r="U36"/>
  <c r="AM66" i="2"/>
  <c r="V66" i="7"/>
  <c r="U66"/>
  <c r="AM174" i="2"/>
  <c r="AM178"/>
  <c r="AM182"/>
  <c r="AM187"/>
  <c r="AM192"/>
  <c r="AM200"/>
  <c r="AM208"/>
  <c r="AM215"/>
  <c r="AM219"/>
  <c r="V210" i="7"/>
  <c r="V240"/>
  <c r="AM48" i="2"/>
  <c r="AC46" i="8"/>
  <c r="AC24"/>
  <c r="AC20"/>
  <c r="AC226"/>
  <c r="W64"/>
  <c r="AC64" s="1"/>
  <c r="AC191"/>
  <c r="AC206"/>
  <c r="AC208"/>
  <c r="AC210"/>
  <c r="AC183"/>
  <c r="AC209"/>
  <c r="AA30" i="9"/>
  <c r="AC80" i="8"/>
  <c r="AC48" i="9"/>
  <c r="AC59"/>
  <c r="AA63"/>
  <c r="AA71"/>
  <c r="AA83"/>
  <c r="AA86"/>
  <c r="AC59" i="8"/>
  <c r="AC39"/>
  <c r="AC33" i="9"/>
  <c r="AA34"/>
  <c r="AC88"/>
  <c r="AC45" i="8"/>
  <c r="AC69" i="9"/>
  <c r="AC68" i="8" s="1"/>
  <c r="AA70" i="9"/>
  <c r="AC71"/>
  <c r="AC73"/>
  <c r="AC72" i="8" s="1"/>
  <c r="AC38"/>
  <c r="AC108"/>
  <c r="AC110"/>
  <c r="AC112"/>
  <c r="AC114"/>
  <c r="AC118"/>
  <c r="AC120"/>
  <c r="AC105"/>
  <c r="AC139"/>
  <c r="AC141"/>
  <c r="AC143"/>
  <c r="AC145"/>
  <c r="AC147"/>
  <c r="AC149"/>
  <c r="AC151"/>
  <c r="AC153"/>
  <c r="AC156"/>
  <c r="AC158"/>
  <c r="AC161"/>
  <c r="AC163"/>
  <c r="AC169"/>
  <c r="AC185"/>
  <c r="AC190"/>
  <c r="AC199"/>
  <c r="AC205"/>
  <c r="AC207"/>
  <c r="AC212"/>
  <c r="AC214"/>
  <c r="AC216"/>
  <c r="AC218"/>
  <c r="AC221"/>
  <c r="AC223"/>
  <c r="AC234"/>
  <c r="AC236"/>
  <c r="AC237"/>
  <c r="AC239"/>
  <c r="AC243"/>
  <c r="AC245"/>
  <c r="AC247"/>
  <c r="AA35" i="9"/>
  <c r="AA37"/>
  <c r="AA41"/>
  <c r="AC51"/>
  <c r="AA54"/>
  <c r="AC55"/>
  <c r="AC57"/>
  <c r="AA60"/>
  <c r="AA62"/>
  <c r="AA68"/>
  <c r="AA76"/>
  <c r="AA88"/>
  <c r="AC89"/>
  <c r="AC107" i="8"/>
  <c r="AC109"/>
  <c r="AC117"/>
  <c r="AC119"/>
  <c r="AC121"/>
  <c r="AC138"/>
  <c r="AC140"/>
  <c r="AC146"/>
  <c r="AC148"/>
  <c r="AC150"/>
  <c r="AC152"/>
  <c r="AC154"/>
  <c r="AC157"/>
  <c r="AC159"/>
  <c r="AC164"/>
  <c r="AC170"/>
  <c r="AC184"/>
  <c r="AC186"/>
  <c r="AC189"/>
  <c r="AC200"/>
  <c r="AC197"/>
  <c r="AC213"/>
  <c r="AC215"/>
  <c r="AC217"/>
  <c r="AC220"/>
  <c r="AC222"/>
  <c r="AC211"/>
  <c r="AC224"/>
  <c r="AC242"/>
  <c r="AC238"/>
  <c r="AC240"/>
  <c r="AC244"/>
  <c r="AC246"/>
  <c r="AA37"/>
  <c r="AB36" i="10"/>
  <c r="AA41" i="8"/>
  <c r="AC41" s="1"/>
  <c r="AB40" i="10"/>
  <c r="AA47" i="8"/>
  <c r="AC47" s="1"/>
  <c r="AB46" i="10"/>
  <c r="AA49" i="8"/>
  <c r="AC49" s="1"/>
  <c r="AB48" i="10"/>
  <c r="AA51" i="8"/>
  <c r="AB50" i="10"/>
  <c r="AA53" i="8"/>
  <c r="AC53" s="1"/>
  <c r="AB52" i="10"/>
  <c r="AA29" i="8"/>
  <c r="AC29" s="1"/>
  <c r="AB28" i="10"/>
  <c r="AA36" i="8"/>
  <c r="AB35" i="10"/>
  <c r="AA44" i="8"/>
  <c r="AC44" s="1"/>
  <c r="AB43" i="10"/>
  <c r="AA54" i="8"/>
  <c r="AB53" i="10"/>
  <c r="AA70" i="8"/>
  <c r="AC70" s="1"/>
  <c r="AB69" i="10"/>
  <c r="AC36" i="8"/>
  <c r="AC115"/>
  <c r="AA196"/>
  <c r="AC196" s="1"/>
  <c r="E66" i="10"/>
  <c r="AB27"/>
  <c r="AA28" i="8"/>
  <c r="AB32" i="10"/>
  <c r="AA33" i="8"/>
  <c r="AB34" i="10"/>
  <c r="AA35" i="8"/>
  <c r="AC35" s="1"/>
  <c r="AA55"/>
  <c r="AC55" s="1"/>
  <c r="AB54" i="10"/>
  <c r="AB56"/>
  <c r="AA57" i="8"/>
  <c r="AA67"/>
  <c r="AB66" i="10"/>
  <c r="AA69" i="8"/>
  <c r="AC69" s="1"/>
  <c r="AB68" i="10"/>
  <c r="AA75" i="8"/>
  <c r="AC75" s="1"/>
  <c r="AB74" i="10"/>
  <c r="AA77" i="8"/>
  <c r="AC77" s="1"/>
  <c r="AB76" i="10"/>
  <c r="AB55"/>
  <c r="AA56" i="8"/>
  <c r="AA58"/>
  <c r="AC58" s="1"/>
  <c r="AB57" i="10"/>
  <c r="AA60" i="8"/>
  <c r="AC60" s="1"/>
  <c r="AB59" i="10"/>
  <c r="AB77"/>
  <c r="AA78" i="8"/>
  <c r="AC78" s="1"/>
  <c r="AA90"/>
  <c r="AC90" s="1"/>
  <c r="AB89" i="10"/>
  <c r="AC12" i="8"/>
  <c r="AB13" i="10"/>
  <c r="AC67" i="8"/>
  <c r="AC235"/>
  <c r="AC162"/>
  <c r="AC13"/>
  <c r="AM24" i="2"/>
  <c r="AY227" i="14"/>
  <c r="AC233" i="8"/>
  <c r="AC144"/>
  <c r="AC142"/>
  <c r="AY127" i="14"/>
  <c r="AZ34" i="6"/>
  <c r="AZ41"/>
  <c r="AZ56"/>
  <c r="AZ60"/>
  <c r="AZ63"/>
  <c r="BN68"/>
  <c r="AZ71"/>
  <c r="AZ80"/>
  <c r="AZ85"/>
  <c r="AZ156"/>
  <c r="AZ238"/>
  <c r="BN30"/>
  <c r="AZ46"/>
  <c r="AZ53"/>
  <c r="AZ89"/>
  <c r="AZ141"/>
  <c r="AZ143"/>
  <c r="AZ62"/>
  <c r="AM129" i="2"/>
  <c r="AC130" i="8"/>
  <c r="AC129"/>
  <c r="AC125"/>
  <c r="U123" i="3"/>
  <c r="AR123" i="5"/>
  <c r="AM123" i="2"/>
  <c r="V123" i="7"/>
  <c r="U123"/>
  <c r="AC124" i="8"/>
  <c r="AY121" i="14"/>
  <c r="AC123" i="8"/>
  <c r="AC122"/>
  <c r="AY108" i="14"/>
  <c r="AC113" i="8"/>
  <c r="AC116"/>
  <c r="AY85" i="14"/>
  <c r="AC30" i="8"/>
  <c r="AC21"/>
  <c r="AC19"/>
  <c r="AY144" i="14"/>
  <c r="AY137"/>
  <c r="AM27" i="2"/>
  <c r="U27" i="7"/>
  <c r="AY38" i="14"/>
  <c r="AM38" i="2"/>
  <c r="V38" i="7"/>
  <c r="AM87" i="2"/>
  <c r="U87" i="7"/>
  <c r="AZ36" i="6"/>
  <c r="AZ39"/>
  <c r="AZ47"/>
  <c r="AC11" i="8"/>
  <c r="AC29" i="9"/>
  <c r="AC32"/>
  <c r="AC31" i="8" s="1"/>
  <c r="AC35" i="9"/>
  <c r="AC34" i="8" s="1"/>
  <c r="AC38" i="9"/>
  <c r="AC37" i="8" s="1"/>
  <c r="AC41" i="9"/>
  <c r="AC40" i="8" s="1"/>
  <c r="AA51" i="9"/>
  <c r="AC52"/>
  <c r="AA57"/>
  <c r="AC58"/>
  <c r="AC57" i="8" s="1"/>
  <c r="AA69" i="9"/>
  <c r="AC75"/>
  <c r="AC74" i="8" s="1"/>
  <c r="AC83" i="9"/>
  <c r="AC82" i="8" s="1"/>
  <c r="AA91" i="9"/>
  <c r="AC92"/>
  <c r="AC91" i="8" s="1"/>
  <c r="W28"/>
  <c r="W32"/>
  <c r="W33"/>
  <c r="AM39" i="2"/>
  <c r="S37" i="3"/>
  <c r="AR58" i="5"/>
  <c r="AR66"/>
  <c r="AR86"/>
  <c r="AM170" i="2"/>
  <c r="AR60" i="5"/>
  <c r="AR63"/>
  <c r="AR84"/>
  <c r="BN37" i="14"/>
  <c r="AY63"/>
  <c r="AZ65" i="6"/>
  <c r="AC61" i="8"/>
  <c r="V44" i="7"/>
  <c r="AC63" i="8"/>
  <c r="AY30" i="14"/>
  <c r="AC87" i="8"/>
  <c r="AC23"/>
  <c r="AC14"/>
  <c r="AC15"/>
  <c r="AC32"/>
  <c r="W52"/>
  <c r="AC52" s="1"/>
  <c r="W54"/>
  <c r="AC66"/>
  <c r="AC88"/>
  <c r="AC85"/>
  <c r="AC50"/>
  <c r="AR31" i="5" l="1"/>
  <c r="AR28"/>
  <c r="U28" i="3"/>
  <c r="AR77" i="5"/>
  <c r="U77" i="3"/>
  <c r="AR69" i="5"/>
  <c r="U69" i="3"/>
  <c r="AR67" i="5"/>
  <c r="U67" i="3"/>
  <c r="AR65" i="5"/>
  <c r="U65" i="3"/>
  <c r="AR61" i="5"/>
  <c r="U61" i="3"/>
  <c r="AR30" i="5"/>
  <c r="U30" i="3"/>
  <c r="AR27" i="5"/>
  <c r="U27" i="3"/>
  <c r="AR76" i="5"/>
  <c r="U76" i="3"/>
  <c r="AR68" i="5"/>
  <c r="U68" i="3"/>
  <c r="AR83" i="5"/>
  <c r="U83" i="3"/>
  <c r="AR87" i="5"/>
  <c r="U87" i="3"/>
  <c r="AR81" i="5"/>
  <c r="U81" i="3"/>
  <c r="AR40" i="5"/>
  <c r="U40" i="3"/>
  <c r="AR74" i="5"/>
  <c r="U74" i="3"/>
  <c r="AR54" i="5"/>
  <c r="U54" i="3"/>
  <c r="AR50" i="5"/>
  <c r="U50" i="3"/>
  <c r="U43"/>
  <c r="AR43" i="5"/>
  <c r="AR36"/>
  <c r="U36" i="3"/>
  <c r="AR34" i="5"/>
  <c r="U34" i="3"/>
  <c r="AR73" i="5"/>
  <c r="U73" i="3"/>
  <c r="U53"/>
  <c r="AR53" i="5"/>
  <c r="U49" i="3"/>
  <c r="AR49" i="5"/>
  <c r="AR38"/>
  <c r="U38" i="3"/>
  <c r="AR35" i="5"/>
  <c r="U35" i="3"/>
  <c r="AR33" i="5"/>
  <c r="U33" i="3"/>
  <c r="U89"/>
  <c r="AR89" i="5"/>
  <c r="AM53" i="2"/>
  <c r="V53" i="7"/>
  <c r="U53"/>
  <c r="AM50" i="2"/>
  <c r="V50" i="7"/>
  <c r="U50"/>
  <c r="AC28" i="8"/>
  <c r="AC33"/>
  <c r="AC56"/>
  <c r="AC54"/>
  <c r="AC51"/>
  <c r="AR37" i="5"/>
  <c r="U37" i="3"/>
</calcChain>
</file>

<file path=xl/sharedStrings.xml><?xml version="1.0" encoding="utf-8"?>
<sst xmlns="http://schemas.openxmlformats.org/spreadsheetml/2006/main" count="10339" uniqueCount="499">
  <si>
    <t>Assets</t>
  </si>
  <si>
    <t>Liabilities</t>
  </si>
  <si>
    <t>Net Assets</t>
  </si>
  <si>
    <t>Current</t>
  </si>
  <si>
    <t>Capital</t>
  </si>
  <si>
    <t>Deferred</t>
  </si>
  <si>
    <t>Total</t>
  </si>
  <si>
    <t>Invested in</t>
  </si>
  <si>
    <t>City</t>
  </si>
  <si>
    <t>County</t>
  </si>
  <si>
    <t>Restricted</t>
  </si>
  <si>
    <t>Unrestricted</t>
  </si>
  <si>
    <t>Akron</t>
  </si>
  <si>
    <t>Summit</t>
  </si>
  <si>
    <t>Alliance</t>
  </si>
  <si>
    <t>Stark</t>
  </si>
  <si>
    <t>Amherst</t>
  </si>
  <si>
    <t>Lorain</t>
  </si>
  <si>
    <t>Ashland</t>
  </si>
  <si>
    <t>Ashtabula</t>
  </si>
  <si>
    <t>Athens</t>
  </si>
  <si>
    <t>Aurora</t>
  </si>
  <si>
    <t>Portage</t>
  </si>
  <si>
    <t>Avon</t>
  </si>
  <si>
    <t>Avon Lake</t>
  </si>
  <si>
    <t>Barberton</t>
  </si>
  <si>
    <t>Bay Village</t>
  </si>
  <si>
    <t>Cuyahoga</t>
  </si>
  <si>
    <t>Beachwood</t>
  </si>
  <si>
    <t>Beavercreek</t>
  </si>
  <si>
    <t>Greene</t>
  </si>
  <si>
    <t>Bedford</t>
  </si>
  <si>
    <t>Bedford Heights</t>
  </si>
  <si>
    <t>Belmont</t>
  </si>
  <si>
    <t>Bellbrook</t>
  </si>
  <si>
    <t>Bellefontaine</t>
  </si>
  <si>
    <t>Logan</t>
  </si>
  <si>
    <t>Bellevue</t>
  </si>
  <si>
    <t>Huron</t>
  </si>
  <si>
    <t>Belpre</t>
  </si>
  <si>
    <t>Washington</t>
  </si>
  <si>
    <t>Berea</t>
  </si>
  <si>
    <t>Bexley</t>
  </si>
  <si>
    <t>Franklin</t>
  </si>
  <si>
    <t>Blue Ash</t>
  </si>
  <si>
    <t>Hamilton</t>
  </si>
  <si>
    <t>Bowling Green</t>
  </si>
  <si>
    <t>Wood</t>
  </si>
  <si>
    <t>Brecksville</t>
  </si>
  <si>
    <t>Broadview Heights</t>
  </si>
  <si>
    <t>Brook Park</t>
  </si>
  <si>
    <t>Brooklyn</t>
  </si>
  <si>
    <t>Brunswick</t>
  </si>
  <si>
    <t>Medina</t>
  </si>
  <si>
    <t>Bryan</t>
  </si>
  <si>
    <t>Williams</t>
  </si>
  <si>
    <t>Bucyrus</t>
  </si>
  <si>
    <t>Crawford</t>
  </si>
  <si>
    <t>Cambridge</t>
  </si>
  <si>
    <t>Guernsey</t>
  </si>
  <si>
    <t>Canfield</t>
  </si>
  <si>
    <t>Mahoning</t>
  </si>
  <si>
    <t>Canton</t>
  </si>
  <si>
    <t>Celina</t>
  </si>
  <si>
    <t>Mercer</t>
  </si>
  <si>
    <t>Centerville</t>
  </si>
  <si>
    <t>Montgomery</t>
  </si>
  <si>
    <t>Chardon</t>
  </si>
  <si>
    <t>Cheviot</t>
  </si>
  <si>
    <t>Chillicothe</t>
  </si>
  <si>
    <t>Ross</t>
  </si>
  <si>
    <t>Cincinnati</t>
  </si>
  <si>
    <t>Clayton</t>
  </si>
  <si>
    <t xml:space="preserve">Cleveland </t>
  </si>
  <si>
    <t>Cleveland Heights</t>
  </si>
  <si>
    <t>Clyde</t>
  </si>
  <si>
    <t>Sandusky</t>
  </si>
  <si>
    <t>Columbus</t>
  </si>
  <si>
    <t>Conneaut</t>
  </si>
  <si>
    <t>Cortland</t>
  </si>
  <si>
    <t>Trumbull</t>
  </si>
  <si>
    <t>Coshocton</t>
  </si>
  <si>
    <t>Cuyahoga Falls</t>
  </si>
  <si>
    <t>Dayton</t>
  </si>
  <si>
    <t>Deer Park</t>
  </si>
  <si>
    <t>Defiance</t>
  </si>
  <si>
    <t>Delaware</t>
  </si>
  <si>
    <t>Delphos</t>
  </si>
  <si>
    <t>Allen</t>
  </si>
  <si>
    <t>Tuscarawas</t>
  </si>
  <si>
    <t>Dublin</t>
  </si>
  <si>
    <t>Eastlake</t>
  </si>
  <si>
    <t>Lake</t>
  </si>
  <si>
    <t>East Liverpool</t>
  </si>
  <si>
    <t>Columbiana</t>
  </si>
  <si>
    <t>East Palestine</t>
  </si>
  <si>
    <t>Eaton</t>
  </si>
  <si>
    <t>Preble</t>
  </si>
  <si>
    <t>Elyria</t>
  </si>
  <si>
    <t>Englewood</t>
  </si>
  <si>
    <t>Euclid</t>
  </si>
  <si>
    <t>Fairborn</t>
  </si>
  <si>
    <t>Fairfield</t>
  </si>
  <si>
    <t>Butler</t>
  </si>
  <si>
    <t>Fairlawn</t>
  </si>
  <si>
    <t>Fairview Park</t>
  </si>
  <si>
    <t>Findlay</t>
  </si>
  <si>
    <t>Hancock</t>
  </si>
  <si>
    <t>Forest Park</t>
  </si>
  <si>
    <t>Fostoria</t>
  </si>
  <si>
    <t>Seneca</t>
  </si>
  <si>
    <t>Warren</t>
  </si>
  <si>
    <t>Fremont</t>
  </si>
  <si>
    <t>Gahanna</t>
  </si>
  <si>
    <t>Garfield Heights</t>
  </si>
  <si>
    <t>Geneva</t>
  </si>
  <si>
    <t>Girard</t>
  </si>
  <si>
    <t>Grandview Heights</t>
  </si>
  <si>
    <t>Green</t>
  </si>
  <si>
    <t>Highland</t>
  </si>
  <si>
    <t>Greenville</t>
  </si>
  <si>
    <t>Darke</t>
  </si>
  <si>
    <t>Grove City</t>
  </si>
  <si>
    <t>Harrison</t>
  </si>
  <si>
    <t>Heath</t>
  </si>
  <si>
    <t>Licking</t>
  </si>
  <si>
    <t>Highland Heights</t>
  </si>
  <si>
    <t>Hillard</t>
  </si>
  <si>
    <t>Hillsboro</t>
  </si>
  <si>
    <t>Hubbard</t>
  </si>
  <si>
    <t>Huber Heights</t>
  </si>
  <si>
    <t>Hudson</t>
  </si>
  <si>
    <t>Erie</t>
  </si>
  <si>
    <t>Independence</t>
  </si>
  <si>
    <t>Ironton</t>
  </si>
  <si>
    <t>Lawrence</t>
  </si>
  <si>
    <t>Jackson</t>
  </si>
  <si>
    <t>Kent</t>
  </si>
  <si>
    <t>Kenton</t>
  </si>
  <si>
    <t>Hardin</t>
  </si>
  <si>
    <t>Kettering</t>
  </si>
  <si>
    <t>Lakewood</t>
  </si>
  <si>
    <t>Lancaster</t>
  </si>
  <si>
    <t>Lebanon</t>
  </si>
  <si>
    <t>Lima</t>
  </si>
  <si>
    <t>Hocking</t>
  </si>
  <si>
    <t>London</t>
  </si>
  <si>
    <t>Madison</t>
  </si>
  <si>
    <t>Louisville</t>
  </si>
  <si>
    <t>Loveland</t>
  </si>
  <si>
    <t>Lyndhurst</t>
  </si>
  <si>
    <t>Macedonia</t>
  </si>
  <si>
    <t>Mansfield</t>
  </si>
  <si>
    <t>Richland</t>
  </si>
  <si>
    <t>Maple Heights</t>
  </si>
  <si>
    <t>Marietta</t>
  </si>
  <si>
    <t>Marion</t>
  </si>
  <si>
    <t>Martins Ferry</t>
  </si>
  <si>
    <t>Marysville</t>
  </si>
  <si>
    <t>Union</t>
  </si>
  <si>
    <t>Mason City</t>
  </si>
  <si>
    <t>Massillon</t>
  </si>
  <si>
    <t>Maumee</t>
  </si>
  <si>
    <t>Lucas</t>
  </si>
  <si>
    <t>Mayfield Heights</t>
  </si>
  <si>
    <t>Mentor</t>
  </si>
  <si>
    <t>Mentor-On-The-Lake</t>
  </si>
  <si>
    <t>Miamisburg</t>
  </si>
  <si>
    <t>Middleburg Hts</t>
  </si>
  <si>
    <t>Middletown</t>
  </si>
  <si>
    <t>Milford</t>
  </si>
  <si>
    <t>Clermont</t>
  </si>
  <si>
    <t>Monroe</t>
  </si>
  <si>
    <t>Moraine</t>
  </si>
  <si>
    <t>Mount Healthy</t>
  </si>
  <si>
    <t>Mount Vernon</t>
  </si>
  <si>
    <t>Knox</t>
  </si>
  <si>
    <t>Munroe Falls</t>
  </si>
  <si>
    <t>Napoleon</t>
  </si>
  <si>
    <t>Henry</t>
  </si>
  <si>
    <t>Nelsonville</t>
  </si>
  <si>
    <t>Newark</t>
  </si>
  <si>
    <t>New Carlisle</t>
  </si>
  <si>
    <t>Clark</t>
  </si>
  <si>
    <t>New Philadelphia</t>
  </si>
  <si>
    <t>Niles</t>
  </si>
  <si>
    <t>North Canton</t>
  </si>
  <si>
    <t>North Olmsted</t>
  </si>
  <si>
    <t>North Royalton</t>
  </si>
  <si>
    <t>North Ridegville</t>
  </si>
  <si>
    <t>Northwood</t>
  </si>
  <si>
    <t>Norton</t>
  </si>
  <si>
    <t>Norwalk</t>
  </si>
  <si>
    <t>Norwood</t>
  </si>
  <si>
    <t>Oakwood</t>
  </si>
  <si>
    <t>Oberlin</t>
  </si>
  <si>
    <t>Olmstead Falls</t>
  </si>
  <si>
    <t>Oregon</t>
  </si>
  <si>
    <t>Orrville</t>
  </si>
  <si>
    <t>Wayne</t>
  </si>
  <si>
    <t>Oxford</t>
  </si>
  <si>
    <t>Painesville</t>
  </si>
  <si>
    <t>Parma</t>
  </si>
  <si>
    <t>Parma Heights</t>
  </si>
  <si>
    <t>Pataskala</t>
  </si>
  <si>
    <t>Pepper Pike</t>
  </si>
  <si>
    <t>Perrysburg</t>
  </si>
  <si>
    <t>Pickerington</t>
  </si>
  <si>
    <t>Piqua</t>
  </si>
  <si>
    <t>Miami</t>
  </si>
  <si>
    <t>Port Clinton</t>
  </si>
  <si>
    <t>Ottawa</t>
  </si>
  <si>
    <t>Portsmouth</t>
  </si>
  <si>
    <t>Scioto</t>
  </si>
  <si>
    <t>Powell</t>
  </si>
  <si>
    <t>Ravenna</t>
  </si>
  <si>
    <t>Reading</t>
  </si>
  <si>
    <t>Reynoldsburg</t>
  </si>
  <si>
    <t>Richmond Heights</t>
  </si>
  <si>
    <t>Rittman</t>
  </si>
  <si>
    <t>Riverside</t>
  </si>
  <si>
    <t>Rocky River</t>
  </si>
  <si>
    <t>Rossford</t>
  </si>
  <si>
    <t>Salem</t>
  </si>
  <si>
    <t>Seven Hills</t>
  </si>
  <si>
    <t>Shaker Heights</t>
  </si>
  <si>
    <t>Sharonville</t>
  </si>
  <si>
    <t>Sheffield Lake</t>
  </si>
  <si>
    <t>Shelby</t>
  </si>
  <si>
    <t>Sidney</t>
  </si>
  <si>
    <t>Silverton</t>
  </si>
  <si>
    <t>Solon</t>
  </si>
  <si>
    <t>South Euclid</t>
  </si>
  <si>
    <t>Springboro</t>
  </si>
  <si>
    <t>Springdale</t>
  </si>
  <si>
    <t>Springfield</t>
  </si>
  <si>
    <t>St. Bernard</t>
  </si>
  <si>
    <t>St. Clairsville</t>
  </si>
  <si>
    <t>St. Marys</t>
  </si>
  <si>
    <t>Auglaize</t>
  </si>
  <si>
    <t>Stow</t>
  </si>
  <si>
    <t>Streetsboro</t>
  </si>
  <si>
    <t>Strongsville</t>
  </si>
  <si>
    <t>Sylvania</t>
  </si>
  <si>
    <t>Tallmadge</t>
  </si>
  <si>
    <t>Tiffin</t>
  </si>
  <si>
    <t>Tipp City</t>
  </si>
  <si>
    <t>Toledo</t>
  </si>
  <si>
    <t>Toronto</t>
  </si>
  <si>
    <t>Jefferson</t>
  </si>
  <si>
    <t>Trenton</t>
  </si>
  <si>
    <t>Trotwood</t>
  </si>
  <si>
    <t>Troy</t>
  </si>
  <si>
    <t>Twinsburg</t>
  </si>
  <si>
    <t>Uhrichsville</t>
  </si>
  <si>
    <t>University Heights</t>
  </si>
  <si>
    <t>Upper Arlington</t>
  </si>
  <si>
    <t>Upper Sandusky</t>
  </si>
  <si>
    <t>Wyandot</t>
  </si>
  <si>
    <t>Urbana</t>
  </si>
  <si>
    <t>Champaign</t>
  </si>
  <si>
    <t>Vandalia</t>
  </si>
  <si>
    <t>Vermilion</t>
  </si>
  <si>
    <t>Wadsworth</t>
  </si>
  <si>
    <t>Wapakoneta</t>
  </si>
  <si>
    <t>Warrensville Heights</t>
  </si>
  <si>
    <t>Wauseon</t>
  </si>
  <si>
    <t>Fulton</t>
  </si>
  <si>
    <t>Waverly</t>
  </si>
  <si>
    <t>Pike</t>
  </si>
  <si>
    <t>Wellston</t>
  </si>
  <si>
    <t>West Carrollton</t>
  </si>
  <si>
    <t>Westerville</t>
  </si>
  <si>
    <t>Westlake</t>
  </si>
  <si>
    <t>Whitehall</t>
  </si>
  <si>
    <t>Wickliffe</t>
  </si>
  <si>
    <t>Willard</t>
  </si>
  <si>
    <t>Willoughby</t>
  </si>
  <si>
    <t>Willoughby Hills</t>
  </si>
  <si>
    <t>Willowick</t>
  </si>
  <si>
    <t>Wilmington</t>
  </si>
  <si>
    <t>Clinton</t>
  </si>
  <si>
    <t>Wooster</t>
  </si>
  <si>
    <t>Worthington</t>
  </si>
  <si>
    <t>Wyoming</t>
  </si>
  <si>
    <t>Xenia</t>
  </si>
  <si>
    <t>Youngstown</t>
  </si>
  <si>
    <t>Zanesville</t>
  </si>
  <si>
    <t>Muskingum</t>
  </si>
  <si>
    <t>All Cities Reporting Under GAAP</t>
  </si>
  <si>
    <t>Capital Assets</t>
  </si>
  <si>
    <t>Program Revenues - Governmental Activities</t>
  </si>
  <si>
    <t>Charges for</t>
  </si>
  <si>
    <t>Property</t>
  </si>
  <si>
    <t>Other</t>
  </si>
  <si>
    <t>Investment</t>
  </si>
  <si>
    <t>General</t>
  </si>
  <si>
    <t>Services</t>
  </si>
  <si>
    <t>Grants</t>
  </si>
  <si>
    <t>Taxes</t>
  </si>
  <si>
    <t>Earnings</t>
  </si>
  <si>
    <t>Transfers</t>
  </si>
  <si>
    <t>Revenues</t>
  </si>
  <si>
    <t>Income</t>
  </si>
  <si>
    <t xml:space="preserve">Other </t>
  </si>
  <si>
    <t>Public</t>
  </si>
  <si>
    <t>Leisure</t>
  </si>
  <si>
    <t>Basic Utility</t>
  </si>
  <si>
    <t>Interest/</t>
  </si>
  <si>
    <t>Health</t>
  </si>
  <si>
    <t>Time</t>
  </si>
  <si>
    <t>Development</t>
  </si>
  <si>
    <t>Transportation</t>
  </si>
  <si>
    <t>Service</t>
  </si>
  <si>
    <t>Government</t>
  </si>
  <si>
    <t>1 Not broken out</t>
  </si>
  <si>
    <t>For the Year Ended December 31, 2002</t>
  </si>
  <si>
    <t>Reserved</t>
  </si>
  <si>
    <t>Unreserved/</t>
  </si>
  <si>
    <t>Cash and</t>
  </si>
  <si>
    <t>Fund</t>
  </si>
  <si>
    <t>Undesignated</t>
  </si>
  <si>
    <t>Investments</t>
  </si>
  <si>
    <t>Revenue</t>
  </si>
  <si>
    <t>Balance</t>
  </si>
  <si>
    <t>Fund Balance</t>
  </si>
  <si>
    <t>Income Tax</t>
  </si>
  <si>
    <t>Inter-</t>
  </si>
  <si>
    <t>Special</t>
  </si>
  <si>
    <t>Fees, Licenses</t>
  </si>
  <si>
    <t>All Other</t>
  </si>
  <si>
    <t>governmental</t>
  </si>
  <si>
    <t>Assessments</t>
  </si>
  <si>
    <t>Community</t>
  </si>
  <si>
    <t>Other Current</t>
  </si>
  <si>
    <t>Environment</t>
  </si>
  <si>
    <t>Activities</t>
  </si>
  <si>
    <t>Expenditures</t>
  </si>
  <si>
    <t>Outlay</t>
  </si>
  <si>
    <t>Principal</t>
  </si>
  <si>
    <t>Fiscal Charges</t>
  </si>
  <si>
    <t xml:space="preserve">Tiffin </t>
  </si>
  <si>
    <t>Cleveland</t>
  </si>
  <si>
    <t>Champgain</t>
  </si>
  <si>
    <t>Interest and</t>
  </si>
  <si>
    <t>Operating</t>
  </si>
  <si>
    <t>Champagin</t>
  </si>
  <si>
    <t>|</t>
  </si>
  <si>
    <t>Long-Term Obligations</t>
  </si>
  <si>
    <t>Property,</t>
  </si>
  <si>
    <t>Mortgage and</t>
  </si>
  <si>
    <t>Non-Current</t>
  </si>
  <si>
    <t>Long-Term</t>
  </si>
  <si>
    <t>Expenses Less</t>
  </si>
  <si>
    <t>Non-Operating</t>
  </si>
  <si>
    <t>Net Working</t>
  </si>
  <si>
    <t>Obligation</t>
  </si>
  <si>
    <t>Depreciation</t>
  </si>
  <si>
    <t>Income/Loss</t>
  </si>
  <si>
    <t>Transfers-In</t>
  </si>
  <si>
    <t>Transfers-Out</t>
  </si>
  <si>
    <t>Contributions</t>
  </si>
  <si>
    <t>Bonds</t>
  </si>
  <si>
    <t>Loans</t>
  </si>
  <si>
    <t>Obligations</t>
  </si>
  <si>
    <t xml:space="preserve">Mount Healthy </t>
  </si>
  <si>
    <t>No Notes, cant breakdown enterprise</t>
  </si>
  <si>
    <t>No breakdown avaiable</t>
  </si>
  <si>
    <t>Change in</t>
  </si>
  <si>
    <t>Champiagn</t>
  </si>
  <si>
    <t>Clintion</t>
  </si>
  <si>
    <t xml:space="preserve">No Segment information avaiable </t>
  </si>
  <si>
    <t>not broken out</t>
  </si>
  <si>
    <t>Revenues/</t>
  </si>
  <si>
    <t>Expenses</t>
  </si>
  <si>
    <t>Geauga</t>
  </si>
  <si>
    <t>All</t>
  </si>
  <si>
    <t>Assessment</t>
  </si>
  <si>
    <t>Notes</t>
  </si>
  <si>
    <t>Compensated</t>
  </si>
  <si>
    <t>Payables</t>
  </si>
  <si>
    <t>Payable</t>
  </si>
  <si>
    <t>Leases</t>
  </si>
  <si>
    <t>Absences</t>
  </si>
  <si>
    <t>Revenues from the Statement of Activities</t>
  </si>
  <si>
    <t>Expenses from the Statement of Activities</t>
  </si>
  <si>
    <t>Ontario</t>
  </si>
  <si>
    <t>General Fund Revenues - Modified Accrual Basis of Accounting</t>
  </si>
  <si>
    <t>General Fund Expenditures - Modified Accrual Basis of Accounting</t>
  </si>
  <si>
    <t>Governmental Fund Expenditures - Modified Accrual Basis of Accounting</t>
  </si>
  <si>
    <t xml:space="preserve">Summary Data from the Governmental Fund Balance Sheet </t>
  </si>
  <si>
    <t>Water Enterprise Fund</t>
  </si>
  <si>
    <t>Sewer Enterprise Fund</t>
  </si>
  <si>
    <t>Electric Enterprise Fund</t>
  </si>
  <si>
    <t xml:space="preserve">Dover </t>
  </si>
  <si>
    <t>Dover</t>
  </si>
  <si>
    <t xml:space="preserve">Security of </t>
  </si>
  <si>
    <t xml:space="preserve"> Property</t>
  </si>
  <si>
    <t>Persons and</t>
  </si>
  <si>
    <t>Operating Grants</t>
  </si>
  <si>
    <t>and Interest</t>
  </si>
  <si>
    <t>and Fines</t>
  </si>
  <si>
    <t xml:space="preserve">Ontario </t>
  </si>
  <si>
    <t>1 information not available</t>
  </si>
  <si>
    <t>1 not broken out</t>
  </si>
  <si>
    <t>No Segment information provided</t>
  </si>
  <si>
    <t>No breakdown aviable</t>
  </si>
  <si>
    <t>1 Not enough info to determine</t>
  </si>
  <si>
    <t>1 Loans not broken out</t>
  </si>
  <si>
    <t>Information missing from segment info to calculate</t>
  </si>
  <si>
    <t>Information not available</t>
  </si>
  <si>
    <t>Additions to</t>
  </si>
  <si>
    <t>Deletions from</t>
  </si>
  <si>
    <t>Plant and</t>
  </si>
  <si>
    <t>Revenue/Expense</t>
  </si>
  <si>
    <t>Equipment</t>
  </si>
  <si>
    <t>Summary Data from the General Fund Balance Sheet</t>
  </si>
  <si>
    <t xml:space="preserve">Total </t>
  </si>
  <si>
    <t>General Fund</t>
  </si>
  <si>
    <t xml:space="preserve">Plant and </t>
  </si>
  <si>
    <t>continued</t>
  </si>
  <si>
    <t xml:space="preserve">                                              Expenses - Governmental Activities</t>
  </si>
  <si>
    <t>General Long-Term Obligations</t>
  </si>
  <si>
    <t xml:space="preserve">Persons and </t>
  </si>
  <si>
    <t>Taxes (1)</t>
  </si>
  <si>
    <t>Summary Data from the Statement of Net Assets - Governmental Activities</t>
  </si>
  <si>
    <t>Total General</t>
  </si>
  <si>
    <t>Total All</t>
  </si>
  <si>
    <t>Net</t>
  </si>
  <si>
    <t>Balanced</t>
  </si>
  <si>
    <t>=0</t>
  </si>
  <si>
    <t xml:space="preserve">  =0</t>
  </si>
  <si>
    <t>Inventory</t>
  </si>
  <si>
    <t>Other Financing</t>
  </si>
  <si>
    <t>Uses</t>
  </si>
  <si>
    <t>Financing</t>
  </si>
  <si>
    <t>Sources</t>
  </si>
  <si>
    <t>If = 0</t>
  </si>
  <si>
    <t>Designated</t>
  </si>
  <si>
    <t>Than One Year</t>
  </si>
  <si>
    <t>In/(Out)</t>
  </si>
  <si>
    <t xml:space="preserve">Due </t>
  </si>
  <si>
    <t>Within</t>
  </si>
  <si>
    <t>1 Year</t>
  </si>
  <si>
    <t>Items</t>
  </si>
  <si>
    <t>Revenues,</t>
  </si>
  <si>
    <t>Transfers and</t>
  </si>
  <si>
    <t>Special Items</t>
  </si>
  <si>
    <t xml:space="preserve">Special </t>
  </si>
  <si>
    <t>Due in More</t>
  </si>
  <si>
    <t xml:space="preserve">  </t>
  </si>
  <si>
    <t>.</t>
  </si>
  <si>
    <t>Fayette</t>
  </si>
  <si>
    <t>at Beginning</t>
  </si>
  <si>
    <t>of Year</t>
  </si>
  <si>
    <t>Increase/Decrease</t>
  </si>
  <si>
    <t>in Reserve for</t>
  </si>
  <si>
    <t xml:space="preserve">in Prepaids </t>
  </si>
  <si>
    <t xml:space="preserve">and/or Reserve </t>
  </si>
  <si>
    <t>for Inventory</t>
  </si>
  <si>
    <t>Assets at</t>
  </si>
  <si>
    <t>End of Year</t>
  </si>
  <si>
    <t xml:space="preserve"> </t>
  </si>
  <si>
    <t>Brookville</t>
  </si>
  <si>
    <t>Circleville</t>
  </si>
  <si>
    <t>Pickaway</t>
  </si>
  <si>
    <t>Crestline</t>
  </si>
  <si>
    <t xml:space="preserve">Bedford Heights </t>
  </si>
  <si>
    <t xml:space="preserve">Aurora </t>
  </si>
  <si>
    <t xml:space="preserve">Franklin </t>
  </si>
  <si>
    <t xml:space="preserve">Celina </t>
  </si>
  <si>
    <t xml:space="preserve">            General Revenues     - Governmental Activities</t>
  </si>
  <si>
    <t>(1) May include income and other taxes if not presented separately</t>
  </si>
  <si>
    <t>Summary Data from the Statement of Net Assets</t>
  </si>
  <si>
    <t>Summary Data from the Statement of Revenues, Expenses, and Changes in Net Assets</t>
  </si>
  <si>
    <t>Other Non-</t>
  </si>
  <si>
    <t>Current Assets</t>
  </si>
  <si>
    <t>Canal Fulton</t>
  </si>
  <si>
    <t>Indian Hill</t>
  </si>
  <si>
    <t>Kirtland</t>
  </si>
  <si>
    <t xml:space="preserve">Kirtland </t>
  </si>
  <si>
    <t>Kirkland</t>
  </si>
  <si>
    <t>Madeira</t>
  </si>
  <si>
    <t>Indian Hills</t>
  </si>
  <si>
    <t xml:space="preserve">Indian Hills </t>
  </si>
  <si>
    <t>(Continued)</t>
  </si>
  <si>
    <t>Carlisle</t>
  </si>
  <si>
    <t>Steubenville</t>
  </si>
  <si>
    <t>As of December 31, 2007</t>
  </si>
  <si>
    <t>For the Year Ended December 31, 2007</t>
  </si>
  <si>
    <t>Van Wert</t>
  </si>
  <si>
    <t>New Franklin</t>
  </si>
  <si>
    <t>East Cleveland</t>
  </si>
  <si>
    <t>Galion</t>
  </si>
  <si>
    <t xml:space="preserve">Galion </t>
  </si>
  <si>
    <t>Kenton - Cash Basis</t>
  </si>
  <si>
    <t>Olmsted Falls</t>
  </si>
  <si>
    <t>Governmental Fund Revenues - Modified Accrual Basis of Accounting</t>
  </si>
  <si>
    <t xml:space="preserve">Water Enterprise Fund 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</si>
</sst>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10">
    <font>
      <sz val="10"/>
      <name val="Arial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0"/>
      </bottom>
      <diagonal/>
    </border>
  </borders>
  <cellStyleXfs count="4">
    <xf numFmtId="0" fontId="0" fillId="0" borderId="0" applyProtection="0"/>
    <xf numFmtId="43" fontId="1" fillId="0" borderId="0" applyFont="0" applyFill="0" applyBorder="0" applyAlignment="0" applyProtection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</cellStyleXfs>
  <cellXfs count="175">
    <xf numFmtId="0" fontId="0" fillId="0" borderId="0" xfId="0"/>
    <xf numFmtId="37" fontId="2" fillId="0" borderId="0" xfId="0" applyNumberFormat="1" applyFont="1"/>
    <xf numFmtId="37" fontId="3" fillId="0" borderId="0" xfId="0" applyNumberFormat="1" applyFont="1"/>
    <xf numFmtId="37" fontId="3" fillId="0" borderId="0" xfId="0" applyNumberFormat="1" applyFont="1" applyAlignment="1">
      <alignment horizontal="center"/>
    </xf>
    <xf numFmtId="37" fontId="3" fillId="0" borderId="1" xfId="0" applyNumberFormat="1" applyFont="1" applyBorder="1" applyAlignment="1">
      <alignment horizontal="centerContinuous"/>
    </xf>
    <xf numFmtId="37" fontId="3" fillId="0" borderId="0" xfId="0" applyNumberFormat="1" applyFont="1" applyBorder="1"/>
    <xf numFmtId="37" fontId="3" fillId="0" borderId="0" xfId="0" applyNumberFormat="1" applyFont="1" applyBorder="1" applyAlignment="1">
      <alignment horizontal="center"/>
    </xf>
    <xf numFmtId="37" fontId="3" fillId="0" borderId="1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3" fontId="3" fillId="0" borderId="0" xfId="0" applyNumberFormat="1" applyFont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" fontId="3" fillId="0" borderId="0" xfId="0" applyNumberFormat="1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Border="1"/>
    <xf numFmtId="37" fontId="2" fillId="0" borderId="0" xfId="0" applyNumberFormat="1" applyFont="1" applyBorder="1" applyAlignment="1"/>
    <xf numFmtId="37" fontId="3" fillId="0" borderId="0" xfId="2" applyNumberFormat="1" applyFont="1" applyBorder="1" applyAlignment="1">
      <alignment horizontal="right"/>
    </xf>
    <xf numFmtId="37" fontId="2" fillId="0" borderId="0" xfId="0" applyNumberFormat="1" applyFont="1" applyBorder="1"/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/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2" fillId="0" borderId="0" xfId="0" applyFont="1" applyBorder="1"/>
    <xf numFmtId="0" fontId="3" fillId="0" borderId="0" xfId="0" applyFont="1" applyFill="1" applyBorder="1"/>
    <xf numFmtId="37" fontId="2" fillId="0" borderId="0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/>
    <xf numFmtId="37" fontId="3" fillId="0" borderId="0" xfId="0" applyNumberFormat="1" applyFont="1" applyAlignment="1">
      <alignment horizontal="right"/>
    </xf>
    <xf numFmtId="37" fontId="2" fillId="0" borderId="0" xfId="0" applyNumberFormat="1" applyFont="1" applyBorder="1" applyAlignment="1">
      <alignment horizontal="center"/>
    </xf>
    <xf numFmtId="37" fontId="3" fillId="0" borderId="1" xfId="0" applyNumberFormat="1" applyFont="1" applyFill="1" applyBorder="1" applyAlignment="1">
      <alignment horizontal="centerContinuous"/>
    </xf>
    <xf numFmtId="37" fontId="3" fillId="0" borderId="0" xfId="0" applyNumberFormat="1" applyFont="1" applyFill="1" applyBorder="1"/>
    <xf numFmtId="37" fontId="3" fillId="0" borderId="0" xfId="2" applyNumberFormat="1" applyFont="1" applyBorder="1"/>
    <xf numFmtId="37" fontId="3" fillId="0" borderId="0" xfId="0" applyNumberFormat="1" applyFont="1" applyBorder="1" applyAlignment="1">
      <alignment horizontal="right"/>
    </xf>
    <xf numFmtId="37" fontId="2" fillId="0" borderId="0" xfId="2" applyNumberFormat="1" applyFont="1" applyBorder="1" applyAlignment="1">
      <alignment horizontal="centerContinuous"/>
    </xf>
    <xf numFmtId="37" fontId="2" fillId="0" borderId="0" xfId="2" applyNumberFormat="1" applyFont="1" applyBorder="1"/>
    <xf numFmtId="37" fontId="3" fillId="0" borderId="0" xfId="2" applyNumberFormat="1" applyFont="1" applyBorder="1" applyAlignment="1">
      <alignment horizontal="left"/>
    </xf>
    <xf numFmtId="37" fontId="3" fillId="0" borderId="0" xfId="2" applyNumberFormat="1" applyFont="1" applyBorder="1" applyAlignment="1">
      <alignment horizontal="center"/>
    </xf>
    <xf numFmtId="37" fontId="2" fillId="0" borderId="0" xfId="2" applyNumberFormat="1" applyFont="1" applyBorder="1" applyAlignment="1">
      <alignment horizontal="left"/>
    </xf>
    <xf numFmtId="3" fontId="2" fillId="0" borderId="0" xfId="2" applyFont="1" applyBorder="1" applyAlignment="1">
      <alignment horizontal="left"/>
    </xf>
    <xf numFmtId="37" fontId="3" fillId="0" borderId="0" xfId="0" applyNumberFormat="1" applyFont="1" applyFill="1"/>
    <xf numFmtId="37" fontId="3" fillId="0" borderId="0" xfId="2" applyNumberFormat="1" applyFont="1" applyFill="1" applyBorder="1" applyAlignment="1">
      <alignment horizontal="right"/>
    </xf>
    <xf numFmtId="5" fontId="3" fillId="0" borderId="0" xfId="0" applyNumberFormat="1" applyFont="1" applyFill="1"/>
    <xf numFmtId="0" fontId="3" fillId="0" borderId="0" xfId="0" applyFont="1" applyFill="1"/>
    <xf numFmtId="37" fontId="3" fillId="0" borderId="0" xfId="0" applyNumberFormat="1" applyFont="1" applyFill="1" applyAlignment="1">
      <alignment horizontal="right"/>
    </xf>
    <xf numFmtId="3" fontId="3" fillId="0" borderId="0" xfId="0" applyNumberFormat="1" applyFont="1" applyFill="1"/>
    <xf numFmtId="3" fontId="3" fillId="0" borderId="0" xfId="0" applyNumberFormat="1" applyFont="1" applyFill="1" applyBorder="1"/>
    <xf numFmtId="0" fontId="0" fillId="0" borderId="0" xfId="0" applyFill="1"/>
    <xf numFmtId="3" fontId="3" fillId="0" borderId="0" xfId="2" applyNumberFormat="1" applyFont="1" applyFill="1" applyBorder="1"/>
    <xf numFmtId="37" fontId="3" fillId="0" borderId="0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 horizontal="center"/>
    </xf>
    <xf numFmtId="37" fontId="3" fillId="0" borderId="0" xfId="2" applyNumberFormat="1" applyFont="1" applyFill="1" applyBorder="1"/>
    <xf numFmtId="0" fontId="3" fillId="0" borderId="0" xfId="0" applyFont="1" applyBorder="1" applyAlignment="1"/>
    <xf numFmtId="37" fontId="0" fillId="0" borderId="0" xfId="0" applyNumberFormat="1"/>
    <xf numFmtId="3" fontId="2" fillId="2" borderId="0" xfId="0" applyNumberFormat="1" applyFont="1" applyFill="1" applyBorder="1"/>
    <xf numFmtId="3" fontId="3" fillId="2" borderId="0" xfId="0" applyNumberFormat="1" applyFont="1" applyFill="1" applyBorder="1"/>
    <xf numFmtId="3" fontId="3" fillId="2" borderId="0" xfId="0" applyNumberFormat="1" applyFont="1" applyFill="1"/>
    <xf numFmtId="37" fontId="3" fillId="2" borderId="0" xfId="0" applyNumberFormat="1" applyFont="1" applyFill="1" applyBorder="1"/>
    <xf numFmtId="37" fontId="2" fillId="2" borderId="0" xfId="0" applyNumberFormat="1" applyFont="1" applyFill="1" applyBorder="1"/>
    <xf numFmtId="37" fontId="3" fillId="2" borderId="0" xfId="0" applyNumberFormat="1" applyFont="1" applyFill="1" applyBorder="1" applyAlignment="1">
      <alignment horizontal="center"/>
    </xf>
    <xf numFmtId="5" fontId="3" fillId="0" borderId="0" xfId="0" applyNumberFormat="1" applyFont="1" applyFill="1" applyBorder="1"/>
    <xf numFmtId="37" fontId="0" fillId="0" borderId="0" xfId="0" applyNumberFormat="1" applyFill="1"/>
    <xf numFmtId="5" fontId="0" fillId="0" borderId="0" xfId="0" applyNumberFormat="1" applyFill="1"/>
    <xf numFmtId="37" fontId="3" fillId="0" borderId="0" xfId="0" applyNumberFormat="1" applyFont="1" applyBorder="1" applyAlignment="1"/>
    <xf numFmtId="5" fontId="3" fillId="0" borderId="0" xfId="0" applyNumberFormat="1" applyFont="1" applyFill="1" applyAlignment="1">
      <alignment horizontal="right"/>
    </xf>
    <xf numFmtId="37" fontId="5" fillId="0" borderId="0" xfId="0" applyNumberFormat="1" applyFont="1"/>
    <xf numFmtId="37" fontId="2" fillId="0" borderId="0" xfId="0" applyNumberFormat="1" applyFont="1" applyAlignment="1"/>
    <xf numFmtId="37" fontId="0" fillId="0" borderId="0" xfId="0" applyNumberFormat="1" applyAlignment="1">
      <alignment horizontal="center"/>
    </xf>
    <xf numFmtId="0" fontId="3" fillId="0" borderId="1" xfId="0" applyFont="1" applyBorder="1" applyAlignment="1"/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left"/>
    </xf>
    <xf numFmtId="37" fontId="2" fillId="0" borderId="0" xfId="0" applyNumberFormat="1" applyFont="1" applyFill="1" applyBorder="1"/>
    <xf numFmtId="3" fontId="2" fillId="0" borderId="0" xfId="2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centerContinuous"/>
    </xf>
    <xf numFmtId="37" fontId="3" fillId="0" borderId="2" xfId="0" applyNumberFormat="1" applyFont="1" applyFill="1" applyBorder="1" applyAlignment="1">
      <alignment horizontal="center"/>
    </xf>
    <xf numFmtId="5" fontId="3" fillId="0" borderId="0" xfId="0" applyNumberFormat="1" applyFont="1" applyFill="1" applyBorder="1" applyAlignment="1">
      <alignment horizontal="right"/>
    </xf>
    <xf numFmtId="37" fontId="2" fillId="0" borderId="0" xfId="0" applyNumberFormat="1" applyFont="1" applyFill="1"/>
    <xf numFmtId="37" fontId="3" fillId="0" borderId="0" xfId="0" applyNumberFormat="1" applyFont="1" applyFill="1" applyAlignment="1">
      <alignment horizontal="center"/>
    </xf>
    <xf numFmtId="37" fontId="2" fillId="0" borderId="0" xfId="2" applyNumberFormat="1" applyFont="1" applyBorder="1" applyAlignment="1"/>
    <xf numFmtId="37" fontId="3" fillId="0" borderId="0" xfId="2" applyNumberFormat="1" applyFont="1" applyBorder="1" applyAlignment="1"/>
    <xf numFmtId="37" fontId="3" fillId="0" borderId="0" xfId="2" applyNumberFormat="1" applyFont="1" applyFill="1" applyBorder="1" applyAlignment="1"/>
    <xf numFmtId="37" fontId="2" fillId="0" borderId="0" xfId="2" applyNumberFormat="1" applyFont="1" applyFill="1" applyBorder="1"/>
    <xf numFmtId="37" fontId="2" fillId="0" borderId="0" xfId="2" applyNumberFormat="1" applyFont="1" applyFill="1" applyBorder="1" applyAlignment="1">
      <alignment horizontal="centerContinuous"/>
    </xf>
    <xf numFmtId="37" fontId="3" fillId="0" borderId="0" xfId="2" applyNumberFormat="1" applyFont="1" applyFill="1" applyBorder="1" applyAlignment="1">
      <alignment horizontal="left"/>
    </xf>
    <xf numFmtId="37" fontId="2" fillId="0" borderId="0" xfId="2" applyNumberFormat="1" applyFont="1" applyFill="1" applyBorder="1" applyAlignment="1">
      <alignment horizontal="left"/>
    </xf>
    <xf numFmtId="37" fontId="3" fillId="0" borderId="0" xfId="2" applyNumberFormat="1" applyFont="1" applyFill="1" applyBorder="1" applyAlignment="1">
      <alignment horizontal="center"/>
    </xf>
    <xf numFmtId="5" fontId="3" fillId="0" borderId="0" xfId="2" applyNumberFormat="1" applyFont="1" applyFill="1" applyBorder="1"/>
    <xf numFmtId="5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/>
    <xf numFmtId="5" fontId="3" fillId="0" borderId="0" xfId="2" applyNumberFormat="1" applyFont="1" applyFill="1" applyBorder="1" applyAlignment="1">
      <alignment horizontal="right"/>
    </xf>
    <xf numFmtId="5" fontId="3" fillId="0" borderId="0" xfId="2" applyNumberFormat="1" applyFont="1" applyFill="1" applyBorder="1" applyAlignment="1"/>
    <xf numFmtId="0" fontId="6" fillId="0" borderId="0" xfId="0" applyFont="1" applyFill="1"/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1" xfId="0" quotePrefix="1" applyNumberFormat="1" applyFont="1" applyFill="1" applyBorder="1" applyAlignment="1">
      <alignment horizontal="center"/>
    </xf>
    <xf numFmtId="0" fontId="3" fillId="0" borderId="1" xfId="0" quotePrefix="1" applyFont="1" applyFill="1" applyBorder="1" applyAlignment="1">
      <alignment horizontal="center"/>
    </xf>
    <xf numFmtId="164" fontId="3" fillId="0" borderId="0" xfId="1" applyNumberFormat="1" applyFont="1" applyFill="1"/>
    <xf numFmtId="37" fontId="3" fillId="0" borderId="0" xfId="0" quotePrefix="1" applyNumberFormat="1" applyFont="1" applyFill="1" applyAlignment="1">
      <alignment horizontal="center"/>
    </xf>
    <xf numFmtId="37" fontId="3" fillId="0" borderId="1" xfId="2" applyNumberFormat="1" applyFont="1" applyFill="1" applyBorder="1" applyAlignment="1">
      <alignment horizontal="center"/>
    </xf>
    <xf numFmtId="37" fontId="0" fillId="0" borderId="0" xfId="0" applyNumberFormat="1" applyFill="1" applyAlignment="1">
      <alignment horizontal="center"/>
    </xf>
    <xf numFmtId="37" fontId="6" fillId="0" borderId="0" xfId="0" applyNumberFormat="1" applyFont="1" applyFill="1"/>
    <xf numFmtId="37" fontId="7" fillId="0" borderId="0" xfId="0" applyNumberFormat="1" applyFont="1" applyFill="1"/>
    <xf numFmtId="0" fontId="8" fillId="0" borderId="0" xfId="0" applyFont="1"/>
    <xf numFmtId="3" fontId="9" fillId="0" borderId="0" xfId="0" applyNumberFormat="1" applyFont="1"/>
    <xf numFmtId="0" fontId="9" fillId="0" borderId="0" xfId="0" applyFont="1"/>
    <xf numFmtId="37" fontId="9" fillId="0" borderId="0" xfId="0" applyNumberFormat="1" applyFont="1"/>
    <xf numFmtId="37" fontId="9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5" fontId="9" fillId="0" borderId="0" xfId="0" applyNumberFormat="1" applyFont="1" applyFill="1"/>
    <xf numFmtId="37" fontId="9" fillId="0" borderId="0" xfId="0" applyNumberFormat="1" applyFont="1" applyFill="1"/>
    <xf numFmtId="3" fontId="9" fillId="0" borderId="0" xfId="0" applyNumberFormat="1" applyFont="1" applyFill="1"/>
    <xf numFmtId="37" fontId="9" fillId="0" borderId="0" xfId="0" applyNumberFormat="1" applyFont="1" applyFill="1" applyAlignment="1">
      <alignment horizontal="right"/>
    </xf>
    <xf numFmtId="37" fontId="3" fillId="3" borderId="0" xfId="0" applyNumberFormat="1" applyFont="1" applyFill="1" applyBorder="1"/>
    <xf numFmtId="37" fontId="3" fillId="3" borderId="0" xfId="0" applyNumberFormat="1" applyFont="1" applyFill="1"/>
    <xf numFmtId="37" fontId="3" fillId="3" borderId="0" xfId="0" applyNumberFormat="1" applyFont="1" applyFill="1" applyAlignment="1">
      <alignment horizontal="right"/>
    </xf>
    <xf numFmtId="37" fontId="0" fillId="3" borderId="0" xfId="0" applyNumberFormat="1" applyFill="1"/>
    <xf numFmtId="37" fontId="3" fillId="3" borderId="0" xfId="2" applyNumberFormat="1" applyFont="1" applyFill="1" applyBorder="1" applyAlignment="1">
      <alignment horizontal="right"/>
    </xf>
    <xf numFmtId="0" fontId="0" fillId="3" borderId="0" xfId="0" applyFill="1"/>
    <xf numFmtId="0" fontId="3" fillId="3" borderId="0" xfId="0" applyFont="1" applyFill="1"/>
    <xf numFmtId="5" fontId="3" fillId="3" borderId="0" xfId="0" applyNumberFormat="1" applyFont="1" applyFill="1"/>
    <xf numFmtId="5" fontId="3" fillId="3" borderId="0" xfId="0" applyNumberFormat="1" applyFont="1" applyFill="1" applyBorder="1"/>
    <xf numFmtId="3" fontId="3" fillId="3" borderId="0" xfId="0" applyNumberFormat="1" applyFont="1" applyFill="1"/>
    <xf numFmtId="0" fontId="3" fillId="3" borderId="0" xfId="0" applyFont="1" applyFill="1" applyBorder="1"/>
    <xf numFmtId="0" fontId="9" fillId="3" borderId="0" xfId="0" applyFont="1" applyFill="1"/>
    <xf numFmtId="37" fontId="3" fillId="3" borderId="0" xfId="0" applyNumberFormat="1" applyFont="1" applyFill="1" applyBorder="1" applyAlignment="1">
      <alignment horizontal="right"/>
    </xf>
    <xf numFmtId="37" fontId="2" fillId="3" borderId="0" xfId="0" applyNumberFormat="1" applyFont="1" applyFill="1" applyBorder="1" applyAlignment="1">
      <alignment horizontal="center"/>
    </xf>
    <xf numFmtId="37" fontId="3" fillId="3" borderId="0" xfId="2" applyNumberFormat="1" applyFont="1" applyFill="1" applyBorder="1"/>
    <xf numFmtId="37" fontId="3" fillId="3" borderId="0" xfId="2" applyNumberFormat="1" applyFont="1" applyFill="1" applyBorder="1" applyAlignment="1"/>
    <xf numFmtId="37" fontId="3" fillId="4" borderId="0" xfId="0" applyNumberFormat="1" applyFont="1" applyFill="1"/>
    <xf numFmtId="0" fontId="3" fillId="4" borderId="0" xfId="0" applyFont="1" applyFill="1"/>
    <xf numFmtId="5" fontId="3" fillId="4" borderId="0" xfId="0" applyNumberFormat="1" applyFont="1" applyFill="1"/>
    <xf numFmtId="0" fontId="0" fillId="4" borderId="0" xfId="0" applyFill="1"/>
    <xf numFmtId="37" fontId="0" fillId="4" borderId="0" xfId="0" applyNumberFormat="1" applyFill="1"/>
    <xf numFmtId="37" fontId="3" fillId="4" borderId="0" xfId="0" applyNumberFormat="1" applyFont="1" applyFill="1" applyBorder="1"/>
    <xf numFmtId="37" fontId="3" fillId="4" borderId="0" xfId="2" applyNumberFormat="1" applyFont="1" applyFill="1" applyBorder="1" applyAlignment="1">
      <alignment horizontal="right"/>
    </xf>
    <xf numFmtId="5" fontId="3" fillId="4" borderId="0" xfId="2" applyNumberFormat="1" applyFont="1" applyFill="1" applyBorder="1" applyAlignment="1">
      <alignment horizontal="right"/>
    </xf>
    <xf numFmtId="5" fontId="3" fillId="4" borderId="0" xfId="0" applyNumberFormat="1" applyFont="1" applyFill="1" applyBorder="1"/>
    <xf numFmtId="3" fontId="3" fillId="4" borderId="0" xfId="0" applyNumberFormat="1" applyFont="1" applyFill="1"/>
    <xf numFmtId="0" fontId="3" fillId="4" borderId="0" xfId="0" applyFont="1" applyFill="1" applyBorder="1"/>
    <xf numFmtId="37" fontId="3" fillId="4" borderId="0" xfId="0" applyNumberFormat="1" applyFont="1" applyFill="1" applyAlignment="1">
      <alignment horizontal="right"/>
    </xf>
    <xf numFmtId="5" fontId="3" fillId="4" borderId="0" xfId="2" applyNumberFormat="1" applyFont="1" applyFill="1" applyBorder="1"/>
    <xf numFmtId="3" fontId="3" fillId="4" borderId="0" xfId="2" applyNumberFormat="1" applyFont="1" applyFill="1" applyBorder="1"/>
    <xf numFmtId="3" fontId="3" fillId="4" borderId="0" xfId="0" applyNumberFormat="1" applyFont="1" applyFill="1" applyBorder="1"/>
    <xf numFmtId="0" fontId="9" fillId="4" borderId="0" xfId="0" applyFont="1" applyFill="1"/>
    <xf numFmtId="5" fontId="3" fillId="4" borderId="0" xfId="0" applyNumberFormat="1" applyFont="1" applyFill="1" applyBorder="1" applyAlignment="1">
      <alignment horizontal="right"/>
    </xf>
    <xf numFmtId="37" fontId="9" fillId="4" borderId="0" xfId="0" applyNumberFormat="1" applyFont="1" applyFill="1"/>
    <xf numFmtId="5" fontId="0" fillId="4" borderId="0" xfId="0" applyNumberFormat="1" applyFill="1"/>
    <xf numFmtId="37" fontId="3" fillId="4" borderId="0" xfId="0" applyNumberFormat="1" applyFont="1" applyFill="1" applyBorder="1" applyAlignment="1">
      <alignment horizontal="right"/>
    </xf>
    <xf numFmtId="5" fontId="2" fillId="4" borderId="0" xfId="0" applyNumberFormat="1" applyFont="1" applyFill="1" applyBorder="1" applyAlignment="1">
      <alignment horizontal="center"/>
    </xf>
    <xf numFmtId="37" fontId="2" fillId="4" borderId="0" xfId="0" applyNumberFormat="1" applyFont="1" applyFill="1" applyBorder="1" applyAlignment="1">
      <alignment horizontal="center"/>
    </xf>
    <xf numFmtId="37" fontId="3" fillId="4" borderId="0" xfId="2" applyNumberFormat="1" applyFont="1" applyFill="1" applyBorder="1"/>
    <xf numFmtId="37" fontId="3" fillId="4" borderId="0" xfId="2" applyNumberFormat="1" applyFont="1" applyFill="1" applyBorder="1" applyAlignment="1"/>
    <xf numFmtId="37" fontId="3" fillId="4" borderId="0" xfId="3" applyNumberFormat="1" applyFont="1" applyFill="1" applyBorder="1"/>
    <xf numFmtId="37" fontId="3" fillId="0" borderId="0" xfId="0" applyNumberFormat="1" applyFont="1" applyFill="1" applyProtection="1"/>
    <xf numFmtId="38" fontId="3" fillId="0" borderId="0" xfId="0" applyNumberFormat="1" applyFont="1" applyFill="1" applyBorder="1"/>
    <xf numFmtId="38" fontId="3" fillId="0" borderId="0" xfId="0" applyNumberFormat="1" applyFont="1" applyFill="1"/>
    <xf numFmtId="38" fontId="3" fillId="0" borderId="0" xfId="2" applyNumberFormat="1" applyFont="1" applyFill="1" applyBorder="1" applyAlignment="1">
      <alignment horizontal="right"/>
    </xf>
    <xf numFmtId="38" fontId="3" fillId="0" borderId="0" xfId="0" applyNumberFormat="1" applyFont="1" applyFill="1" applyAlignment="1">
      <alignment horizontal="right"/>
    </xf>
    <xf numFmtId="38" fontId="3" fillId="0" borderId="0" xfId="2" applyNumberFormat="1" applyFont="1" applyFill="1" applyBorder="1"/>
    <xf numFmtId="165" fontId="3" fillId="0" borderId="0" xfId="0" applyNumberFormat="1" applyFont="1" applyFill="1"/>
    <xf numFmtId="165" fontId="0" fillId="0" borderId="0" xfId="0" applyNumberFormat="1" applyFill="1"/>
    <xf numFmtId="37" fontId="3" fillId="0" borderId="0" xfId="0" applyNumberFormat="1" applyFont="1" applyFill="1" applyBorder="1" applyAlignment="1">
      <alignment horizontal="left"/>
    </xf>
    <xf numFmtId="37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37" fontId="3" fillId="0" borderId="0" xfId="0" applyNumberFormat="1" applyFont="1" applyFill="1" applyAlignment="1">
      <alignment horizontal="center"/>
    </xf>
    <xf numFmtId="37" fontId="3" fillId="0" borderId="1" xfId="0" applyNumberFormat="1" applyFont="1" applyBorder="1" applyAlignment="1">
      <alignment horizontal="center"/>
    </xf>
  </cellXfs>
  <cellStyles count="4">
    <cellStyle name="Comma" xfId="1" builtinId="3"/>
    <cellStyle name="Comma0" xfId="2"/>
    <cellStyle name="Currency0" xf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56"/>
  <sheetViews>
    <sheetView zoomScaleNormal="100" zoomScaleSheetLayoutView="75" workbookViewId="0">
      <pane xSplit="3" ySplit="7" topLeftCell="D155" activePane="bottomRight" state="frozen"/>
      <selection pane="topRight" activeCell="D1" sqref="D1"/>
      <selection pane="bottomLeft" activeCell="A11" sqref="A11"/>
      <selection pane="bottomRight" activeCell="A4" sqref="A4"/>
    </sheetView>
  </sheetViews>
  <sheetFormatPr defaultRowHeight="12.75" customHeight="1"/>
  <cols>
    <col min="1" max="1" width="16" style="44" customWidth="1"/>
    <col min="2" max="2" width="1.7109375" style="47" customWidth="1"/>
    <col min="3" max="3" width="12" style="44" customWidth="1"/>
    <col min="4" max="4" width="1.7109375" style="47" customWidth="1"/>
    <col min="5" max="5" width="11.7109375" style="44" customWidth="1"/>
    <col min="6" max="6" width="1.7109375" style="44" customWidth="1"/>
    <col min="7" max="7" width="11.7109375" style="44" customWidth="1"/>
    <col min="8" max="8" width="1.7109375" style="44" customWidth="1"/>
    <col min="9" max="9" width="11.7109375" style="44" customWidth="1"/>
    <col min="10" max="10" width="1.7109375" style="44" customWidth="1"/>
    <col min="11" max="11" width="12.28515625" style="44" customWidth="1"/>
    <col min="12" max="12" width="1.7109375" style="44" customWidth="1"/>
    <col min="13" max="13" width="11.7109375" style="44" customWidth="1"/>
    <col min="14" max="14" width="1.7109375" style="44" customWidth="1"/>
    <col min="15" max="15" width="12.5703125" style="44" customWidth="1"/>
    <col min="16" max="16" width="1.7109375" style="44" customWidth="1"/>
    <col min="17" max="17" width="11.7109375" style="44" customWidth="1"/>
    <col min="18" max="18" width="2.7109375" style="44" customWidth="1"/>
    <col min="19" max="19" width="11.7109375" style="44" customWidth="1"/>
    <col min="20" max="20" width="1.7109375" style="44" customWidth="1"/>
    <col min="21" max="21" width="11.7109375" style="44" customWidth="1"/>
    <col min="22" max="22" width="1.7109375" style="44" customWidth="1"/>
    <col min="23" max="23" width="11.7109375" style="44" customWidth="1"/>
    <col min="24" max="24" width="1.7109375" style="44" customWidth="1"/>
    <col min="25" max="25" width="11.7109375" style="44" customWidth="1"/>
    <col min="26" max="26" width="2.7109375" style="44" customWidth="1"/>
    <col min="27" max="27" width="2.7109375" style="44" hidden="1" customWidth="1"/>
    <col min="28" max="28" width="12.7109375" style="44" customWidth="1"/>
    <col min="29" max="29" width="16.42578125" style="44" customWidth="1"/>
    <col min="30" max="16384" width="9.140625" style="44"/>
  </cols>
  <sheetData>
    <row r="1" spans="1:28" ht="12.75" customHeight="1">
      <c r="A1" s="80" t="s">
        <v>425</v>
      </c>
    </row>
    <row r="2" spans="1:28" ht="12.75" customHeight="1">
      <c r="A2" s="80" t="s">
        <v>488</v>
      </c>
    </row>
    <row r="3" spans="1:28" ht="12.75" customHeight="1">
      <c r="A3" s="80" t="s">
        <v>289</v>
      </c>
    </row>
    <row r="5" spans="1:28" ht="12.75" customHeight="1">
      <c r="A5" s="80"/>
      <c r="E5" s="171" t="s">
        <v>0</v>
      </c>
      <c r="F5" s="171"/>
      <c r="G5" s="171"/>
      <c r="H5" s="171"/>
      <c r="I5" s="171"/>
      <c r="J5" s="77"/>
      <c r="K5" s="77"/>
      <c r="M5" s="171" t="s">
        <v>1</v>
      </c>
      <c r="N5" s="171"/>
      <c r="O5" s="171"/>
      <c r="P5" s="77"/>
      <c r="Q5" s="77"/>
      <c r="S5" s="171" t="s">
        <v>2</v>
      </c>
      <c r="T5" s="171"/>
      <c r="U5" s="171"/>
      <c r="V5" s="171"/>
      <c r="W5" s="171"/>
      <c r="X5" s="77"/>
      <c r="Y5" s="77"/>
    </row>
    <row r="6" spans="1:28" ht="12.75" customHeight="1">
      <c r="A6" s="35"/>
      <c r="C6" s="35"/>
      <c r="E6" s="81" t="s">
        <v>3</v>
      </c>
      <c r="F6" s="81"/>
      <c r="G6" s="81" t="s">
        <v>4</v>
      </c>
      <c r="H6" s="81"/>
      <c r="I6" s="81" t="s">
        <v>475</v>
      </c>
      <c r="J6" s="81"/>
      <c r="K6" s="81" t="s">
        <v>6</v>
      </c>
      <c r="M6" s="81" t="s">
        <v>3</v>
      </c>
      <c r="N6" s="8"/>
      <c r="O6" s="81" t="s">
        <v>449</v>
      </c>
      <c r="P6" s="81"/>
      <c r="Q6" s="81" t="s">
        <v>6</v>
      </c>
      <c r="S6" s="8" t="s">
        <v>7</v>
      </c>
      <c r="T6" s="8"/>
      <c r="U6" s="8"/>
      <c r="V6" s="8"/>
      <c r="W6" s="8"/>
      <c r="X6" s="8"/>
      <c r="Y6" s="81" t="s">
        <v>6</v>
      </c>
      <c r="AB6" s="81" t="s">
        <v>429</v>
      </c>
    </row>
    <row r="7" spans="1:28" ht="12.75" customHeight="1">
      <c r="A7" s="78" t="s">
        <v>8</v>
      </c>
      <c r="C7" s="78" t="s">
        <v>9</v>
      </c>
      <c r="E7" s="7" t="s">
        <v>0</v>
      </c>
      <c r="F7" s="8"/>
      <c r="G7" s="7" t="s">
        <v>0</v>
      </c>
      <c r="H7" s="8"/>
      <c r="I7" s="7" t="s">
        <v>476</v>
      </c>
      <c r="J7" s="8"/>
      <c r="K7" s="7" t="s">
        <v>0</v>
      </c>
      <c r="M7" s="7" t="s">
        <v>1</v>
      </c>
      <c r="N7" s="8"/>
      <c r="O7" s="7" t="s">
        <v>439</v>
      </c>
      <c r="P7" s="8"/>
      <c r="Q7" s="7" t="s">
        <v>1</v>
      </c>
      <c r="S7" s="7" t="s">
        <v>290</v>
      </c>
      <c r="T7" s="8"/>
      <c r="U7" s="7" t="s">
        <v>10</v>
      </c>
      <c r="V7" s="8"/>
      <c r="W7" s="7" t="s">
        <v>11</v>
      </c>
      <c r="X7" s="8"/>
      <c r="Y7" s="7" t="s">
        <v>2</v>
      </c>
      <c r="AB7" s="81" t="s">
        <v>437</v>
      </c>
    </row>
    <row r="8" spans="1:28" ht="12.75" customHeight="1">
      <c r="A8" s="8"/>
      <c r="C8" s="8"/>
      <c r="E8" s="8"/>
      <c r="F8" s="8"/>
      <c r="G8" s="8"/>
      <c r="H8" s="8"/>
      <c r="I8" s="8"/>
      <c r="J8" s="8"/>
      <c r="K8" s="8"/>
      <c r="M8" s="8"/>
      <c r="N8" s="8"/>
      <c r="O8" s="8"/>
      <c r="P8" s="8"/>
      <c r="Q8" s="8"/>
      <c r="S8" s="8"/>
      <c r="T8" s="8"/>
      <c r="U8" s="8"/>
      <c r="V8" s="8"/>
      <c r="W8" s="8"/>
      <c r="X8" s="8"/>
      <c r="Y8" s="8"/>
    </row>
    <row r="9" spans="1:28" s="46" customFormat="1" ht="12.75" customHeight="1">
      <c r="A9" s="46" t="s">
        <v>12</v>
      </c>
      <c r="C9" s="46" t="s">
        <v>13</v>
      </c>
      <c r="E9" s="46">
        <f>+K9-G9-I9</f>
        <v>432819564</v>
      </c>
      <c r="G9" s="46">
        <v>813615464</v>
      </c>
      <c r="I9" s="46">
        <v>0</v>
      </c>
      <c r="K9" s="46">
        <v>1246435028</v>
      </c>
      <c r="M9" s="46">
        <f t="shared" ref="M9:M70" si="0">+Q9-O9</f>
        <v>366626383</v>
      </c>
      <c r="O9" s="46">
        <v>514992510</v>
      </c>
      <c r="Q9" s="46">
        <v>881618893</v>
      </c>
      <c r="S9" s="46">
        <v>350900710</v>
      </c>
      <c r="U9" s="46">
        <v>136131553</v>
      </c>
      <c r="W9" s="46">
        <v>-122216128</v>
      </c>
      <c r="Y9" s="46">
        <f>S9+U9+W9</f>
        <v>364816135</v>
      </c>
      <c r="AB9" s="46">
        <f t="shared" ref="AB9:AB70" si="1">+K9-Q9-Y9</f>
        <v>0</v>
      </c>
    </row>
    <row r="10" spans="1:28" ht="12.75" customHeight="1">
      <c r="A10" s="44" t="s">
        <v>14</v>
      </c>
      <c r="B10" s="44"/>
      <c r="C10" s="44" t="s">
        <v>15</v>
      </c>
      <c r="D10" s="44"/>
      <c r="E10" s="162">
        <f t="shared" ref="E10:E70" si="2">+K10-G10-I10</f>
        <v>16284465</v>
      </c>
      <c r="G10" s="44">
        <v>20612128</v>
      </c>
      <c r="I10" s="44">
        <v>0</v>
      </c>
      <c r="K10" s="44">
        <v>36896593</v>
      </c>
      <c r="M10" s="44">
        <f t="shared" si="0"/>
        <v>3955876</v>
      </c>
      <c r="O10" s="44">
        <v>3638231</v>
      </c>
      <c r="Q10" s="44">
        <v>7594107</v>
      </c>
      <c r="S10" s="44">
        <v>18197128</v>
      </c>
      <c r="U10" s="44">
        <f>29302486-18197128-2507098</f>
        <v>8598260</v>
      </c>
      <c r="W10" s="44">
        <v>2507098</v>
      </c>
      <c r="Y10" s="44">
        <f>S10+U10+W10</f>
        <v>29302486</v>
      </c>
      <c r="AB10" s="44">
        <f t="shared" si="1"/>
        <v>0</v>
      </c>
    </row>
    <row r="11" spans="1:28" ht="12.75" customHeight="1">
      <c r="A11" s="44" t="s">
        <v>16</v>
      </c>
      <c r="C11" s="44" t="s">
        <v>17</v>
      </c>
      <c r="E11" s="44">
        <f t="shared" si="2"/>
        <v>13673580</v>
      </c>
      <c r="G11" s="44">
        <f>1312570+22120287</f>
        <v>23432857</v>
      </c>
      <c r="I11" s="44">
        <v>0</v>
      </c>
      <c r="K11" s="44">
        <v>37106437</v>
      </c>
      <c r="M11" s="44">
        <f t="shared" si="0"/>
        <v>2379232</v>
      </c>
      <c r="O11" s="44">
        <v>3966755</v>
      </c>
      <c r="Q11" s="44">
        <v>6345987</v>
      </c>
      <c r="S11" s="44">
        <v>19321550</v>
      </c>
      <c r="U11" s="44">
        <f>4494099+471690+1434301</f>
        <v>6400090</v>
      </c>
      <c r="W11" s="44">
        <v>5038810</v>
      </c>
      <c r="Y11" s="44">
        <f t="shared" ref="Y11:Y70" si="3">S11+U11+W11</f>
        <v>30760450</v>
      </c>
      <c r="AB11" s="44">
        <f>+K11-Q11-Y11</f>
        <v>0</v>
      </c>
    </row>
    <row r="12" spans="1:28" ht="12.75" customHeight="1">
      <c r="A12" s="44" t="s">
        <v>18</v>
      </c>
      <c r="C12" s="44" t="s">
        <v>18</v>
      </c>
      <c r="E12" s="44">
        <f t="shared" si="2"/>
        <v>11567106</v>
      </c>
      <c r="G12" s="44">
        <f>6170214+15242021</f>
        <v>21412235</v>
      </c>
      <c r="I12" s="44">
        <v>0</v>
      </c>
      <c r="K12" s="44">
        <v>32979341</v>
      </c>
      <c r="M12" s="44">
        <f t="shared" si="0"/>
        <v>3224314</v>
      </c>
      <c r="O12" s="44">
        <v>3580633</v>
      </c>
      <c r="Q12" s="44">
        <v>6804947</v>
      </c>
      <c r="S12" s="44">
        <v>17464839</v>
      </c>
      <c r="U12" s="44">
        <f>169689+770772+4791394</f>
        <v>5731855</v>
      </c>
      <c r="W12" s="44">
        <v>2977700</v>
      </c>
      <c r="Y12" s="44">
        <f t="shared" si="3"/>
        <v>26174394</v>
      </c>
      <c r="AB12" s="44">
        <f t="shared" si="1"/>
        <v>0</v>
      </c>
    </row>
    <row r="13" spans="1:28" ht="12.75" customHeight="1">
      <c r="A13" s="44" t="s">
        <v>19</v>
      </c>
      <c r="C13" s="44" t="s">
        <v>19</v>
      </c>
      <c r="E13" s="44">
        <f t="shared" si="2"/>
        <v>12772165</v>
      </c>
      <c r="G13" s="44">
        <f>3557436+15831135</f>
        <v>19388571</v>
      </c>
      <c r="I13" s="44">
        <f>104316+149169</f>
        <v>253485</v>
      </c>
      <c r="K13" s="44">
        <v>32414221</v>
      </c>
      <c r="M13" s="44">
        <f t="shared" si="0"/>
        <v>4665165</v>
      </c>
      <c r="O13" s="44">
        <v>2631156</v>
      </c>
      <c r="Q13" s="44">
        <v>7296321</v>
      </c>
      <c r="S13" s="44">
        <v>18191831</v>
      </c>
      <c r="U13" s="44">
        <f>992414+927528+1466762+648455+138087+880874</f>
        <v>5054120</v>
      </c>
      <c r="W13" s="44">
        <v>1871949</v>
      </c>
      <c r="Y13" s="44">
        <f t="shared" si="3"/>
        <v>25117900</v>
      </c>
      <c r="AB13" s="44">
        <f t="shared" si="1"/>
        <v>0</v>
      </c>
    </row>
    <row r="14" spans="1:28" ht="12.75" customHeight="1">
      <c r="A14" s="44" t="s">
        <v>20</v>
      </c>
      <c r="C14" s="44" t="s">
        <v>20</v>
      </c>
      <c r="E14" s="44">
        <f t="shared" si="2"/>
        <v>9930293</v>
      </c>
      <c r="G14" s="44">
        <f>32369855+19927369</f>
        <v>52297224</v>
      </c>
      <c r="I14" s="44">
        <v>380149</v>
      </c>
      <c r="K14" s="44">
        <v>62607666</v>
      </c>
      <c r="M14" s="44">
        <f t="shared" si="0"/>
        <v>5360660</v>
      </c>
      <c r="O14" s="44">
        <v>4384183</v>
      </c>
      <c r="Q14" s="44">
        <v>9744843</v>
      </c>
      <c r="S14" s="44">
        <v>46257223</v>
      </c>
      <c r="U14" s="44">
        <f>501881+2665838+2606834</f>
        <v>5774553</v>
      </c>
      <c r="W14" s="44">
        <v>831047</v>
      </c>
      <c r="Y14" s="44">
        <f t="shared" si="3"/>
        <v>52862823</v>
      </c>
      <c r="AB14" s="44">
        <f t="shared" si="1"/>
        <v>0</v>
      </c>
    </row>
    <row r="15" spans="1:28" ht="12.75" customHeight="1">
      <c r="A15" s="44" t="s">
        <v>468</v>
      </c>
      <c r="C15" s="44" t="s">
        <v>22</v>
      </c>
      <c r="E15" s="44">
        <f t="shared" si="2"/>
        <v>23741497</v>
      </c>
      <c r="G15" s="44">
        <v>59712235</v>
      </c>
      <c r="I15" s="44">
        <v>0</v>
      </c>
      <c r="K15" s="44">
        <v>83453732</v>
      </c>
      <c r="M15" s="44">
        <f t="shared" si="0"/>
        <v>7062525</v>
      </c>
      <c r="O15" s="44">
        <v>11768488</v>
      </c>
      <c r="Q15" s="44">
        <v>18831013</v>
      </c>
      <c r="S15" s="44">
        <v>47048621</v>
      </c>
      <c r="U15" s="44">
        <f>3186878+4165855+1178641+1350959</f>
        <v>9882333</v>
      </c>
      <c r="W15" s="44">
        <v>7691765</v>
      </c>
      <c r="Y15" s="44">
        <f t="shared" si="3"/>
        <v>64622719</v>
      </c>
      <c r="AB15" s="44">
        <f t="shared" si="1"/>
        <v>0</v>
      </c>
    </row>
    <row r="16" spans="1:28" ht="12.75" customHeight="1">
      <c r="A16" s="44" t="s">
        <v>23</v>
      </c>
      <c r="C16" s="44" t="s">
        <v>17</v>
      </c>
      <c r="E16" s="44">
        <f t="shared" si="2"/>
        <v>25920982</v>
      </c>
      <c r="G16" s="44">
        <f>7732685+51888394</f>
        <v>59621079</v>
      </c>
      <c r="I16" s="44">
        <v>0</v>
      </c>
      <c r="K16" s="44">
        <v>85542061</v>
      </c>
      <c r="M16" s="44">
        <f t="shared" si="0"/>
        <v>7047200</v>
      </c>
      <c r="O16" s="44">
        <v>17488589</v>
      </c>
      <c r="Q16" s="44">
        <v>24535789</v>
      </c>
      <c r="S16" s="44">
        <v>45441743</v>
      </c>
      <c r="U16" s="44">
        <f>5026304+1428118+1369930+978639+263416+620767</f>
        <v>9687174</v>
      </c>
      <c r="W16" s="44">
        <v>5877355</v>
      </c>
      <c r="Y16" s="44">
        <f t="shared" si="3"/>
        <v>61006272</v>
      </c>
      <c r="AB16" s="44">
        <f t="shared" si="1"/>
        <v>0</v>
      </c>
    </row>
    <row r="17" spans="1:28" ht="12.75" customHeight="1">
      <c r="A17" s="44" t="s">
        <v>24</v>
      </c>
      <c r="C17" s="44" t="s">
        <v>17</v>
      </c>
      <c r="E17" s="44">
        <f t="shared" si="2"/>
        <v>23918166</v>
      </c>
      <c r="G17" s="44">
        <f>4090061+50316966</f>
        <v>54407027</v>
      </c>
      <c r="I17" s="44">
        <v>0</v>
      </c>
      <c r="K17" s="44">
        <v>78325193</v>
      </c>
      <c r="M17" s="44">
        <f t="shared" si="0"/>
        <v>7916991</v>
      </c>
      <c r="O17" s="44">
        <v>9656446</v>
      </c>
      <c r="Q17" s="44">
        <v>17573437</v>
      </c>
      <c r="S17" s="44">
        <v>45673857</v>
      </c>
      <c r="U17" s="44">
        <f>2578693+523965+563356+961178+121278+158079</f>
        <v>4906549</v>
      </c>
      <c r="W17" s="44">
        <v>10171350</v>
      </c>
      <c r="Y17" s="44">
        <f t="shared" si="3"/>
        <v>60751756</v>
      </c>
      <c r="AB17" s="44">
        <f t="shared" si="1"/>
        <v>0</v>
      </c>
    </row>
    <row r="18" spans="1:28" ht="12.75" customHeight="1">
      <c r="A18" s="44" t="s">
        <v>25</v>
      </c>
      <c r="C18" s="44" t="s">
        <v>13</v>
      </c>
      <c r="E18" s="44">
        <f t="shared" si="2"/>
        <v>14512569</v>
      </c>
      <c r="G18" s="44">
        <v>23173227</v>
      </c>
      <c r="I18" s="44">
        <v>52537</v>
      </c>
      <c r="K18" s="44">
        <v>37738333</v>
      </c>
      <c r="M18" s="44">
        <f t="shared" si="0"/>
        <v>5791761</v>
      </c>
      <c r="O18" s="44">
        <v>7129681</v>
      </c>
      <c r="Q18" s="44">
        <v>12921442</v>
      </c>
      <c r="S18" s="44">
        <v>17895365</v>
      </c>
      <c r="U18" s="44">
        <f>779845+506371+1221355+106240+577419+63233+656485+119621+275+115244+68909</f>
        <v>4214997</v>
      </c>
      <c r="W18" s="44">
        <v>2706529</v>
      </c>
      <c r="Y18" s="44">
        <f t="shared" si="3"/>
        <v>24816891</v>
      </c>
      <c r="AB18" s="44">
        <f t="shared" si="1"/>
        <v>0</v>
      </c>
    </row>
    <row r="19" spans="1:28" ht="12.75" customHeight="1">
      <c r="A19" s="44" t="s">
        <v>26</v>
      </c>
      <c r="C19" s="44" t="s">
        <v>27</v>
      </c>
      <c r="E19" s="44">
        <f t="shared" si="2"/>
        <v>30226819</v>
      </c>
      <c r="G19" s="44">
        <v>18464987</v>
      </c>
      <c r="I19" s="44">
        <v>0</v>
      </c>
      <c r="K19" s="44">
        <v>48691806</v>
      </c>
      <c r="M19" s="44">
        <f t="shared" si="0"/>
        <v>11995988</v>
      </c>
      <c r="O19" s="44">
        <v>10815531</v>
      </c>
      <c r="Q19" s="44">
        <v>22811519</v>
      </c>
      <c r="S19" s="44">
        <v>5197372</v>
      </c>
      <c r="U19" s="44">
        <f>702260+276651+935255+65650+798025+107313+172502+153387</f>
        <v>3211043</v>
      </c>
      <c r="W19" s="44">
        <v>17471872</v>
      </c>
      <c r="Y19" s="44">
        <f t="shared" si="3"/>
        <v>25880287</v>
      </c>
      <c r="AB19" s="44">
        <f t="shared" si="1"/>
        <v>0</v>
      </c>
    </row>
    <row r="20" spans="1:28" ht="12.75" customHeight="1">
      <c r="A20" s="44" t="s">
        <v>28</v>
      </c>
      <c r="C20" s="44" t="s">
        <v>27</v>
      </c>
      <c r="E20" s="44">
        <f t="shared" si="2"/>
        <v>50731824</v>
      </c>
      <c r="G20" s="44">
        <f>9880236+73592888</f>
        <v>83473124</v>
      </c>
      <c r="I20" s="44">
        <v>0</v>
      </c>
      <c r="K20" s="44">
        <v>134204948</v>
      </c>
      <c r="M20" s="44">
        <f t="shared" si="0"/>
        <v>6707804</v>
      </c>
      <c r="O20" s="44">
        <v>17339474</v>
      </c>
      <c r="Q20" s="44">
        <v>24047278</v>
      </c>
      <c r="S20" s="44">
        <v>66483124</v>
      </c>
      <c r="U20" s="44">
        <f>6615438+14538+1344430+385891</f>
        <v>8360297</v>
      </c>
      <c r="W20" s="44">
        <v>35314249</v>
      </c>
      <c r="Y20" s="44">
        <f t="shared" si="3"/>
        <v>110157670</v>
      </c>
      <c r="AB20" s="44">
        <f t="shared" si="1"/>
        <v>0</v>
      </c>
    </row>
    <row r="21" spans="1:28" ht="12" customHeight="1">
      <c r="A21" s="44" t="s">
        <v>29</v>
      </c>
      <c r="C21" s="44" t="s">
        <v>30</v>
      </c>
      <c r="E21" s="44">
        <f t="shared" si="2"/>
        <v>27878592</v>
      </c>
      <c r="G21" s="44">
        <f>9611422+189185293</f>
        <v>198796715</v>
      </c>
      <c r="I21" s="44">
        <v>0</v>
      </c>
      <c r="K21" s="44">
        <v>226675307</v>
      </c>
      <c r="M21" s="44">
        <f t="shared" si="0"/>
        <v>13841189</v>
      </c>
      <c r="O21" s="44">
        <v>8674881</v>
      </c>
      <c r="Q21" s="44">
        <v>22516070</v>
      </c>
      <c r="S21" s="44">
        <v>189963378</v>
      </c>
      <c r="U21" s="44">
        <f>5756539+4214124+1548235+24420</f>
        <v>11543318</v>
      </c>
      <c r="W21" s="44">
        <v>2652541</v>
      </c>
      <c r="Y21" s="44">
        <f t="shared" si="3"/>
        <v>204159237</v>
      </c>
      <c r="AB21" s="44">
        <f t="shared" si="1"/>
        <v>0</v>
      </c>
    </row>
    <row r="22" spans="1:28" ht="12.75" customHeight="1">
      <c r="A22" s="44" t="s">
        <v>31</v>
      </c>
      <c r="C22" s="44" t="s">
        <v>27</v>
      </c>
      <c r="E22" s="44">
        <f t="shared" si="2"/>
        <v>25315676</v>
      </c>
      <c r="G22" s="44">
        <f>3333244+35910068</f>
        <v>39243312</v>
      </c>
      <c r="I22" s="44">
        <v>0</v>
      </c>
      <c r="K22" s="44">
        <v>64558988</v>
      </c>
      <c r="M22" s="44">
        <f t="shared" si="0"/>
        <v>6927339</v>
      </c>
      <c r="O22" s="44">
        <v>12755147</v>
      </c>
      <c r="Q22" s="44">
        <v>19682486</v>
      </c>
      <c r="S22" s="44">
        <v>27232073</v>
      </c>
      <c r="U22" s="44">
        <f>974982+1165965+134774+1493516+2524936</f>
        <v>6294173</v>
      </c>
      <c r="W22" s="44">
        <v>11350256</v>
      </c>
      <c r="Y22" s="44">
        <f t="shared" si="3"/>
        <v>44876502</v>
      </c>
      <c r="AB22" s="44">
        <f t="shared" si="1"/>
        <v>0</v>
      </c>
    </row>
    <row r="23" spans="1:28" ht="12.75" customHeight="1">
      <c r="A23" s="44" t="s">
        <v>467</v>
      </c>
      <c r="C23" s="44" t="s">
        <v>27</v>
      </c>
      <c r="E23" s="44">
        <f t="shared" si="2"/>
        <v>11783284</v>
      </c>
      <c r="G23" s="44">
        <f>2478466+19379323</f>
        <v>21857789</v>
      </c>
      <c r="I23" s="44">
        <v>0</v>
      </c>
      <c r="K23" s="44">
        <v>33641073</v>
      </c>
      <c r="M23" s="44">
        <f t="shared" si="0"/>
        <v>6280990</v>
      </c>
      <c r="O23" s="44">
        <v>6164348</v>
      </c>
      <c r="Q23" s="44">
        <v>12445338</v>
      </c>
      <c r="S23" s="44">
        <v>16375017</v>
      </c>
      <c r="U23" s="44">
        <f>142615+134277</f>
        <v>276892</v>
      </c>
      <c r="W23" s="44">
        <v>4543826</v>
      </c>
      <c r="Y23" s="44">
        <f t="shared" si="3"/>
        <v>21195735</v>
      </c>
      <c r="AB23" s="44">
        <f t="shared" si="1"/>
        <v>0</v>
      </c>
    </row>
    <row r="24" spans="1:28" s="137" customFormat="1" ht="12.75" hidden="1" customHeight="1">
      <c r="A24" s="137" t="s">
        <v>34</v>
      </c>
      <c r="B24" s="138" t="s">
        <v>462</v>
      </c>
      <c r="C24" s="137" t="s">
        <v>30</v>
      </c>
      <c r="D24" s="138"/>
      <c r="E24" s="137">
        <f t="shared" si="2"/>
        <v>0</v>
      </c>
      <c r="G24" s="137">
        <v>0</v>
      </c>
      <c r="I24" s="137">
        <v>0</v>
      </c>
      <c r="K24" s="137">
        <v>0</v>
      </c>
      <c r="M24" s="137">
        <f t="shared" si="0"/>
        <v>0</v>
      </c>
      <c r="O24" s="137">
        <v>0</v>
      </c>
      <c r="Q24" s="137">
        <v>0</v>
      </c>
      <c r="S24" s="137">
        <v>0</v>
      </c>
      <c r="U24" s="137">
        <v>0</v>
      </c>
      <c r="W24" s="137">
        <v>0</v>
      </c>
      <c r="Y24" s="137">
        <f t="shared" si="3"/>
        <v>0</v>
      </c>
      <c r="AB24" s="137">
        <f t="shared" si="1"/>
        <v>0</v>
      </c>
    </row>
    <row r="25" spans="1:28" ht="12.75" customHeight="1">
      <c r="A25" s="44" t="s">
        <v>35</v>
      </c>
      <c r="C25" s="44" t="s">
        <v>36</v>
      </c>
      <c r="E25" s="44">
        <f t="shared" si="2"/>
        <v>11296638</v>
      </c>
      <c r="G25" s="44">
        <f>14378740+6965841</f>
        <v>21344581</v>
      </c>
      <c r="I25" s="44">
        <v>0</v>
      </c>
      <c r="K25" s="44">
        <v>32641219</v>
      </c>
      <c r="M25" s="44">
        <f t="shared" si="0"/>
        <v>1879724</v>
      </c>
      <c r="O25" s="44">
        <v>1164773</v>
      </c>
      <c r="Q25" s="44">
        <v>3044497</v>
      </c>
      <c r="S25" s="44">
        <v>20728358</v>
      </c>
      <c r="U25" s="44">
        <f>3892260+115468+1343054</f>
        <v>5350782</v>
      </c>
      <c r="W25" s="44">
        <v>3517582</v>
      </c>
      <c r="Y25" s="44">
        <f t="shared" si="3"/>
        <v>29596722</v>
      </c>
      <c r="AB25" s="44">
        <f t="shared" si="1"/>
        <v>0</v>
      </c>
    </row>
    <row r="26" spans="1:28" ht="12.75" customHeight="1">
      <c r="A26" s="44" t="s">
        <v>37</v>
      </c>
      <c r="C26" s="44" t="s">
        <v>38</v>
      </c>
      <c r="E26" s="44">
        <f>+K26-G26-I26</f>
        <v>7482309</v>
      </c>
      <c r="G26" s="44">
        <f>719694+7869475</f>
        <v>8589169</v>
      </c>
      <c r="I26" s="44">
        <v>0</v>
      </c>
      <c r="K26" s="44">
        <v>16071478</v>
      </c>
      <c r="M26" s="44">
        <f t="shared" si="0"/>
        <v>1469818</v>
      </c>
      <c r="O26" s="44">
        <v>1800780</v>
      </c>
      <c r="Q26" s="44">
        <v>3270598</v>
      </c>
      <c r="S26" s="44">
        <v>7164169</v>
      </c>
      <c r="U26" s="44">
        <f>302888+23377+6760+68425+1441805</f>
        <v>1843255</v>
      </c>
      <c r="W26" s="44">
        <v>3793456</v>
      </c>
      <c r="Y26" s="44">
        <f t="shared" si="3"/>
        <v>12800880</v>
      </c>
      <c r="AB26" s="44">
        <f t="shared" si="1"/>
        <v>0</v>
      </c>
    </row>
    <row r="27" spans="1:28" ht="12.75" customHeight="1">
      <c r="A27" s="44" t="s">
        <v>39</v>
      </c>
      <c r="C27" s="44" t="s">
        <v>40</v>
      </c>
      <c r="E27" s="44">
        <f>+K27-G27-I27</f>
        <v>3435955</v>
      </c>
      <c r="G27" s="44">
        <f>2564263+11931875</f>
        <v>14496138</v>
      </c>
      <c r="I27" s="44">
        <v>0</v>
      </c>
      <c r="K27" s="44">
        <v>17932093</v>
      </c>
      <c r="M27" s="44">
        <f t="shared" si="0"/>
        <v>997743</v>
      </c>
      <c r="O27" s="44">
        <v>1210567</v>
      </c>
      <c r="Q27" s="44">
        <v>2208310</v>
      </c>
      <c r="S27" s="44">
        <v>13248872</v>
      </c>
      <c r="U27" s="44">
        <f>327884+325982+6598+44784</f>
        <v>705248</v>
      </c>
      <c r="W27" s="44">
        <v>1769663</v>
      </c>
      <c r="Y27" s="44">
        <f t="shared" si="3"/>
        <v>15723783</v>
      </c>
      <c r="AB27" s="44">
        <f t="shared" si="1"/>
        <v>0</v>
      </c>
    </row>
    <row r="28" spans="1:28" ht="12.75" customHeight="1">
      <c r="A28" s="44" t="s">
        <v>41</v>
      </c>
      <c r="C28" s="44" t="s">
        <v>27</v>
      </c>
      <c r="E28" s="44">
        <f>+K28-G28-I28</f>
        <v>13657455</v>
      </c>
      <c r="G28" s="44">
        <f>13955035+51422801</f>
        <v>65377836</v>
      </c>
      <c r="I28" s="44">
        <v>0</v>
      </c>
      <c r="K28" s="44">
        <v>79035291</v>
      </c>
      <c r="M28" s="44">
        <f t="shared" si="0"/>
        <v>9344603</v>
      </c>
      <c r="O28" s="44">
        <v>12390631</v>
      </c>
      <c r="Q28" s="44">
        <v>21735234</v>
      </c>
      <c r="S28" s="44">
        <v>53184519</v>
      </c>
      <c r="U28" s="44">
        <f>680940+2096437</f>
        <v>2777377</v>
      </c>
      <c r="W28" s="44">
        <v>1338161</v>
      </c>
      <c r="Y28" s="44">
        <f t="shared" si="3"/>
        <v>57300057</v>
      </c>
      <c r="AB28" s="44">
        <f t="shared" si="1"/>
        <v>0</v>
      </c>
    </row>
    <row r="29" spans="1:28" ht="12.75" customHeight="1">
      <c r="A29" s="44" t="s">
        <v>42</v>
      </c>
      <c r="C29" s="44" t="s">
        <v>43</v>
      </c>
      <c r="E29" s="44">
        <f t="shared" si="2"/>
        <v>12925317</v>
      </c>
      <c r="G29" s="44">
        <f>90500+10190078</f>
        <v>10280578</v>
      </c>
      <c r="I29" s="44">
        <v>0</v>
      </c>
      <c r="K29" s="44">
        <v>23205895</v>
      </c>
      <c r="M29" s="44">
        <f t="shared" si="0"/>
        <v>2974206</v>
      </c>
      <c r="O29" s="44">
        <v>3774498</v>
      </c>
      <c r="Q29" s="44">
        <v>6748704</v>
      </c>
      <c r="S29" s="44">
        <v>6982065</v>
      </c>
      <c r="U29" s="44">
        <f>85405+319473+577424+430660</f>
        <v>1412962</v>
      </c>
      <c r="W29" s="44">
        <v>8062164</v>
      </c>
      <c r="Y29" s="44">
        <f t="shared" si="3"/>
        <v>16457191</v>
      </c>
      <c r="AB29" s="44">
        <f t="shared" si="1"/>
        <v>0</v>
      </c>
    </row>
    <row r="30" spans="1:28" ht="12.75" customHeight="1">
      <c r="A30" s="44" t="s">
        <v>44</v>
      </c>
      <c r="C30" s="44" t="s">
        <v>45</v>
      </c>
      <c r="E30" s="44">
        <f t="shared" si="2"/>
        <v>34289697</v>
      </c>
      <c r="G30" s="44">
        <f>42054576+41585711</f>
        <v>83640287</v>
      </c>
      <c r="I30" s="44">
        <v>0</v>
      </c>
      <c r="K30" s="44">
        <v>117929984</v>
      </c>
      <c r="M30" s="44">
        <f t="shared" si="0"/>
        <v>8547293</v>
      </c>
      <c r="O30" s="44">
        <v>48069064</v>
      </c>
      <c r="Q30" s="44">
        <v>56616357</v>
      </c>
      <c r="S30" s="44">
        <v>41228022</v>
      </c>
      <c r="U30" s="44">
        <f>324743+1201061+816980+314472</f>
        <v>2657256</v>
      </c>
      <c r="W30" s="44">
        <v>17428349</v>
      </c>
      <c r="Y30" s="44">
        <f t="shared" si="3"/>
        <v>61313627</v>
      </c>
      <c r="AB30" s="44">
        <f t="shared" si="1"/>
        <v>0</v>
      </c>
    </row>
    <row r="31" spans="1:28" ht="12.75" customHeight="1">
      <c r="A31" s="44" t="s">
        <v>46</v>
      </c>
      <c r="C31" s="44" t="s">
        <v>47</v>
      </c>
      <c r="E31" s="44">
        <f t="shared" si="2"/>
        <v>30145833</v>
      </c>
      <c r="G31" s="44">
        <f>41798839+3374627</f>
        <v>45173466</v>
      </c>
      <c r="I31" s="44">
        <v>0</v>
      </c>
      <c r="K31" s="44">
        <v>75319299</v>
      </c>
      <c r="M31" s="44">
        <f t="shared" si="0"/>
        <v>6259293</v>
      </c>
      <c r="O31" s="44">
        <v>22899952</v>
      </c>
      <c r="Q31" s="44">
        <v>29159245</v>
      </c>
      <c r="S31" s="44">
        <v>35200027</v>
      </c>
      <c r="U31" s="44">
        <f>632540+11183345+923816+853437+1362356+1134648+740523</f>
        <v>16830665</v>
      </c>
      <c r="W31" s="44">
        <v>-5870638</v>
      </c>
      <c r="Y31" s="44">
        <f t="shared" si="3"/>
        <v>46160054</v>
      </c>
      <c r="AB31" s="44">
        <f t="shared" si="1"/>
        <v>0</v>
      </c>
    </row>
    <row r="32" spans="1:28" ht="12.75" customHeight="1">
      <c r="A32" s="44" t="s">
        <v>48</v>
      </c>
      <c r="C32" s="44" t="s">
        <v>27</v>
      </c>
      <c r="E32" s="44">
        <f t="shared" si="2"/>
        <v>32302459</v>
      </c>
      <c r="G32" s="44">
        <f>12803802+64240662</f>
        <v>77044464</v>
      </c>
      <c r="I32" s="44">
        <v>105330</v>
      </c>
      <c r="K32" s="44">
        <v>109452253</v>
      </c>
      <c r="M32" s="44">
        <f t="shared" si="0"/>
        <v>10996491</v>
      </c>
      <c r="O32" s="44">
        <v>15889300</v>
      </c>
      <c r="Q32" s="44">
        <v>26885791</v>
      </c>
      <c r="S32" s="44">
        <v>60553136</v>
      </c>
      <c r="U32" s="44">
        <f>5991605+4811900+375265+282524+876258+1296150</f>
        <v>13633702</v>
      </c>
      <c r="W32" s="44">
        <v>8379624</v>
      </c>
      <c r="Y32" s="44">
        <f t="shared" si="3"/>
        <v>82566462</v>
      </c>
      <c r="AB32" s="44">
        <f t="shared" si="1"/>
        <v>0</v>
      </c>
    </row>
    <row r="33" spans="1:47" ht="12.75" customHeight="1">
      <c r="A33" s="44" t="s">
        <v>49</v>
      </c>
      <c r="C33" s="44" t="s">
        <v>27</v>
      </c>
      <c r="E33" s="44">
        <f t="shared" si="2"/>
        <v>21838398</v>
      </c>
      <c r="G33" s="44">
        <f>3930440+30364464</f>
        <v>34294904</v>
      </c>
      <c r="I33" s="44">
        <v>0</v>
      </c>
      <c r="K33" s="44">
        <v>56133302</v>
      </c>
      <c r="M33" s="44">
        <f t="shared" si="0"/>
        <v>7263573</v>
      </c>
      <c r="O33" s="44">
        <v>12820555</v>
      </c>
      <c r="Q33" s="44">
        <v>20084128</v>
      </c>
      <c r="S33" s="44">
        <v>21927356</v>
      </c>
      <c r="U33" s="44">
        <f>1040236+7832296+2156644</f>
        <v>11029176</v>
      </c>
      <c r="W33" s="44">
        <v>3092642</v>
      </c>
      <c r="Y33" s="44">
        <f t="shared" si="3"/>
        <v>36049174</v>
      </c>
      <c r="AB33" s="44">
        <f t="shared" si="1"/>
        <v>0</v>
      </c>
    </row>
    <row r="34" spans="1:47" ht="12.75" customHeight="1">
      <c r="A34" s="44" t="s">
        <v>50</v>
      </c>
      <c r="C34" s="44" t="s">
        <v>27</v>
      </c>
      <c r="E34" s="44">
        <f t="shared" si="2"/>
        <v>31797314</v>
      </c>
      <c r="G34" s="44">
        <f>8827482+49422368</f>
        <v>58249850</v>
      </c>
      <c r="I34" s="44">
        <v>0</v>
      </c>
      <c r="K34" s="44">
        <v>90047164</v>
      </c>
      <c r="M34" s="44">
        <f t="shared" si="0"/>
        <v>6264415</v>
      </c>
      <c r="O34" s="44">
        <v>3994318</v>
      </c>
      <c r="Q34" s="44">
        <v>10258733</v>
      </c>
      <c r="S34" s="44">
        <v>55327938</v>
      </c>
      <c r="U34" s="44">
        <f>12272001+459559+2094496</f>
        <v>14826056</v>
      </c>
      <c r="W34" s="44">
        <v>9634437</v>
      </c>
      <c r="Y34" s="44">
        <f t="shared" si="3"/>
        <v>79788431</v>
      </c>
      <c r="AB34" s="44">
        <f t="shared" si="1"/>
        <v>0</v>
      </c>
    </row>
    <row r="35" spans="1:47" ht="12.75" customHeight="1">
      <c r="A35" s="44" t="s">
        <v>51</v>
      </c>
      <c r="C35" s="44" t="s">
        <v>27</v>
      </c>
      <c r="E35" s="44">
        <f t="shared" si="2"/>
        <v>13866783</v>
      </c>
      <c r="G35" s="44">
        <f>2904015+28729648</f>
        <v>31633663</v>
      </c>
      <c r="I35" s="44">
        <v>0</v>
      </c>
      <c r="K35" s="44">
        <v>45500446</v>
      </c>
      <c r="M35" s="44">
        <f t="shared" si="0"/>
        <v>5396368</v>
      </c>
      <c r="O35" s="44">
        <v>16522797</v>
      </c>
      <c r="Q35" s="44">
        <v>21919165</v>
      </c>
      <c r="S35" s="44">
        <v>20975883</v>
      </c>
      <c r="U35" s="44">
        <f>1860948+290459+130675+16534+100494+150493</f>
        <v>2549603</v>
      </c>
      <c r="W35" s="44">
        <v>55795</v>
      </c>
      <c r="Y35" s="44">
        <f t="shared" si="3"/>
        <v>23581281</v>
      </c>
      <c r="AB35" s="44">
        <f t="shared" si="1"/>
        <v>0</v>
      </c>
    </row>
    <row r="36" spans="1:47" ht="12.75" customHeight="1">
      <c r="A36" s="44" t="s">
        <v>463</v>
      </c>
      <c r="C36" s="44" t="s">
        <v>66</v>
      </c>
      <c r="E36" s="44">
        <f t="shared" si="2"/>
        <v>5588599</v>
      </c>
      <c r="G36" s="44">
        <v>8763960</v>
      </c>
      <c r="I36" s="44">
        <v>0</v>
      </c>
      <c r="K36" s="44">
        <v>14352559</v>
      </c>
      <c r="M36" s="44">
        <f t="shared" si="0"/>
        <v>2939311</v>
      </c>
      <c r="O36" s="44">
        <v>1452401</v>
      </c>
      <c r="Q36" s="44">
        <v>4391712</v>
      </c>
      <c r="S36" s="44">
        <v>5191654</v>
      </c>
      <c r="U36" s="44">
        <f>3189868+8788+256729</f>
        <v>3455385</v>
      </c>
      <c r="W36" s="44">
        <v>1313808</v>
      </c>
      <c r="Y36" s="44">
        <f t="shared" si="3"/>
        <v>9960847</v>
      </c>
      <c r="AB36" s="44">
        <f t="shared" si="1"/>
        <v>0</v>
      </c>
      <c r="AC36" s="47"/>
      <c r="AD36" s="47"/>
      <c r="AE36" s="47"/>
      <c r="AF36" s="47"/>
      <c r="AG36" s="48"/>
      <c r="AH36" s="47"/>
      <c r="AI36" s="47"/>
      <c r="AJ36" s="47"/>
      <c r="AK36" s="48"/>
      <c r="AL36" s="48"/>
      <c r="AM36" s="48"/>
      <c r="AN36" s="48"/>
      <c r="AO36" s="45"/>
      <c r="AP36" s="45"/>
      <c r="AQ36" s="45"/>
      <c r="AR36" s="45"/>
      <c r="AS36" s="45"/>
      <c r="AT36" s="45"/>
      <c r="AU36" s="45"/>
    </row>
    <row r="37" spans="1:47" ht="12.75" customHeight="1">
      <c r="A37" s="44" t="s">
        <v>52</v>
      </c>
      <c r="C37" s="44" t="s">
        <v>53</v>
      </c>
      <c r="E37" s="44">
        <f t="shared" si="2"/>
        <v>28331769</v>
      </c>
      <c r="G37" s="44">
        <f>8225454+33465613</f>
        <v>41691067</v>
      </c>
      <c r="I37" s="44">
        <v>0</v>
      </c>
      <c r="K37" s="44">
        <v>70022836</v>
      </c>
      <c r="M37" s="44">
        <f t="shared" si="0"/>
        <v>8017216</v>
      </c>
      <c r="O37" s="44">
        <v>9383191</v>
      </c>
      <c r="Q37" s="44">
        <v>17400407</v>
      </c>
      <c r="S37" s="44">
        <v>33070622</v>
      </c>
      <c r="U37" s="44">
        <f>4049522+2584981+674589+1952798+1982049+1179886+410542+306396+247095</f>
        <v>13387858</v>
      </c>
      <c r="W37" s="44">
        <v>6163949</v>
      </c>
      <c r="Y37" s="44">
        <f t="shared" si="3"/>
        <v>52622429</v>
      </c>
      <c r="AB37" s="44">
        <f t="shared" si="1"/>
        <v>0</v>
      </c>
    </row>
    <row r="38" spans="1:47" ht="12.75" customHeight="1">
      <c r="A38" s="44" t="s">
        <v>54</v>
      </c>
      <c r="C38" s="44" t="s">
        <v>55</v>
      </c>
      <c r="E38" s="44">
        <f t="shared" si="2"/>
        <v>18592146</v>
      </c>
      <c r="G38" s="44">
        <v>19736616</v>
      </c>
      <c r="I38" s="44">
        <v>0</v>
      </c>
      <c r="K38" s="44">
        <v>38328762</v>
      </c>
      <c r="M38" s="44">
        <f t="shared" si="0"/>
        <v>4083620</v>
      </c>
      <c r="O38" s="44">
        <v>728575</v>
      </c>
      <c r="Q38" s="44">
        <v>4812195</v>
      </c>
      <c r="S38" s="44">
        <v>17014616</v>
      </c>
      <c r="U38" s="44">
        <f>3701194+34014+11621520</f>
        <v>15356728</v>
      </c>
      <c r="W38" s="44">
        <v>1145223</v>
      </c>
      <c r="Y38" s="44">
        <f t="shared" si="3"/>
        <v>33516567</v>
      </c>
      <c r="AB38" s="44">
        <f t="shared" si="1"/>
        <v>0</v>
      </c>
    </row>
    <row r="39" spans="1:47" ht="12.75" customHeight="1">
      <c r="A39" s="44" t="s">
        <v>56</v>
      </c>
      <c r="C39" s="44" t="s">
        <v>57</v>
      </c>
      <c r="E39" s="44">
        <f t="shared" si="2"/>
        <v>7858900</v>
      </c>
      <c r="G39" s="44">
        <f>1032486+14126829</f>
        <v>15159315</v>
      </c>
      <c r="I39" s="44">
        <v>0</v>
      </c>
      <c r="K39" s="44">
        <v>23018215</v>
      </c>
      <c r="M39" s="44">
        <f t="shared" si="0"/>
        <v>1560672</v>
      </c>
      <c r="O39" s="44">
        <v>1114893</v>
      </c>
      <c r="Q39" s="44">
        <v>2675565</v>
      </c>
      <c r="S39" s="44">
        <v>14812347</v>
      </c>
      <c r="U39" s="44">
        <f>588199+2069273+555985</f>
        <v>3213457</v>
      </c>
      <c r="W39" s="44">
        <v>2316846</v>
      </c>
      <c r="Y39" s="44">
        <f t="shared" si="3"/>
        <v>20342650</v>
      </c>
      <c r="AB39" s="44">
        <f t="shared" si="1"/>
        <v>0</v>
      </c>
    </row>
    <row r="40" spans="1:47" ht="12.75" customHeight="1">
      <c r="A40" s="44" t="s">
        <v>58</v>
      </c>
      <c r="C40" s="44" t="s">
        <v>59</v>
      </c>
      <c r="E40" s="44">
        <f t="shared" si="2"/>
        <v>9237394</v>
      </c>
      <c r="G40" s="44">
        <f>261241+3761922+9603243</f>
        <v>13626406</v>
      </c>
      <c r="I40" s="44">
        <v>0</v>
      </c>
      <c r="K40" s="44">
        <v>22863800</v>
      </c>
      <c r="M40" s="44">
        <f t="shared" si="0"/>
        <v>2907422</v>
      </c>
      <c r="O40" s="44">
        <v>1644893</v>
      </c>
      <c r="Q40" s="44">
        <v>4552315</v>
      </c>
      <c r="S40" s="44">
        <v>12772392</v>
      </c>
      <c r="U40" s="44">
        <f>157122+242987+3215063</f>
        <v>3615172</v>
      </c>
      <c r="W40" s="44">
        <v>1923921</v>
      </c>
      <c r="Y40" s="44">
        <f t="shared" si="3"/>
        <v>18311485</v>
      </c>
      <c r="AB40" s="44">
        <f t="shared" si="1"/>
        <v>0</v>
      </c>
    </row>
    <row r="41" spans="1:47" s="137" customFormat="1" ht="12.75" hidden="1" customHeight="1">
      <c r="A41" s="137" t="s">
        <v>477</v>
      </c>
      <c r="B41" s="138"/>
      <c r="C41" s="137" t="s">
        <v>15</v>
      </c>
      <c r="D41" s="138"/>
      <c r="E41" s="137">
        <f>+K41-G41-I41</f>
        <v>0</v>
      </c>
      <c r="G41" s="137">
        <v>0</v>
      </c>
      <c r="I41" s="137">
        <v>0</v>
      </c>
      <c r="K41" s="137">
        <v>0</v>
      </c>
      <c r="M41" s="137">
        <f>+Q41-O41</f>
        <v>0</v>
      </c>
      <c r="O41" s="137">
        <v>0</v>
      </c>
      <c r="Q41" s="137">
        <v>0</v>
      </c>
      <c r="S41" s="137">
        <v>0</v>
      </c>
      <c r="U41" s="137">
        <v>0</v>
      </c>
      <c r="W41" s="137">
        <v>0</v>
      </c>
      <c r="Y41" s="137">
        <f t="shared" si="3"/>
        <v>0</v>
      </c>
      <c r="AB41" s="137">
        <f>+K41-Q41-Y41</f>
        <v>0</v>
      </c>
    </row>
    <row r="42" spans="1:47" s="137" customFormat="1" ht="12.75" hidden="1" customHeight="1">
      <c r="A42" s="137" t="s">
        <v>60</v>
      </c>
      <c r="B42" s="138"/>
      <c r="C42" s="137" t="s">
        <v>61</v>
      </c>
      <c r="D42" s="138"/>
      <c r="E42" s="137">
        <f>+K42-G42-I42</f>
        <v>0</v>
      </c>
      <c r="G42" s="137">
        <v>0</v>
      </c>
      <c r="I42" s="137">
        <v>0</v>
      </c>
      <c r="K42" s="137">
        <v>0</v>
      </c>
      <c r="M42" s="137">
        <f t="shared" si="0"/>
        <v>0</v>
      </c>
      <c r="O42" s="137">
        <v>0</v>
      </c>
      <c r="Q42" s="137">
        <v>0</v>
      </c>
      <c r="S42" s="137">
        <v>0</v>
      </c>
      <c r="U42" s="137">
        <v>0</v>
      </c>
      <c r="W42" s="137">
        <v>0</v>
      </c>
      <c r="Y42" s="137">
        <f t="shared" si="3"/>
        <v>0</v>
      </c>
      <c r="AB42" s="137">
        <f t="shared" si="1"/>
        <v>0</v>
      </c>
    </row>
    <row r="43" spans="1:47" ht="12.75" customHeight="1">
      <c r="A43" s="44" t="s">
        <v>62</v>
      </c>
      <c r="C43" s="44" t="s">
        <v>15</v>
      </c>
      <c r="E43" s="44">
        <f>+K43-G43-I43</f>
        <v>72916494</v>
      </c>
      <c r="G43" s="44">
        <v>104737106</v>
      </c>
      <c r="I43" s="44">
        <v>0</v>
      </c>
      <c r="K43" s="44">
        <v>177653600</v>
      </c>
      <c r="M43" s="44">
        <f t="shared" si="0"/>
        <v>17148086</v>
      </c>
      <c r="O43" s="44">
        <v>31674436</v>
      </c>
      <c r="Q43" s="44">
        <v>48822522</v>
      </c>
      <c r="S43" s="44">
        <v>92684219</v>
      </c>
      <c r="U43" s="44">
        <f>15840896+165516+18624339</f>
        <v>34630751</v>
      </c>
      <c r="W43" s="44">
        <v>1516108</v>
      </c>
      <c r="Y43" s="44">
        <f t="shared" si="3"/>
        <v>128831078</v>
      </c>
      <c r="AB43" s="44">
        <f t="shared" si="1"/>
        <v>0</v>
      </c>
    </row>
    <row r="44" spans="1:47" s="137" customFormat="1" ht="12.75" hidden="1" customHeight="1">
      <c r="A44" s="137" t="s">
        <v>486</v>
      </c>
      <c r="B44" s="138"/>
      <c r="C44" s="137" t="s">
        <v>111</v>
      </c>
      <c r="D44" s="138"/>
      <c r="E44" s="137">
        <f>+K44-G44-I44</f>
        <v>0</v>
      </c>
      <c r="G44" s="137">
        <v>0</v>
      </c>
      <c r="I44" s="137">
        <v>0</v>
      </c>
      <c r="K44" s="137">
        <v>0</v>
      </c>
      <c r="M44" s="137">
        <f>+Q44-O44</f>
        <v>0</v>
      </c>
      <c r="O44" s="137">
        <v>0</v>
      </c>
      <c r="Q44" s="137">
        <v>0</v>
      </c>
      <c r="S44" s="137">
        <v>0</v>
      </c>
      <c r="U44" s="137">
        <v>0</v>
      </c>
      <c r="W44" s="137">
        <v>0</v>
      </c>
      <c r="Y44" s="137">
        <f>S44+U44+W44</f>
        <v>0</v>
      </c>
      <c r="AB44" s="137">
        <f>+K44-Q44-Y44</f>
        <v>0</v>
      </c>
    </row>
    <row r="45" spans="1:47" ht="12.75" customHeight="1">
      <c r="A45" s="44" t="s">
        <v>470</v>
      </c>
      <c r="C45" s="44" t="s">
        <v>64</v>
      </c>
      <c r="E45" s="44">
        <f t="shared" si="2"/>
        <v>7381204</v>
      </c>
      <c r="G45" s="44">
        <v>17692196</v>
      </c>
      <c r="I45" s="44">
        <v>0</v>
      </c>
      <c r="K45" s="44">
        <v>25073400</v>
      </c>
      <c r="M45" s="44">
        <f t="shared" si="0"/>
        <v>3861942</v>
      </c>
      <c r="O45" s="44">
        <v>2016030</v>
      </c>
      <c r="Q45" s="44">
        <v>5877972</v>
      </c>
      <c r="S45" s="44">
        <v>15390341</v>
      </c>
      <c r="U45" s="44">
        <v>1872482</v>
      </c>
      <c r="W45" s="44">
        <v>1932605</v>
      </c>
      <c r="Y45" s="44">
        <f t="shared" si="3"/>
        <v>19195428</v>
      </c>
      <c r="AB45" s="44">
        <f t="shared" si="1"/>
        <v>0</v>
      </c>
    </row>
    <row r="46" spans="1:47" ht="12.75" customHeight="1">
      <c r="A46" s="44" t="s">
        <v>65</v>
      </c>
      <c r="C46" s="44" t="s">
        <v>66</v>
      </c>
      <c r="E46" s="44">
        <f t="shared" si="2"/>
        <v>44262004</v>
      </c>
      <c r="G46" s="44">
        <v>36095562</v>
      </c>
      <c r="I46" s="44">
        <v>0</v>
      </c>
      <c r="K46" s="44">
        <v>80357566</v>
      </c>
      <c r="M46" s="44">
        <f t="shared" si="0"/>
        <v>3858670</v>
      </c>
      <c r="O46" s="44">
        <v>21723333</v>
      </c>
      <c r="Q46" s="44">
        <v>25582003</v>
      </c>
      <c r="S46" s="44">
        <v>17894980</v>
      </c>
      <c r="U46" s="44">
        <f>13093661+947245</f>
        <v>14040906</v>
      </c>
      <c r="W46" s="44">
        <v>22839677</v>
      </c>
      <c r="Y46" s="44">
        <f t="shared" si="3"/>
        <v>54775563</v>
      </c>
      <c r="AB46" s="44">
        <f t="shared" si="1"/>
        <v>0</v>
      </c>
    </row>
    <row r="47" spans="1:47" ht="12.75" customHeight="1">
      <c r="A47" s="44" t="s">
        <v>67</v>
      </c>
      <c r="C47" s="44" t="s">
        <v>375</v>
      </c>
      <c r="E47" s="44">
        <f t="shared" si="2"/>
        <v>7196802</v>
      </c>
      <c r="G47" s="44">
        <f>3492517+33070459</f>
        <v>36562976</v>
      </c>
      <c r="I47" s="44">
        <v>0</v>
      </c>
      <c r="K47" s="44">
        <v>43759778</v>
      </c>
      <c r="M47" s="44">
        <f t="shared" si="0"/>
        <v>1905441</v>
      </c>
      <c r="O47" s="44">
        <v>2809842</v>
      </c>
      <c r="Q47" s="44">
        <v>4715283</v>
      </c>
      <c r="S47" s="44">
        <v>33818162</v>
      </c>
      <c r="U47" s="44">
        <f>842+679988</f>
        <v>680830</v>
      </c>
      <c r="W47" s="44">
        <v>4545503</v>
      </c>
      <c r="Y47" s="44">
        <f t="shared" si="3"/>
        <v>39044495</v>
      </c>
      <c r="AB47" s="44">
        <f t="shared" si="1"/>
        <v>0</v>
      </c>
    </row>
    <row r="48" spans="1:47" ht="12.75" customHeight="1">
      <c r="A48" s="44" t="s">
        <v>68</v>
      </c>
      <c r="C48" s="44" t="s">
        <v>45</v>
      </c>
      <c r="E48" s="44">
        <f t="shared" si="2"/>
        <v>3385843</v>
      </c>
      <c r="G48" s="44">
        <f>143466+2550646</f>
        <v>2694112</v>
      </c>
      <c r="I48" s="44">
        <v>0</v>
      </c>
      <c r="K48" s="44">
        <v>6079955</v>
      </c>
      <c r="M48" s="44">
        <f t="shared" si="0"/>
        <v>1547595</v>
      </c>
      <c r="O48" s="44">
        <v>244945</v>
      </c>
      <c r="Q48" s="44">
        <v>1792540</v>
      </c>
      <c r="S48" s="44">
        <v>2527411</v>
      </c>
      <c r="U48" s="44">
        <f>566962+16316+430147</f>
        <v>1013425</v>
      </c>
      <c r="W48" s="44">
        <v>746579</v>
      </c>
      <c r="Y48" s="44">
        <f t="shared" si="3"/>
        <v>4287415</v>
      </c>
      <c r="AB48" s="44">
        <f t="shared" si="1"/>
        <v>0</v>
      </c>
    </row>
    <row r="49" spans="1:29" ht="12.75" customHeight="1">
      <c r="A49" s="44" t="s">
        <v>69</v>
      </c>
      <c r="C49" s="44" t="s">
        <v>70</v>
      </c>
      <c r="E49" s="44">
        <f t="shared" si="2"/>
        <v>11222852</v>
      </c>
      <c r="G49" s="44">
        <f>6641050+35169545</f>
        <v>41810595</v>
      </c>
      <c r="I49" s="44">
        <v>0</v>
      </c>
      <c r="K49" s="44">
        <v>53033447</v>
      </c>
      <c r="M49" s="44">
        <f t="shared" si="0"/>
        <v>5311353</v>
      </c>
      <c r="O49" s="44">
        <v>3330221</v>
      </c>
      <c r="Q49" s="44">
        <v>8641574</v>
      </c>
      <c r="S49" s="44">
        <v>39625809</v>
      </c>
      <c r="U49" s="44">
        <f>749643+355957+500525+210363+1896031+2107+1000</f>
        <v>3715626</v>
      </c>
      <c r="W49" s="44">
        <v>1050438</v>
      </c>
      <c r="Y49" s="44">
        <f t="shared" si="3"/>
        <v>44391873</v>
      </c>
      <c r="AB49" s="44">
        <f t="shared" si="1"/>
        <v>0</v>
      </c>
    </row>
    <row r="50" spans="1:29" ht="12.75" customHeight="1">
      <c r="A50" s="44" t="s">
        <v>71</v>
      </c>
      <c r="C50" s="44" t="s">
        <v>45</v>
      </c>
      <c r="E50" s="44">
        <f t="shared" si="2"/>
        <v>1207020000</v>
      </c>
      <c r="G50" s="44">
        <f>470000+375072000</f>
        <v>375542000</v>
      </c>
      <c r="I50" s="44">
        <v>0</v>
      </c>
      <c r="K50" s="44">
        <v>1582562000</v>
      </c>
      <c r="M50" s="44">
        <f t="shared" si="0"/>
        <v>241980000</v>
      </c>
      <c r="O50" s="44">
        <v>460221000</v>
      </c>
      <c r="Q50" s="44">
        <v>702201000</v>
      </c>
      <c r="S50" s="44">
        <v>640354000</v>
      </c>
      <c r="U50" s="44">
        <f>34716000+66454000+46633000+656000+8528000</f>
        <v>156987000</v>
      </c>
      <c r="W50" s="44">
        <v>83020000</v>
      </c>
      <c r="Y50" s="44">
        <f t="shared" si="3"/>
        <v>880361000</v>
      </c>
      <c r="AB50" s="44">
        <f t="shared" si="1"/>
        <v>0</v>
      </c>
    </row>
    <row r="51" spans="1:29" ht="12.75" customHeight="1">
      <c r="A51" s="44" t="s">
        <v>464</v>
      </c>
      <c r="C51" s="44" t="s">
        <v>465</v>
      </c>
      <c r="E51" s="44">
        <f t="shared" si="2"/>
        <v>8952347</v>
      </c>
      <c r="G51" s="44">
        <f>1411693+21938271</f>
        <v>23349964</v>
      </c>
      <c r="I51" s="44">
        <v>0</v>
      </c>
      <c r="K51" s="44">
        <v>32302311</v>
      </c>
      <c r="M51" s="44">
        <f t="shared" si="0"/>
        <v>2541906</v>
      </c>
      <c r="O51" s="44">
        <v>4172559</v>
      </c>
      <c r="Q51" s="44">
        <v>6714465</v>
      </c>
      <c r="S51" s="44">
        <v>19908929</v>
      </c>
      <c r="U51" s="44">
        <f>1440396+154944+878739+577719+195034+437909</f>
        <v>3684741</v>
      </c>
      <c r="W51" s="44">
        <v>1994176</v>
      </c>
      <c r="Y51" s="44">
        <f t="shared" si="3"/>
        <v>25587846</v>
      </c>
      <c r="AB51" s="44">
        <f>+K51-Q51-Y51</f>
        <v>0</v>
      </c>
    </row>
    <row r="52" spans="1:29" ht="12.75" customHeight="1">
      <c r="A52" s="44" t="s">
        <v>72</v>
      </c>
      <c r="C52" s="44" t="s">
        <v>66</v>
      </c>
      <c r="E52" s="44">
        <f t="shared" si="2"/>
        <v>7838672</v>
      </c>
      <c r="G52" s="44">
        <f>3973450+4383332</f>
        <v>8356782</v>
      </c>
      <c r="I52" s="44">
        <v>0</v>
      </c>
      <c r="K52" s="44">
        <v>16195454</v>
      </c>
      <c r="M52" s="44">
        <f t="shared" si="0"/>
        <v>3090985</v>
      </c>
      <c r="O52" s="44">
        <v>5003475</v>
      </c>
      <c r="Q52" s="44">
        <v>8094460</v>
      </c>
      <c r="S52" s="44">
        <v>3399360</v>
      </c>
      <c r="U52" s="44">
        <f>780262+302823+629960+20607+489340</f>
        <v>2222992</v>
      </c>
      <c r="W52" s="44">
        <v>2478642</v>
      </c>
      <c r="Y52" s="44">
        <f t="shared" si="3"/>
        <v>8100994</v>
      </c>
      <c r="AB52" s="44">
        <f t="shared" si="1"/>
        <v>0</v>
      </c>
    </row>
    <row r="53" spans="1:29" ht="12.75" customHeight="1">
      <c r="A53" s="44" t="s">
        <v>73</v>
      </c>
      <c r="C53" s="44" t="s">
        <v>27</v>
      </c>
      <c r="E53" s="44">
        <f t="shared" si="2"/>
        <v>710796000</v>
      </c>
      <c r="G53" s="44">
        <v>918633000</v>
      </c>
      <c r="I53" s="44">
        <v>0</v>
      </c>
      <c r="K53" s="44">
        <v>1629429000</v>
      </c>
      <c r="M53" s="44">
        <f t="shared" si="0"/>
        <v>306935000</v>
      </c>
      <c r="O53" s="44">
        <v>682555000</v>
      </c>
      <c r="Q53" s="44">
        <v>989490000</v>
      </c>
      <c r="S53" s="44">
        <v>407548000</v>
      </c>
      <c r="U53" s="44">
        <f>77210000+28532000+158030000+28249000</f>
        <v>292021000</v>
      </c>
      <c r="W53" s="44">
        <v>-59630000</v>
      </c>
      <c r="Y53" s="44">
        <f t="shared" si="3"/>
        <v>639939000</v>
      </c>
      <c r="AB53" s="44">
        <f t="shared" si="1"/>
        <v>0</v>
      </c>
    </row>
    <row r="54" spans="1:29" ht="12.75" customHeight="1">
      <c r="A54" s="44" t="s">
        <v>74</v>
      </c>
      <c r="C54" s="44" t="s">
        <v>27</v>
      </c>
      <c r="E54" s="44">
        <f t="shared" si="2"/>
        <v>39837994</v>
      </c>
      <c r="G54" s="44">
        <f>4741282+62466532</f>
        <v>67207814</v>
      </c>
      <c r="I54" s="44">
        <v>0</v>
      </c>
      <c r="K54" s="44">
        <v>107045808</v>
      </c>
      <c r="M54" s="44">
        <f t="shared" si="0"/>
        <v>21042767</v>
      </c>
      <c r="O54" s="44">
        <v>22043809</v>
      </c>
      <c r="Q54" s="44">
        <v>43086576</v>
      </c>
      <c r="S54" s="44">
        <v>47989231</v>
      </c>
      <c r="U54" s="44">
        <f>2869545+1310756+1476300+2106017+1571300</f>
        <v>9333918</v>
      </c>
      <c r="W54" s="44">
        <v>6636083</v>
      </c>
      <c r="Y54" s="44">
        <f t="shared" si="3"/>
        <v>63959232</v>
      </c>
      <c r="AB54" s="44">
        <f t="shared" si="1"/>
        <v>0</v>
      </c>
      <c r="AC54" s="47"/>
    </row>
    <row r="55" spans="1:29" ht="12.75" customHeight="1">
      <c r="A55" s="44" t="s">
        <v>75</v>
      </c>
      <c r="C55" s="44" t="s">
        <v>76</v>
      </c>
      <c r="E55" s="44">
        <f t="shared" si="2"/>
        <v>5531879</v>
      </c>
      <c r="G55" s="44">
        <v>16176081</v>
      </c>
      <c r="I55" s="44">
        <v>0</v>
      </c>
      <c r="K55" s="44">
        <v>21707960</v>
      </c>
      <c r="M55" s="44">
        <f t="shared" si="0"/>
        <v>2764619</v>
      </c>
      <c r="O55" s="44">
        <v>3632085</v>
      </c>
      <c r="Q55" s="44">
        <v>6396704</v>
      </c>
      <c r="S55" s="44">
        <v>12069063</v>
      </c>
      <c r="U55" s="44">
        <f>577010+644443+80116+78219</f>
        <v>1379788</v>
      </c>
      <c r="W55" s="44">
        <v>1862405</v>
      </c>
      <c r="Y55" s="44">
        <f t="shared" si="3"/>
        <v>15311256</v>
      </c>
      <c r="AB55" s="44">
        <f t="shared" si="1"/>
        <v>0</v>
      </c>
    </row>
    <row r="56" spans="1:29" ht="12.75" customHeight="1">
      <c r="A56" s="44" t="s">
        <v>77</v>
      </c>
      <c r="C56" s="44" t="s">
        <v>469</v>
      </c>
      <c r="E56" s="44">
        <f t="shared" si="2"/>
        <v>898660000</v>
      </c>
      <c r="G56" s="44">
        <f>248237000+1425014000</f>
        <v>1673251000</v>
      </c>
      <c r="I56" s="44">
        <v>0</v>
      </c>
      <c r="K56" s="44">
        <v>2571911000</v>
      </c>
      <c r="M56" s="44">
        <f t="shared" si="0"/>
        <v>338421000</v>
      </c>
      <c r="O56" s="44">
        <f>21627000+2000000+5044000+959154000</f>
        <v>987825000</v>
      </c>
      <c r="Q56" s="44">
        <v>1326246000</v>
      </c>
      <c r="S56" s="44">
        <v>890192000</v>
      </c>
      <c r="U56" s="44">
        <f>172685000+61152000</f>
        <v>233837000</v>
      </c>
      <c r="W56" s="44">
        <v>121636000</v>
      </c>
      <c r="Y56" s="44">
        <f t="shared" si="3"/>
        <v>1245665000</v>
      </c>
      <c r="AB56" s="44">
        <f t="shared" si="1"/>
        <v>0</v>
      </c>
    </row>
    <row r="57" spans="1:29" ht="12.75" customHeight="1">
      <c r="A57" s="44" t="s">
        <v>94</v>
      </c>
      <c r="C57" s="44" t="s">
        <v>94</v>
      </c>
      <c r="E57" s="44">
        <f>+K57-G57-I57</f>
        <v>3327324</v>
      </c>
      <c r="G57" s="44">
        <v>3762675</v>
      </c>
      <c r="I57" s="44">
        <v>0</v>
      </c>
      <c r="K57" s="44">
        <v>7089999</v>
      </c>
      <c r="M57" s="44">
        <f>+Q57-O57</f>
        <v>829222</v>
      </c>
      <c r="O57" s="44">
        <v>28819</v>
      </c>
      <c r="Q57" s="44">
        <v>858041</v>
      </c>
      <c r="S57" s="44">
        <v>3762675</v>
      </c>
      <c r="U57" s="44">
        <f>839769+95230+933637</f>
        <v>1868636</v>
      </c>
      <c r="W57" s="44">
        <v>600647</v>
      </c>
      <c r="Y57" s="44">
        <f t="shared" si="3"/>
        <v>6231958</v>
      </c>
      <c r="AB57" s="44">
        <f>+K57-Q57-Y57</f>
        <v>0</v>
      </c>
    </row>
    <row r="58" spans="1:29" ht="12.75" customHeight="1">
      <c r="A58" s="44" t="s">
        <v>78</v>
      </c>
      <c r="C58" s="44" t="s">
        <v>19</v>
      </c>
      <c r="E58" s="44">
        <f t="shared" si="2"/>
        <v>7617426</v>
      </c>
      <c r="G58" s="44">
        <f>559303+18287845</f>
        <v>18847148</v>
      </c>
      <c r="I58" s="44">
        <v>0</v>
      </c>
      <c r="K58" s="44">
        <v>26464574</v>
      </c>
      <c r="M58" s="44">
        <f t="shared" si="0"/>
        <v>2658253</v>
      </c>
      <c r="O58" s="44">
        <v>3425177</v>
      </c>
      <c r="Q58" s="44">
        <v>6083430</v>
      </c>
      <c r="S58" s="44">
        <v>17632445</v>
      </c>
      <c r="U58" s="44">
        <f>328198+876328+239971+53730+324232+246531+575357</f>
        <v>2644347</v>
      </c>
      <c r="W58" s="44">
        <v>104352</v>
      </c>
      <c r="Y58" s="44">
        <f t="shared" si="3"/>
        <v>20381144</v>
      </c>
      <c r="AB58" s="44">
        <f t="shared" si="1"/>
        <v>0</v>
      </c>
    </row>
    <row r="59" spans="1:29" ht="12.75" customHeight="1">
      <c r="A59" s="44" t="s">
        <v>79</v>
      </c>
      <c r="C59" s="44" t="s">
        <v>80</v>
      </c>
      <c r="E59" s="44">
        <f t="shared" si="2"/>
        <v>4299932</v>
      </c>
      <c r="G59" s="44">
        <f>17576+2707177</f>
        <v>2724753</v>
      </c>
      <c r="I59" s="44">
        <v>0</v>
      </c>
      <c r="K59" s="44">
        <v>7024685</v>
      </c>
      <c r="M59" s="44">
        <f t="shared" si="0"/>
        <v>2497611</v>
      </c>
      <c r="O59" s="44">
        <v>203040</v>
      </c>
      <c r="Q59" s="44">
        <v>2700651</v>
      </c>
      <c r="S59" s="44">
        <v>2724753</v>
      </c>
      <c r="U59" s="44">
        <f>15993+292754+335500+364359+62498</f>
        <v>1071104</v>
      </c>
      <c r="W59" s="44">
        <v>528177</v>
      </c>
      <c r="Y59" s="44">
        <f t="shared" si="3"/>
        <v>4324034</v>
      </c>
      <c r="AB59" s="44">
        <f t="shared" si="1"/>
        <v>0</v>
      </c>
    </row>
    <row r="60" spans="1:29" ht="12.75" customHeight="1">
      <c r="A60" s="44" t="s">
        <v>81</v>
      </c>
      <c r="C60" s="44" t="s">
        <v>81</v>
      </c>
      <c r="E60" s="44">
        <f t="shared" si="2"/>
        <v>4077731</v>
      </c>
      <c r="G60" s="44">
        <v>5937013</v>
      </c>
      <c r="I60" s="44">
        <v>0</v>
      </c>
      <c r="K60" s="44">
        <v>10014744</v>
      </c>
      <c r="M60" s="44">
        <f t="shared" si="0"/>
        <v>1449234</v>
      </c>
      <c r="O60" s="44">
        <v>922174</v>
      </c>
      <c r="Q60" s="44">
        <v>2371408</v>
      </c>
      <c r="S60" s="44">
        <v>5560507</v>
      </c>
      <c r="U60" s="44">
        <f>667761+80579+132442+250000+224155+208186+267022+471066</f>
        <v>2301211</v>
      </c>
      <c r="W60" s="44">
        <v>-218382</v>
      </c>
      <c r="Y60" s="44">
        <f t="shared" si="3"/>
        <v>7643336</v>
      </c>
      <c r="AB60" s="44">
        <f t="shared" si="1"/>
        <v>0</v>
      </c>
    </row>
    <row r="61" spans="1:29" ht="12.75" customHeight="1">
      <c r="A61" s="47" t="s">
        <v>466</v>
      </c>
      <c r="C61" s="47" t="s">
        <v>57</v>
      </c>
      <c r="E61" s="44">
        <f t="shared" si="2"/>
        <v>2273860</v>
      </c>
      <c r="G61" s="44">
        <v>5221505</v>
      </c>
      <c r="I61" s="44">
        <v>0</v>
      </c>
      <c r="K61" s="44">
        <v>7495365</v>
      </c>
      <c r="M61" s="44">
        <f t="shared" si="0"/>
        <v>551663</v>
      </c>
      <c r="O61" s="44">
        <v>267906</v>
      </c>
      <c r="Q61" s="44">
        <v>819569</v>
      </c>
      <c r="S61" s="44">
        <v>5091505</v>
      </c>
      <c r="U61" s="44">
        <f>603548+113010+286237+45210+180815</f>
        <v>1228820</v>
      </c>
      <c r="W61" s="44">
        <v>355471</v>
      </c>
      <c r="Y61" s="44">
        <f t="shared" si="3"/>
        <v>6675796</v>
      </c>
      <c r="AB61" s="44">
        <f>+K61-Q61-Y61</f>
        <v>0</v>
      </c>
    </row>
    <row r="62" spans="1:29" ht="12.75" customHeight="1">
      <c r="A62" s="44" t="s">
        <v>82</v>
      </c>
      <c r="C62" s="44" t="s">
        <v>13</v>
      </c>
      <c r="E62" s="44">
        <f t="shared" si="2"/>
        <v>43724307</v>
      </c>
      <c r="G62" s="44">
        <f>12054761+74672875</f>
        <v>86727636</v>
      </c>
      <c r="I62" s="44">
        <v>0</v>
      </c>
      <c r="K62" s="44">
        <v>130451943</v>
      </c>
      <c r="M62" s="44">
        <f t="shared" si="0"/>
        <v>20773185</v>
      </c>
      <c r="O62" s="44">
        <f>4123451+485853+2446264+7109319</f>
        <v>14164887</v>
      </c>
      <c r="Q62" s="44">
        <v>34938072</v>
      </c>
      <c r="S62" s="44">
        <v>72851175</v>
      </c>
      <c r="U62" s="44">
        <f>7666526+187018+7717100+211778</f>
        <v>15782422</v>
      </c>
      <c r="W62" s="44">
        <v>6880274</v>
      </c>
      <c r="Y62" s="44">
        <f t="shared" si="3"/>
        <v>95513871</v>
      </c>
      <c r="AB62" s="44">
        <f t="shared" si="1"/>
        <v>0</v>
      </c>
    </row>
    <row r="63" spans="1:29" ht="12.75" customHeight="1">
      <c r="A63" s="44" t="s">
        <v>83</v>
      </c>
      <c r="C63" s="44" t="s">
        <v>66</v>
      </c>
      <c r="E63" s="44">
        <f t="shared" si="2"/>
        <v>182374476</v>
      </c>
      <c r="G63" s="44">
        <v>322388096</v>
      </c>
      <c r="I63" s="44">
        <v>0</v>
      </c>
      <c r="K63" s="44">
        <v>504762572</v>
      </c>
      <c r="M63" s="44">
        <f t="shared" si="0"/>
        <v>48644983</v>
      </c>
      <c r="O63" s="44">
        <v>77629248</v>
      </c>
      <c r="Q63" s="44">
        <v>126274231</v>
      </c>
      <c r="S63" s="44">
        <v>272261647</v>
      </c>
      <c r="U63" s="44">
        <f>80047+102228+15417614+19052283+4517000+10971944+6127374+6139333</f>
        <v>62407823</v>
      </c>
      <c r="W63" s="44">
        <v>43818871</v>
      </c>
      <c r="Y63" s="44">
        <f t="shared" si="3"/>
        <v>378488341</v>
      </c>
      <c r="AB63" s="44">
        <f t="shared" si="1"/>
        <v>0</v>
      </c>
    </row>
    <row r="64" spans="1:29" s="137" customFormat="1" ht="12.75" hidden="1" customHeight="1">
      <c r="A64" s="137" t="s">
        <v>84</v>
      </c>
      <c r="B64" s="138"/>
      <c r="C64" s="137" t="s">
        <v>45</v>
      </c>
      <c r="D64" s="138"/>
      <c r="E64" s="137">
        <f t="shared" si="2"/>
        <v>0</v>
      </c>
      <c r="G64" s="137">
        <v>0</v>
      </c>
      <c r="I64" s="137">
        <v>0</v>
      </c>
      <c r="K64" s="137">
        <v>0</v>
      </c>
      <c r="M64" s="137">
        <f t="shared" si="0"/>
        <v>0</v>
      </c>
      <c r="O64" s="137">
        <v>0</v>
      </c>
      <c r="Q64" s="137">
        <v>0</v>
      </c>
      <c r="S64" s="137">
        <v>0</v>
      </c>
      <c r="U64" s="137">
        <v>0</v>
      </c>
      <c r="W64" s="137">
        <v>0</v>
      </c>
      <c r="Y64" s="137">
        <f t="shared" si="3"/>
        <v>0</v>
      </c>
      <c r="AB64" s="137">
        <f t="shared" si="1"/>
        <v>0</v>
      </c>
    </row>
    <row r="65" spans="1:28" ht="12.75" customHeight="1">
      <c r="A65" s="44" t="s">
        <v>85</v>
      </c>
      <c r="C65" s="44" t="s">
        <v>85</v>
      </c>
      <c r="E65" s="44">
        <f t="shared" si="2"/>
        <v>12939782</v>
      </c>
      <c r="G65" s="44">
        <v>14517782</v>
      </c>
      <c r="I65" s="44">
        <v>0</v>
      </c>
      <c r="K65" s="44">
        <v>27457564</v>
      </c>
      <c r="M65" s="44">
        <f t="shared" si="0"/>
        <v>1993855</v>
      </c>
      <c r="O65" s="44">
        <v>766016</v>
      </c>
      <c r="Q65" s="44">
        <v>2759871</v>
      </c>
      <c r="S65" s="44">
        <v>0</v>
      </c>
      <c r="U65" s="44">
        <f>967504+1194515+706547+400250+551384+130221+1826439+19564+34995+126454</f>
        <v>5957873</v>
      </c>
      <c r="W65" s="44">
        <v>18739820</v>
      </c>
      <c r="Y65" s="44">
        <f t="shared" si="3"/>
        <v>24697693</v>
      </c>
      <c r="AB65" s="44">
        <f t="shared" si="1"/>
        <v>0</v>
      </c>
    </row>
    <row r="66" spans="1:28" ht="12.75" customHeight="1">
      <c r="A66" s="44" t="s">
        <v>86</v>
      </c>
      <c r="C66" s="44" t="s">
        <v>86</v>
      </c>
      <c r="E66" s="44">
        <f t="shared" si="2"/>
        <v>30683659</v>
      </c>
      <c r="G66" s="44">
        <f>10382146+53777252</f>
        <v>64159398</v>
      </c>
      <c r="I66" s="44">
        <f>150345+12105</f>
        <v>162450</v>
      </c>
      <c r="K66" s="44">
        <v>95005507</v>
      </c>
      <c r="M66" s="44">
        <f t="shared" si="0"/>
        <v>25432032</v>
      </c>
      <c r="O66" s="44">
        <v>11739976</v>
      </c>
      <c r="Q66" s="44">
        <v>37172008</v>
      </c>
      <c r="S66" s="44">
        <v>39062774</v>
      </c>
      <c r="U66" s="44">
        <f>1561424+32280+3369075+1809795+369607+617813+1848078</f>
        <v>9608072</v>
      </c>
      <c r="W66" s="44">
        <v>9162653</v>
      </c>
      <c r="Y66" s="44">
        <f t="shared" si="3"/>
        <v>57833499</v>
      </c>
      <c r="AB66" s="44">
        <f t="shared" si="1"/>
        <v>0</v>
      </c>
    </row>
    <row r="67" spans="1:28" ht="12.75" customHeight="1">
      <c r="A67" s="46" t="s">
        <v>87</v>
      </c>
      <c r="B67" s="46"/>
      <c r="C67" s="46" t="s">
        <v>88</v>
      </c>
      <c r="D67" s="44"/>
      <c r="E67" s="44">
        <f t="shared" si="2"/>
        <v>2853089</v>
      </c>
      <c r="G67" s="44">
        <f>559260+1824426</f>
        <v>2383686</v>
      </c>
      <c r="I67" s="44">
        <v>0</v>
      </c>
      <c r="K67" s="44">
        <v>5236775</v>
      </c>
      <c r="M67" s="44">
        <f t="shared" si="0"/>
        <v>1043976</v>
      </c>
      <c r="O67" s="44">
        <v>166831</v>
      </c>
      <c r="Q67" s="44">
        <v>1210807</v>
      </c>
      <c r="S67" s="44">
        <v>2383686</v>
      </c>
      <c r="U67" s="44">
        <v>650475</v>
      </c>
      <c r="W67" s="44">
        <v>991807</v>
      </c>
      <c r="Y67" s="44">
        <f t="shared" si="3"/>
        <v>4025968</v>
      </c>
      <c r="Z67" s="46"/>
      <c r="AA67" s="46"/>
      <c r="AB67" s="44">
        <f t="shared" si="1"/>
        <v>0</v>
      </c>
    </row>
    <row r="68" spans="1:28" ht="12.75" customHeight="1">
      <c r="A68" s="44" t="s">
        <v>394</v>
      </c>
      <c r="C68" s="44" t="s">
        <v>89</v>
      </c>
      <c r="E68" s="44">
        <f t="shared" si="2"/>
        <v>8032847</v>
      </c>
      <c r="G68" s="44">
        <f>1837299+14145747</f>
        <v>15983046</v>
      </c>
      <c r="I68" s="44">
        <v>0</v>
      </c>
      <c r="K68" s="44">
        <v>24015893</v>
      </c>
      <c r="M68" s="44">
        <f t="shared" si="0"/>
        <v>2920490</v>
      </c>
      <c r="O68" s="44">
        <v>3243753</v>
      </c>
      <c r="Q68" s="44">
        <v>6164243</v>
      </c>
      <c r="S68" s="44">
        <v>13413046</v>
      </c>
      <c r="U68" s="44">
        <f>662182+851812+132788+497354+2737+36707+1973835</f>
        <v>4157415</v>
      </c>
      <c r="W68" s="44">
        <v>281189</v>
      </c>
      <c r="Y68" s="44">
        <f t="shared" si="3"/>
        <v>17851650</v>
      </c>
      <c r="AB68" s="44">
        <f t="shared" si="1"/>
        <v>0</v>
      </c>
    </row>
    <row r="69" spans="1:28" ht="12.75" customHeight="1">
      <c r="A69" s="44" t="s">
        <v>90</v>
      </c>
      <c r="C69" s="44" t="s">
        <v>43</v>
      </c>
      <c r="E69" s="44">
        <f t="shared" si="2"/>
        <v>120186052</v>
      </c>
      <c r="G69" s="44">
        <f>229584790+121226465</f>
        <v>350811255</v>
      </c>
      <c r="I69" s="44">
        <v>0</v>
      </c>
      <c r="K69" s="44">
        <v>470997307</v>
      </c>
      <c r="M69" s="44">
        <f t="shared" si="0"/>
        <v>56883755</v>
      </c>
      <c r="O69" s="44">
        <v>50353105</v>
      </c>
      <c r="Q69" s="44">
        <v>107236860</v>
      </c>
      <c r="S69" s="44">
        <v>298545838</v>
      </c>
      <c r="U69" s="44">
        <f>8867873+2569924+274797</f>
        <v>11712594</v>
      </c>
      <c r="W69" s="44">
        <v>53502015</v>
      </c>
      <c r="Y69" s="44">
        <f t="shared" si="3"/>
        <v>363760447</v>
      </c>
      <c r="AB69" s="44">
        <f t="shared" si="1"/>
        <v>0</v>
      </c>
    </row>
    <row r="70" spans="1:28" ht="12.75" customHeight="1">
      <c r="A70" s="44" t="s">
        <v>93</v>
      </c>
      <c r="C70" s="44" t="s">
        <v>94</v>
      </c>
      <c r="E70" s="44">
        <f t="shared" si="2"/>
        <v>4678852</v>
      </c>
      <c r="G70" s="44">
        <v>6226465</v>
      </c>
      <c r="I70" s="44">
        <v>0</v>
      </c>
      <c r="K70" s="44">
        <v>10905317</v>
      </c>
      <c r="M70" s="44">
        <f t="shared" si="0"/>
        <v>2203465</v>
      </c>
      <c r="O70" s="44">
        <v>3056994</v>
      </c>
      <c r="Q70" s="44">
        <v>5260459</v>
      </c>
      <c r="S70" s="44">
        <v>4251753</v>
      </c>
      <c r="U70" s="44">
        <v>2107574</v>
      </c>
      <c r="W70" s="44">
        <v>-714469</v>
      </c>
      <c r="Y70" s="44">
        <f t="shared" si="3"/>
        <v>5644858</v>
      </c>
      <c r="AB70" s="44">
        <f t="shared" si="1"/>
        <v>0</v>
      </c>
    </row>
    <row r="71" spans="1:28" ht="12.75" customHeight="1">
      <c r="A71" s="44" t="s">
        <v>492</v>
      </c>
      <c r="C71" s="44" t="s">
        <v>27</v>
      </c>
      <c r="E71" s="44">
        <f t="shared" ref="E71:E79" si="4">+K71-G71-I71</f>
        <v>14669273</v>
      </c>
      <c r="G71" s="44">
        <f>3018363+11476124</f>
        <v>14494487</v>
      </c>
      <c r="I71" s="44">
        <v>0</v>
      </c>
      <c r="K71" s="44">
        <v>29163760</v>
      </c>
      <c r="M71" s="44">
        <f t="shared" ref="M71:M79" si="5">+Q71-O71</f>
        <v>6975522</v>
      </c>
      <c r="O71" s="44">
        <v>6878178</v>
      </c>
      <c r="Q71" s="44">
        <v>13853700</v>
      </c>
      <c r="S71" s="44">
        <v>10287362</v>
      </c>
      <c r="U71" s="44">
        <f>1495271+826562</f>
        <v>2321833</v>
      </c>
      <c r="W71" s="44">
        <v>2700865</v>
      </c>
      <c r="Y71" s="44">
        <f t="shared" ref="Y71:Y79" si="6">S71+U71+W71</f>
        <v>15310060</v>
      </c>
      <c r="AB71" s="44">
        <f t="shared" ref="AB71:AB79" si="7">+K71-Q71-Y71</f>
        <v>0</v>
      </c>
    </row>
    <row r="72" spans="1:28" ht="12.75" customHeight="1">
      <c r="K72" s="48" t="s">
        <v>485</v>
      </c>
      <c r="Y72" s="48" t="s">
        <v>485</v>
      </c>
    </row>
    <row r="73" spans="1:28" s="46" customFormat="1" ht="12.75" customHeight="1">
      <c r="A73" s="46" t="s">
        <v>95</v>
      </c>
      <c r="C73" s="46" t="s">
        <v>94</v>
      </c>
      <c r="E73" s="46">
        <f t="shared" si="4"/>
        <v>1893403</v>
      </c>
      <c r="G73" s="46">
        <v>4468795</v>
      </c>
      <c r="I73" s="46">
        <v>0</v>
      </c>
      <c r="K73" s="46">
        <v>6362198</v>
      </c>
      <c r="M73" s="46">
        <f t="shared" si="5"/>
        <v>1137586</v>
      </c>
      <c r="O73" s="46">
        <v>919429</v>
      </c>
      <c r="Q73" s="46">
        <v>2057015</v>
      </c>
      <c r="S73" s="46">
        <v>3228590</v>
      </c>
      <c r="U73" s="46">
        <f>19038+3725601</f>
        <v>3744639</v>
      </c>
      <c r="W73" s="46">
        <v>-2668046</v>
      </c>
      <c r="Y73" s="46">
        <f t="shared" si="6"/>
        <v>4305183</v>
      </c>
      <c r="AB73" s="46">
        <f t="shared" si="7"/>
        <v>0</v>
      </c>
    </row>
    <row r="74" spans="1:28" ht="12.75" customHeight="1">
      <c r="A74" s="44" t="s">
        <v>91</v>
      </c>
      <c r="C74" s="44" t="s">
        <v>92</v>
      </c>
      <c r="E74" s="44">
        <f t="shared" si="4"/>
        <v>19639316</v>
      </c>
      <c r="G74" s="44">
        <f>8197107+30459262</f>
        <v>38656369</v>
      </c>
      <c r="I74" s="44">
        <v>0</v>
      </c>
      <c r="K74" s="44">
        <v>58295685</v>
      </c>
      <c r="M74" s="44">
        <f t="shared" si="5"/>
        <v>6432848</v>
      </c>
      <c r="O74" s="44">
        <v>28970217</v>
      </c>
      <c r="Q74" s="44">
        <v>35403065</v>
      </c>
      <c r="S74" s="44">
        <v>10656986</v>
      </c>
      <c r="U74" s="44">
        <f>1698857+4074362+1496255</f>
        <v>7269474</v>
      </c>
      <c r="W74" s="44">
        <v>4966160</v>
      </c>
      <c r="Y74" s="44">
        <f t="shared" si="6"/>
        <v>22892620</v>
      </c>
      <c r="AB74" s="44">
        <f t="shared" si="7"/>
        <v>0</v>
      </c>
    </row>
    <row r="75" spans="1:28" ht="12.75" customHeight="1">
      <c r="A75" s="44" t="s">
        <v>96</v>
      </c>
      <c r="C75" s="44" t="s">
        <v>97</v>
      </c>
      <c r="E75" s="44">
        <f t="shared" si="4"/>
        <v>8430765</v>
      </c>
      <c r="G75" s="44">
        <f>820439+35482+6297839</f>
        <v>7153760</v>
      </c>
      <c r="I75" s="44">
        <v>0</v>
      </c>
      <c r="K75" s="44">
        <v>15584525</v>
      </c>
      <c r="M75" s="44">
        <f t="shared" si="5"/>
        <v>1376421</v>
      </c>
      <c r="O75" s="44">
        <v>2255385</v>
      </c>
      <c r="Q75" s="44">
        <v>3631806</v>
      </c>
      <c r="S75" s="44">
        <v>5169206</v>
      </c>
      <c r="U75" s="44">
        <f>1181930+50784+10881+184477+244724+2695609+10000</f>
        <v>4378405</v>
      </c>
      <c r="W75" s="44">
        <v>2405108</v>
      </c>
      <c r="Y75" s="44">
        <f t="shared" si="6"/>
        <v>11952719</v>
      </c>
      <c r="AB75" s="44">
        <f t="shared" si="7"/>
        <v>0</v>
      </c>
    </row>
    <row r="76" spans="1:28" ht="12.75" customHeight="1">
      <c r="A76" s="44" t="s">
        <v>98</v>
      </c>
      <c r="C76" s="44" t="s">
        <v>17</v>
      </c>
      <c r="E76" s="44">
        <f t="shared" si="4"/>
        <v>32546591</v>
      </c>
      <c r="G76" s="44">
        <f>6184200+28285115+1241484+5635184+26177022+2770008+4438855</f>
        <v>74731868</v>
      </c>
      <c r="I76" s="44">
        <v>0</v>
      </c>
      <c r="K76" s="44">
        <v>107278459</v>
      </c>
      <c r="M76" s="44">
        <f t="shared" si="5"/>
        <v>19315485</v>
      </c>
      <c r="O76" s="44">
        <v>33594358</v>
      </c>
      <c r="Q76" s="44">
        <v>52909843</v>
      </c>
      <c r="S76" s="44">
        <v>38008622</v>
      </c>
      <c r="U76" s="44">
        <f>972925+291798+4307144+883238+1262673+262093+447349</f>
        <v>8427220</v>
      </c>
      <c r="W76" s="44">
        <v>7932774</v>
      </c>
      <c r="Y76" s="44">
        <f t="shared" si="6"/>
        <v>54368616</v>
      </c>
      <c r="AB76" s="44">
        <f t="shared" si="7"/>
        <v>0</v>
      </c>
    </row>
    <row r="77" spans="1:28" ht="12.75" customHeight="1">
      <c r="A77" s="44" t="s">
        <v>99</v>
      </c>
      <c r="C77" s="44" t="s">
        <v>66</v>
      </c>
      <c r="E77" s="44">
        <f t="shared" si="4"/>
        <v>14330968</v>
      </c>
      <c r="G77" s="44">
        <v>38818169</v>
      </c>
      <c r="I77" s="44">
        <v>0</v>
      </c>
      <c r="K77" s="44">
        <v>53149137</v>
      </c>
      <c r="M77" s="44">
        <f t="shared" si="5"/>
        <v>2071214</v>
      </c>
      <c r="O77" s="44">
        <v>130904</v>
      </c>
      <c r="Q77" s="44">
        <v>2202118</v>
      </c>
      <c r="S77" s="44">
        <v>38818169</v>
      </c>
      <c r="U77" s="44">
        <f>4929944+6069+621993+831119+725864</f>
        <v>7114989</v>
      </c>
      <c r="W77" s="44">
        <v>5013861</v>
      </c>
      <c r="Y77" s="44">
        <f t="shared" si="6"/>
        <v>50947019</v>
      </c>
      <c r="AB77" s="44">
        <f t="shared" si="7"/>
        <v>0</v>
      </c>
    </row>
    <row r="78" spans="1:28" ht="12.75" customHeight="1">
      <c r="A78" s="44" t="s">
        <v>100</v>
      </c>
      <c r="C78" s="44" t="s">
        <v>27</v>
      </c>
      <c r="E78" s="44">
        <f t="shared" si="4"/>
        <v>37023806</v>
      </c>
      <c r="G78" s="44">
        <f>9433010+34430193</f>
        <v>43863203</v>
      </c>
      <c r="I78" s="44">
        <v>0</v>
      </c>
      <c r="K78" s="44">
        <v>80887009</v>
      </c>
      <c r="M78" s="44">
        <f t="shared" si="5"/>
        <v>20253961</v>
      </c>
      <c r="O78" s="44">
        <v>31562149</v>
      </c>
      <c r="Q78" s="44">
        <v>51816110</v>
      </c>
      <c r="S78" s="44">
        <v>11170966</v>
      </c>
      <c r="U78" s="44">
        <f>5771256+3462934+2034113</f>
        <v>11268303</v>
      </c>
      <c r="W78" s="44">
        <v>6631630</v>
      </c>
      <c r="Y78" s="44">
        <f t="shared" si="6"/>
        <v>29070899</v>
      </c>
      <c r="AB78" s="44">
        <f t="shared" si="7"/>
        <v>0</v>
      </c>
    </row>
    <row r="79" spans="1:28" ht="12.75" customHeight="1">
      <c r="A79" s="44" t="s">
        <v>101</v>
      </c>
      <c r="C79" s="44" t="s">
        <v>30</v>
      </c>
      <c r="E79" s="44">
        <f t="shared" si="4"/>
        <v>22364404</v>
      </c>
      <c r="G79" s="44">
        <f>13491867+53949737</f>
        <v>67441604</v>
      </c>
      <c r="I79" s="44">
        <v>0</v>
      </c>
      <c r="K79" s="44">
        <v>89806008</v>
      </c>
      <c r="M79" s="44">
        <f t="shared" si="5"/>
        <v>9334306</v>
      </c>
      <c r="O79" s="44">
        <v>10224393</v>
      </c>
      <c r="Q79" s="44">
        <v>19558699</v>
      </c>
      <c r="S79" s="44">
        <v>53485159</v>
      </c>
      <c r="U79" s="44">
        <f>3185136+4569508</f>
        <v>7754644</v>
      </c>
      <c r="W79" s="44">
        <v>9007506</v>
      </c>
      <c r="Y79" s="44">
        <f t="shared" si="6"/>
        <v>70247309</v>
      </c>
      <c r="AB79" s="44">
        <f t="shared" si="7"/>
        <v>0</v>
      </c>
    </row>
    <row r="80" spans="1:28" ht="12.75" customHeight="1">
      <c r="A80" s="44" t="s">
        <v>102</v>
      </c>
      <c r="C80" s="44" t="s">
        <v>103</v>
      </c>
      <c r="E80" s="44">
        <f t="shared" ref="E80:E146" si="8">+K80-G80-I80</f>
        <v>42825881</v>
      </c>
      <c r="G80" s="44">
        <v>81343629</v>
      </c>
      <c r="I80" s="44">
        <v>0</v>
      </c>
      <c r="K80" s="44">
        <v>124169510</v>
      </c>
      <c r="M80" s="44">
        <f t="shared" ref="M80:M146" si="9">+Q80-O80</f>
        <v>16531197</v>
      </c>
      <c r="O80" s="44">
        <v>14050187</v>
      </c>
      <c r="Q80" s="44">
        <v>30581384</v>
      </c>
      <c r="S80" s="44">
        <v>60813629</v>
      </c>
      <c r="U80" s="44">
        <v>10331713</v>
      </c>
      <c r="W80" s="44">
        <v>22442784</v>
      </c>
      <c r="Y80" s="44">
        <f t="shared" ref="Y80:Y136" si="10">S80+U80+W80</f>
        <v>93588126</v>
      </c>
      <c r="AB80" s="44">
        <f t="shared" ref="AB80:AB146" si="11">+K80-Q80-Y80</f>
        <v>0</v>
      </c>
    </row>
    <row r="81" spans="1:28" ht="12.75" customHeight="1">
      <c r="A81" s="44" t="s">
        <v>104</v>
      </c>
      <c r="C81" s="44" t="s">
        <v>13</v>
      </c>
      <c r="E81" s="44">
        <f t="shared" si="8"/>
        <v>19101939</v>
      </c>
      <c r="G81" s="44">
        <v>69919077</v>
      </c>
      <c r="I81" s="44">
        <v>0</v>
      </c>
      <c r="K81" s="44">
        <v>89021016</v>
      </c>
      <c r="M81" s="44">
        <f t="shared" si="9"/>
        <v>4364713</v>
      </c>
      <c r="O81" s="44">
        <v>9088322</v>
      </c>
      <c r="Q81" s="44">
        <v>13453035</v>
      </c>
      <c r="S81" s="44">
        <v>60776791</v>
      </c>
      <c r="U81" s="44">
        <f>5316270+1285249+1783736</f>
        <v>8385255</v>
      </c>
      <c r="W81" s="44">
        <v>6405935</v>
      </c>
      <c r="Y81" s="44">
        <f t="shared" si="10"/>
        <v>75567981</v>
      </c>
      <c r="AB81" s="44">
        <f t="shared" si="11"/>
        <v>0</v>
      </c>
    </row>
    <row r="82" spans="1:28" ht="12.75" customHeight="1">
      <c r="A82" s="44" t="s">
        <v>105</v>
      </c>
      <c r="C82" s="44" t="s">
        <v>27</v>
      </c>
      <c r="E82" s="44">
        <f t="shared" si="8"/>
        <v>28406848</v>
      </c>
      <c r="G82" s="44">
        <f>9040630+36626872</f>
        <v>45667502</v>
      </c>
      <c r="I82" s="44">
        <v>0</v>
      </c>
      <c r="K82" s="44">
        <v>74074350</v>
      </c>
      <c r="M82" s="44">
        <f t="shared" si="9"/>
        <v>7398222</v>
      </c>
      <c r="O82" s="44">
        <v>26723031</v>
      </c>
      <c r="Q82" s="44">
        <v>34121253</v>
      </c>
      <c r="S82" s="44">
        <v>19958421</v>
      </c>
      <c r="U82" s="44">
        <f>15635792+3413168</f>
        <v>19048960</v>
      </c>
      <c r="W82" s="44">
        <v>945716</v>
      </c>
      <c r="Y82" s="44">
        <f t="shared" si="10"/>
        <v>39953097</v>
      </c>
      <c r="AB82" s="44">
        <f t="shared" si="11"/>
        <v>0</v>
      </c>
    </row>
    <row r="83" spans="1:28" ht="12.75" customHeight="1">
      <c r="A83" s="44" t="s">
        <v>106</v>
      </c>
      <c r="C83" s="44" t="s">
        <v>107</v>
      </c>
      <c r="E83" s="44">
        <f t="shared" si="8"/>
        <v>32166664</v>
      </c>
      <c r="G83" s="44">
        <v>74519324</v>
      </c>
      <c r="I83" s="44">
        <v>0</v>
      </c>
      <c r="K83" s="44">
        <v>106685988</v>
      </c>
      <c r="M83" s="44">
        <f t="shared" si="9"/>
        <v>19087520</v>
      </c>
      <c r="O83" s="44">
        <v>6041760</v>
      </c>
      <c r="Q83" s="44">
        <v>25129280</v>
      </c>
      <c r="S83" s="44">
        <v>60888257</v>
      </c>
      <c r="U83" s="44">
        <f>833059+198994+382853+4397516+995811+10642+1082017+1102364</f>
        <v>9003256</v>
      </c>
      <c r="W83" s="44">
        <v>11665195</v>
      </c>
      <c r="Y83" s="44">
        <f t="shared" si="10"/>
        <v>81556708</v>
      </c>
      <c r="AB83" s="44">
        <f t="shared" si="11"/>
        <v>0</v>
      </c>
    </row>
    <row r="84" spans="1:28" ht="12.75" customHeight="1">
      <c r="A84" s="44" t="s">
        <v>108</v>
      </c>
      <c r="C84" s="44" t="s">
        <v>45</v>
      </c>
      <c r="E84" s="44">
        <f>+K84-G84-I84</f>
        <v>17805077</v>
      </c>
      <c r="G84" s="44">
        <f>12780961+25902567</f>
        <v>38683528</v>
      </c>
      <c r="I84" s="44">
        <v>0</v>
      </c>
      <c r="K84" s="44">
        <v>56488605</v>
      </c>
      <c r="M84" s="44">
        <f>+Q84-O84</f>
        <v>8860535</v>
      </c>
      <c r="O84" s="44">
        <v>3359064</v>
      </c>
      <c r="Q84" s="44">
        <v>12219599</v>
      </c>
      <c r="S84" s="44">
        <v>32982943</v>
      </c>
      <c r="U84" s="44">
        <f>6834728+31162</f>
        <v>6865890</v>
      </c>
      <c r="W84" s="44">
        <v>4420173</v>
      </c>
      <c r="Y84" s="44">
        <f>S84+U84+W84</f>
        <v>44269006</v>
      </c>
      <c r="AB84" s="44">
        <f>+K84-Q84-Y84</f>
        <v>0</v>
      </c>
    </row>
    <row r="85" spans="1:28" ht="12.75" customHeight="1">
      <c r="A85" s="44" t="s">
        <v>109</v>
      </c>
      <c r="B85" s="44"/>
      <c r="C85" s="44" t="s">
        <v>110</v>
      </c>
      <c r="D85" s="44"/>
      <c r="E85" s="44">
        <f t="shared" si="8"/>
        <v>8845925</v>
      </c>
      <c r="G85" s="44">
        <f>1890656+7344429</f>
        <v>9235085</v>
      </c>
      <c r="I85" s="44">
        <v>0</v>
      </c>
      <c r="K85" s="44">
        <v>18081010</v>
      </c>
      <c r="M85" s="44">
        <f t="shared" si="9"/>
        <v>2188563</v>
      </c>
      <c r="O85" s="44">
        <v>1357273</v>
      </c>
      <c r="Q85" s="44">
        <v>3545836</v>
      </c>
      <c r="S85" s="44">
        <v>8442585</v>
      </c>
      <c r="U85" s="44">
        <f>1441421+35529+155134+18539+299806+1993136+3961+20000+643295</f>
        <v>4610821</v>
      </c>
      <c r="W85" s="44">
        <v>1481768</v>
      </c>
      <c r="Y85" s="44">
        <f t="shared" si="10"/>
        <v>14535174</v>
      </c>
      <c r="AB85" s="44">
        <f t="shared" si="11"/>
        <v>0</v>
      </c>
    </row>
    <row r="86" spans="1:28" ht="12.75" customHeight="1">
      <c r="A86" s="44" t="s">
        <v>43</v>
      </c>
      <c r="C86" s="44" t="s">
        <v>111</v>
      </c>
      <c r="E86" s="44">
        <f t="shared" si="8"/>
        <v>14589982</v>
      </c>
      <c r="G86" s="44">
        <f>19213623+31105112</f>
        <v>50318735</v>
      </c>
      <c r="I86" s="44">
        <v>0</v>
      </c>
      <c r="K86" s="44">
        <v>64908717</v>
      </c>
      <c r="M86" s="44">
        <f t="shared" si="9"/>
        <v>7031721</v>
      </c>
      <c r="O86" s="44">
        <v>10951486</v>
      </c>
      <c r="Q86" s="44">
        <v>17983207</v>
      </c>
      <c r="S86" s="44">
        <v>39364231</v>
      </c>
      <c r="U86" s="44">
        <f>2969595+402419+997563+513502+612035</f>
        <v>5495114</v>
      </c>
      <c r="W86" s="44">
        <v>2066165</v>
      </c>
      <c r="Y86" s="44">
        <f t="shared" si="10"/>
        <v>46925510</v>
      </c>
      <c r="AB86" s="44">
        <f t="shared" si="11"/>
        <v>0</v>
      </c>
    </row>
    <row r="87" spans="1:28" ht="12.75" customHeight="1">
      <c r="A87" s="44" t="s">
        <v>112</v>
      </c>
      <c r="C87" s="44" t="s">
        <v>76</v>
      </c>
      <c r="E87" s="44">
        <f t="shared" si="8"/>
        <v>37621655</v>
      </c>
      <c r="G87" s="44">
        <v>2406409</v>
      </c>
      <c r="I87" s="44">
        <v>0</v>
      </c>
      <c r="K87" s="44">
        <v>40028064</v>
      </c>
      <c r="M87" s="44">
        <f t="shared" si="9"/>
        <v>2030454</v>
      </c>
      <c r="O87" s="44">
        <v>4632184</v>
      </c>
      <c r="Q87" s="44">
        <v>6662638</v>
      </c>
      <c r="S87" s="44">
        <v>20715409</v>
      </c>
      <c r="U87" s="44">
        <f>170402+1264425+1915740</f>
        <v>3350567</v>
      </c>
      <c r="W87" s="44">
        <v>9299450</v>
      </c>
      <c r="Y87" s="44">
        <f t="shared" si="10"/>
        <v>33365426</v>
      </c>
      <c r="AB87" s="44">
        <f t="shared" si="11"/>
        <v>0</v>
      </c>
    </row>
    <row r="88" spans="1:28" ht="12.75" customHeight="1">
      <c r="A88" s="44" t="s">
        <v>113</v>
      </c>
      <c r="C88" s="44" t="s">
        <v>43</v>
      </c>
      <c r="E88" s="44">
        <f t="shared" si="8"/>
        <v>91597602</v>
      </c>
      <c r="G88" s="44">
        <v>37321571</v>
      </c>
      <c r="I88" s="44">
        <v>0</v>
      </c>
      <c r="K88" s="44">
        <v>128919173</v>
      </c>
      <c r="M88" s="44">
        <f t="shared" si="9"/>
        <v>7737533</v>
      </c>
      <c r="O88" s="44">
        <v>23319671</v>
      </c>
      <c r="Q88" s="44">
        <v>31057204</v>
      </c>
      <c r="S88" s="44">
        <v>57581230</v>
      </c>
      <c r="U88" s="44">
        <v>6545277</v>
      </c>
      <c r="W88" s="44">
        <v>33735462</v>
      </c>
      <c r="Y88" s="44">
        <f t="shared" si="10"/>
        <v>97861969</v>
      </c>
      <c r="AB88" s="44">
        <f t="shared" si="11"/>
        <v>0</v>
      </c>
    </row>
    <row r="89" spans="1:28" ht="12.75" customHeight="1">
      <c r="A89" s="44" t="s">
        <v>493</v>
      </c>
      <c r="C89" s="44" t="s">
        <v>57</v>
      </c>
      <c r="E89" s="44">
        <f t="shared" si="8"/>
        <v>5786721</v>
      </c>
      <c r="G89" s="44">
        <f>3784889+10637947</f>
        <v>14422836</v>
      </c>
      <c r="I89" s="44">
        <v>0</v>
      </c>
      <c r="K89" s="44">
        <v>20209557</v>
      </c>
      <c r="M89" s="44">
        <f t="shared" si="9"/>
        <v>2163964</v>
      </c>
      <c r="O89" s="44">
        <v>2960616</v>
      </c>
      <c r="Q89" s="44">
        <v>5124580</v>
      </c>
      <c r="S89" s="44">
        <v>11790090</v>
      </c>
      <c r="U89" s="44">
        <f>305396+220292+797774+951372+308402</f>
        <v>2583236</v>
      </c>
      <c r="W89" s="44">
        <v>711651</v>
      </c>
      <c r="Y89" s="44">
        <f t="shared" si="10"/>
        <v>15084977</v>
      </c>
      <c r="AB89" s="44">
        <f t="shared" si="11"/>
        <v>0</v>
      </c>
    </row>
    <row r="90" spans="1:28" ht="12.75" customHeight="1">
      <c r="A90" s="44" t="s">
        <v>114</v>
      </c>
      <c r="C90" s="44" t="s">
        <v>27</v>
      </c>
      <c r="E90" s="44">
        <f t="shared" si="8"/>
        <v>21042647</v>
      </c>
      <c r="G90" s="44">
        <f>2058545+35794815</f>
        <v>37853360</v>
      </c>
      <c r="I90" s="44">
        <v>0</v>
      </c>
      <c r="K90" s="44">
        <v>58896007</v>
      </c>
      <c r="M90" s="44">
        <f t="shared" si="9"/>
        <v>21685219</v>
      </c>
      <c r="O90" s="44">
        <v>37801651</v>
      </c>
      <c r="Q90" s="44">
        <v>59486870</v>
      </c>
      <c r="S90" s="44">
        <v>14406983</v>
      </c>
      <c r="U90" s="44">
        <f>2524513+1384427+171497+92912+668884</f>
        <v>4842233</v>
      </c>
      <c r="W90" s="44">
        <v>-19840079</v>
      </c>
      <c r="Y90" s="44">
        <f t="shared" si="10"/>
        <v>-590863</v>
      </c>
      <c r="AB90" s="44">
        <f t="shared" si="11"/>
        <v>0</v>
      </c>
    </row>
    <row r="91" spans="1:28" ht="12.75" customHeight="1">
      <c r="A91" s="44" t="s">
        <v>115</v>
      </c>
      <c r="C91" s="44" t="s">
        <v>19</v>
      </c>
      <c r="E91" s="44">
        <f t="shared" si="8"/>
        <v>4604727</v>
      </c>
      <c r="G91" s="44">
        <v>8805566</v>
      </c>
      <c r="I91" s="44">
        <v>0</v>
      </c>
      <c r="K91" s="44">
        <v>13410293</v>
      </c>
      <c r="M91" s="44">
        <f t="shared" si="9"/>
        <v>1886326</v>
      </c>
      <c r="O91" s="44">
        <v>2087690</v>
      </c>
      <c r="Q91" s="44">
        <v>3974016</v>
      </c>
      <c r="S91" s="44">
        <v>5681885</v>
      </c>
      <c r="U91" s="44">
        <v>2347087</v>
      </c>
      <c r="W91" s="44">
        <v>1407305</v>
      </c>
      <c r="Y91" s="44">
        <f t="shared" si="10"/>
        <v>9436277</v>
      </c>
      <c r="AB91" s="44">
        <f t="shared" si="11"/>
        <v>0</v>
      </c>
    </row>
    <row r="92" spans="1:28" ht="12.75" customHeight="1">
      <c r="A92" s="44" t="s">
        <v>116</v>
      </c>
      <c r="C92" s="44" t="s">
        <v>80</v>
      </c>
      <c r="E92" s="44">
        <f t="shared" si="8"/>
        <v>5606947</v>
      </c>
      <c r="G92" s="44">
        <v>34519385</v>
      </c>
      <c r="I92" s="44">
        <v>0</v>
      </c>
      <c r="K92" s="44">
        <v>40126332</v>
      </c>
      <c r="M92" s="44">
        <f t="shared" si="9"/>
        <v>1955396</v>
      </c>
      <c r="O92" s="44">
        <v>5232975</v>
      </c>
      <c r="Q92" s="44">
        <v>7188371</v>
      </c>
      <c r="S92" s="44">
        <v>29734115</v>
      </c>
      <c r="U92" s="44">
        <v>2285233</v>
      </c>
      <c r="W92" s="44">
        <v>918613</v>
      </c>
      <c r="Y92" s="44">
        <f t="shared" si="10"/>
        <v>32937961</v>
      </c>
      <c r="AB92" s="44">
        <f t="shared" si="11"/>
        <v>0</v>
      </c>
    </row>
    <row r="93" spans="1:28" ht="12.75" customHeight="1">
      <c r="A93" s="47" t="s">
        <v>117</v>
      </c>
      <c r="C93" s="47" t="s">
        <v>43</v>
      </c>
      <c r="E93" s="44">
        <f t="shared" si="8"/>
        <v>7277713</v>
      </c>
      <c r="G93" s="44">
        <f>803740+4384257</f>
        <v>5187997</v>
      </c>
      <c r="I93" s="44">
        <v>0</v>
      </c>
      <c r="K93" s="44">
        <v>12465710</v>
      </c>
      <c r="M93" s="44">
        <f t="shared" si="9"/>
        <v>2679147</v>
      </c>
      <c r="O93" s="44">
        <v>1693191</v>
      </c>
      <c r="Q93" s="44">
        <v>4372338</v>
      </c>
      <c r="S93" s="44">
        <v>3691157</v>
      </c>
      <c r="U93" s="44">
        <f>8093372-3691157-2741623</f>
        <v>1660592</v>
      </c>
      <c r="W93" s="44">
        <v>2741623</v>
      </c>
      <c r="Y93" s="44">
        <f t="shared" si="10"/>
        <v>8093372</v>
      </c>
      <c r="AB93" s="44">
        <f t="shared" si="11"/>
        <v>0</v>
      </c>
    </row>
    <row r="94" spans="1:28" ht="12.75" customHeight="1">
      <c r="A94" s="44" t="s">
        <v>118</v>
      </c>
      <c r="C94" s="44" t="s">
        <v>13</v>
      </c>
      <c r="E94" s="44">
        <f t="shared" si="8"/>
        <v>67189082</v>
      </c>
      <c r="G94" s="44">
        <v>57508353</v>
      </c>
      <c r="I94" s="44">
        <v>0</v>
      </c>
      <c r="K94" s="44">
        <v>124697435</v>
      </c>
      <c r="M94" s="44">
        <f t="shared" si="9"/>
        <v>18783523</v>
      </c>
      <c r="O94" s="44">
        <v>28971330</v>
      </c>
      <c r="Q94" s="44">
        <v>47754853</v>
      </c>
      <c r="S94" s="44">
        <v>39150075</v>
      </c>
      <c r="U94" s="44">
        <v>15798206</v>
      </c>
      <c r="W94" s="44">
        <v>21994301</v>
      </c>
      <c r="Y94" s="44">
        <f t="shared" si="10"/>
        <v>76942582</v>
      </c>
      <c r="AB94" s="44">
        <f t="shared" si="11"/>
        <v>0</v>
      </c>
    </row>
    <row r="95" spans="1:28" ht="12.75" customHeight="1">
      <c r="A95" s="44" t="s">
        <v>120</v>
      </c>
      <c r="C95" s="44" t="s">
        <v>121</v>
      </c>
      <c r="E95" s="44">
        <f t="shared" si="8"/>
        <v>12348743</v>
      </c>
      <c r="G95" s="44">
        <v>17081458</v>
      </c>
      <c r="I95" s="44">
        <v>0</v>
      </c>
      <c r="K95" s="44">
        <v>29430201</v>
      </c>
      <c r="M95" s="44">
        <f t="shared" si="9"/>
        <v>2463961</v>
      </c>
      <c r="O95" s="44">
        <v>4257669</v>
      </c>
      <c r="Q95" s="44">
        <v>6721630</v>
      </c>
      <c r="S95" s="44">
        <v>13045700</v>
      </c>
      <c r="U95" s="44">
        <v>0</v>
      </c>
      <c r="W95" s="44">
        <v>9662871</v>
      </c>
      <c r="Y95" s="44">
        <f t="shared" si="10"/>
        <v>22708571</v>
      </c>
      <c r="AB95" s="44">
        <f t="shared" si="11"/>
        <v>0</v>
      </c>
    </row>
    <row r="96" spans="1:28" ht="12.75" customHeight="1">
      <c r="A96" s="44" t="s">
        <v>122</v>
      </c>
      <c r="C96" s="44" t="s">
        <v>43</v>
      </c>
      <c r="E96" s="44">
        <f t="shared" si="8"/>
        <v>53171690</v>
      </c>
      <c r="G96" s="44">
        <v>191140021</v>
      </c>
      <c r="I96" s="44">
        <v>0</v>
      </c>
      <c r="K96" s="44">
        <v>244311711</v>
      </c>
      <c r="M96" s="44">
        <f t="shared" si="9"/>
        <v>16646300</v>
      </c>
      <c r="O96" s="44">
        <v>31795816</v>
      </c>
      <c r="Q96" s="44">
        <v>48442116</v>
      </c>
      <c r="S96" s="44">
        <v>157882729</v>
      </c>
      <c r="U96" s="44">
        <v>14407757</v>
      </c>
      <c r="W96" s="44">
        <v>23579109</v>
      </c>
      <c r="Y96" s="44">
        <f t="shared" si="10"/>
        <v>195869595</v>
      </c>
      <c r="AB96" s="44">
        <f t="shared" si="11"/>
        <v>0</v>
      </c>
    </row>
    <row r="97" spans="1:28" ht="12.75" customHeight="1">
      <c r="A97" s="44" t="s">
        <v>45</v>
      </c>
      <c r="C97" s="44" t="s">
        <v>103</v>
      </c>
      <c r="E97" s="44">
        <f t="shared" si="8"/>
        <v>37928640</v>
      </c>
      <c r="G97" s="44">
        <v>93652554</v>
      </c>
      <c r="I97" s="44">
        <v>0</v>
      </c>
      <c r="K97" s="44">
        <v>131581194</v>
      </c>
      <c r="M97" s="44">
        <f t="shared" si="9"/>
        <v>24188734</v>
      </c>
      <c r="O97" s="44">
        <v>35363403</v>
      </c>
      <c r="Q97" s="44">
        <v>59552137</v>
      </c>
      <c r="S97" s="44">
        <v>59732393</v>
      </c>
      <c r="U97" s="44">
        <v>7367202</v>
      </c>
      <c r="W97" s="44">
        <v>4929462</v>
      </c>
      <c r="Y97" s="44">
        <f t="shared" si="10"/>
        <v>72029057</v>
      </c>
      <c r="AB97" s="44">
        <f t="shared" si="11"/>
        <v>0</v>
      </c>
    </row>
    <row r="98" spans="1:28" ht="12.75" customHeight="1">
      <c r="A98" s="44" t="s">
        <v>123</v>
      </c>
      <c r="C98" s="44" t="s">
        <v>45</v>
      </c>
      <c r="E98" s="44">
        <f t="shared" si="8"/>
        <v>8679013</v>
      </c>
      <c r="G98" s="44">
        <v>11974117</v>
      </c>
      <c r="I98" s="44">
        <v>0</v>
      </c>
      <c r="K98" s="44">
        <v>20653130</v>
      </c>
      <c r="M98" s="44">
        <f t="shared" si="9"/>
        <v>3300497</v>
      </c>
      <c r="O98" s="44">
        <v>4664589</v>
      </c>
      <c r="Q98" s="44">
        <v>7965086</v>
      </c>
      <c r="S98" s="44">
        <v>7218367</v>
      </c>
      <c r="U98" s="44">
        <v>3338588</v>
      </c>
      <c r="W98" s="44">
        <v>2131089</v>
      </c>
      <c r="Y98" s="44">
        <f t="shared" si="10"/>
        <v>12688044</v>
      </c>
      <c r="AB98" s="44">
        <f t="shared" si="11"/>
        <v>0</v>
      </c>
    </row>
    <row r="99" spans="1:28" ht="12.75" customHeight="1">
      <c r="A99" s="44" t="s">
        <v>124</v>
      </c>
      <c r="C99" s="44" t="s">
        <v>125</v>
      </c>
      <c r="E99" s="44">
        <f t="shared" si="8"/>
        <v>9818316</v>
      </c>
      <c r="G99" s="44">
        <v>28130364</v>
      </c>
      <c r="I99" s="44">
        <v>0</v>
      </c>
      <c r="K99" s="44">
        <v>37948680</v>
      </c>
      <c r="M99" s="44">
        <f t="shared" si="9"/>
        <v>2250291</v>
      </c>
      <c r="O99" s="44">
        <v>4948955</v>
      </c>
      <c r="Q99" s="44">
        <v>7199246</v>
      </c>
      <c r="S99" s="44">
        <v>23589938</v>
      </c>
      <c r="U99" s="44">
        <v>3693753</v>
      </c>
      <c r="W99" s="44">
        <v>3465743</v>
      </c>
      <c r="Y99" s="44">
        <f t="shared" si="10"/>
        <v>30749434</v>
      </c>
      <c r="AB99" s="44">
        <f>+K99-Q99-Y99</f>
        <v>0</v>
      </c>
    </row>
    <row r="100" spans="1:28" ht="12.75" customHeight="1">
      <c r="A100" s="44" t="s">
        <v>126</v>
      </c>
      <c r="C100" s="44" t="s">
        <v>27</v>
      </c>
      <c r="E100" s="44">
        <f t="shared" si="8"/>
        <v>17883565</v>
      </c>
      <c r="G100" s="44">
        <v>44903463</v>
      </c>
      <c r="I100" s="44">
        <v>0</v>
      </c>
      <c r="K100" s="44">
        <v>62787028</v>
      </c>
      <c r="M100" s="44">
        <f t="shared" si="9"/>
        <v>3860228</v>
      </c>
      <c r="O100" s="44">
        <v>15168613</v>
      </c>
      <c r="Q100" s="44">
        <v>19028841</v>
      </c>
      <c r="S100" s="44">
        <v>29118182</v>
      </c>
      <c r="U100" s="44">
        <v>9759206</v>
      </c>
      <c r="W100" s="44">
        <v>4880799</v>
      </c>
      <c r="Y100" s="44">
        <f t="shared" si="10"/>
        <v>43758187</v>
      </c>
      <c r="AB100" s="44">
        <f t="shared" si="11"/>
        <v>0</v>
      </c>
    </row>
    <row r="101" spans="1:28" ht="12.75" customHeight="1">
      <c r="A101" s="44" t="s">
        <v>127</v>
      </c>
      <c r="C101" s="44" t="s">
        <v>43</v>
      </c>
      <c r="E101" s="44">
        <f t="shared" si="8"/>
        <v>24481563</v>
      </c>
      <c r="G101" s="44">
        <v>237566014</v>
      </c>
      <c r="I101" s="44">
        <v>0</v>
      </c>
      <c r="K101" s="44">
        <v>262047577</v>
      </c>
      <c r="M101" s="44">
        <f t="shared" si="9"/>
        <v>10218741</v>
      </c>
      <c r="O101" s="44">
        <v>42077782</v>
      </c>
      <c r="Q101" s="44">
        <v>52296523</v>
      </c>
      <c r="S101" s="44">
        <v>195385285</v>
      </c>
      <c r="U101" s="44">
        <v>10473568</v>
      </c>
      <c r="W101" s="44">
        <v>3892201</v>
      </c>
      <c r="Y101" s="44">
        <f t="shared" si="10"/>
        <v>209751054</v>
      </c>
      <c r="AB101" s="44">
        <f t="shared" si="11"/>
        <v>0</v>
      </c>
    </row>
    <row r="102" spans="1:28" ht="12.75" customHeight="1">
      <c r="A102" s="44" t="s">
        <v>128</v>
      </c>
      <c r="C102" s="44" t="s">
        <v>119</v>
      </c>
      <c r="E102" s="44">
        <f t="shared" si="8"/>
        <v>6916168</v>
      </c>
      <c r="G102" s="44">
        <f>629526+9864847</f>
        <v>10494373</v>
      </c>
      <c r="I102" s="44">
        <v>0</v>
      </c>
      <c r="K102" s="44">
        <v>17410541</v>
      </c>
      <c r="M102" s="44">
        <f t="shared" si="9"/>
        <v>771195</v>
      </c>
      <c r="O102" s="44">
        <v>1277240</v>
      </c>
      <c r="Q102" s="44">
        <v>2048435</v>
      </c>
      <c r="S102" s="44">
        <v>9519293</v>
      </c>
      <c r="U102" s="44">
        <f>315231+797774+1114353+848386</f>
        <v>3075744</v>
      </c>
      <c r="W102" s="44">
        <v>2767069</v>
      </c>
      <c r="Y102" s="44">
        <f t="shared" si="10"/>
        <v>15362106</v>
      </c>
      <c r="AB102" s="44">
        <f t="shared" si="11"/>
        <v>0</v>
      </c>
    </row>
    <row r="103" spans="1:28" ht="12.75" customHeight="1">
      <c r="A103" s="44" t="s">
        <v>129</v>
      </c>
      <c r="C103" s="44" t="s">
        <v>80</v>
      </c>
      <c r="E103" s="44">
        <f t="shared" si="8"/>
        <v>3029023</v>
      </c>
      <c r="G103" s="44">
        <v>5147825</v>
      </c>
      <c r="I103" s="44">
        <v>0</v>
      </c>
      <c r="K103" s="44">
        <v>8176848</v>
      </c>
      <c r="M103" s="44">
        <f t="shared" si="9"/>
        <v>1212374</v>
      </c>
      <c r="O103" s="44">
        <v>4094767</v>
      </c>
      <c r="Q103" s="44">
        <v>5307141</v>
      </c>
      <c r="S103" s="44">
        <v>677921</v>
      </c>
      <c r="U103" s="44">
        <v>1027150</v>
      </c>
      <c r="W103" s="44">
        <v>1164636</v>
      </c>
      <c r="Y103" s="44">
        <f t="shared" si="10"/>
        <v>2869707</v>
      </c>
      <c r="AB103" s="44">
        <f t="shared" si="11"/>
        <v>0</v>
      </c>
    </row>
    <row r="104" spans="1:28" ht="12.75" customHeight="1">
      <c r="A104" s="44" t="s">
        <v>130</v>
      </c>
      <c r="C104" s="44" t="s">
        <v>66</v>
      </c>
      <c r="E104" s="44">
        <f t="shared" si="8"/>
        <v>49354507</v>
      </c>
      <c r="G104" s="44">
        <v>99723133</v>
      </c>
      <c r="I104" s="44">
        <v>0</v>
      </c>
      <c r="K104" s="44">
        <v>149077640</v>
      </c>
      <c r="M104" s="44">
        <f t="shared" si="9"/>
        <v>10732366</v>
      </c>
      <c r="O104" s="44">
        <v>24769191</v>
      </c>
      <c r="Q104" s="44">
        <v>35501557</v>
      </c>
      <c r="S104" s="44">
        <v>73036568</v>
      </c>
      <c r="U104" s="44">
        <v>30724441</v>
      </c>
      <c r="W104" s="44">
        <v>9815074</v>
      </c>
      <c r="Y104" s="44">
        <f t="shared" si="10"/>
        <v>113576083</v>
      </c>
      <c r="AB104" s="44">
        <f t="shared" si="11"/>
        <v>0</v>
      </c>
    </row>
    <row r="105" spans="1:28" ht="12.75" customHeight="1">
      <c r="A105" s="44" t="s">
        <v>131</v>
      </c>
      <c r="C105" s="44" t="s">
        <v>13</v>
      </c>
      <c r="E105" s="44">
        <f t="shared" si="8"/>
        <v>36182209</v>
      </c>
      <c r="G105" s="44">
        <v>101858777</v>
      </c>
      <c r="I105" s="44">
        <v>0</v>
      </c>
      <c r="K105" s="44">
        <v>138040986</v>
      </c>
      <c r="M105" s="44">
        <f t="shared" si="9"/>
        <v>9820436</v>
      </c>
      <c r="O105" s="44">
        <v>29747998</v>
      </c>
      <c r="Q105" s="44">
        <v>39568434</v>
      </c>
      <c r="S105" s="44">
        <v>77464011</v>
      </c>
      <c r="U105" s="44">
        <v>8484414</v>
      </c>
      <c r="W105" s="44">
        <v>12524127</v>
      </c>
      <c r="Y105" s="44">
        <f>S105+U105+W105</f>
        <v>98472552</v>
      </c>
      <c r="AB105" s="44">
        <f>+K105-Q105-Y105</f>
        <v>0</v>
      </c>
    </row>
    <row r="106" spans="1:28" ht="12.75" customHeight="1">
      <c r="A106" s="44" t="s">
        <v>38</v>
      </c>
      <c r="C106" s="44" t="s">
        <v>132</v>
      </c>
      <c r="E106" s="44">
        <f t="shared" si="8"/>
        <v>5011712</v>
      </c>
      <c r="G106" s="44">
        <v>3734658</v>
      </c>
      <c r="I106" s="44">
        <v>0</v>
      </c>
      <c r="K106" s="44">
        <v>8746370</v>
      </c>
      <c r="M106" s="44">
        <f t="shared" si="9"/>
        <v>2379351</v>
      </c>
      <c r="O106" s="44">
        <v>2647509</v>
      </c>
      <c r="Q106" s="44">
        <v>5026860</v>
      </c>
      <c r="S106" s="44">
        <v>1249570</v>
      </c>
      <c r="U106" s="44">
        <v>1541233</v>
      </c>
      <c r="W106" s="44">
        <v>928707</v>
      </c>
      <c r="Y106" s="44">
        <f t="shared" si="10"/>
        <v>3719510</v>
      </c>
      <c r="AB106" s="44">
        <f t="shared" si="11"/>
        <v>0</v>
      </c>
    </row>
    <row r="107" spans="1:28" ht="12.75" customHeight="1">
      <c r="A107" s="44" t="s">
        <v>133</v>
      </c>
      <c r="C107" s="44" t="s">
        <v>27</v>
      </c>
      <c r="E107" s="44">
        <f t="shared" si="8"/>
        <v>19281776</v>
      </c>
      <c r="G107" s="44">
        <v>91834768</v>
      </c>
      <c r="I107" s="44">
        <v>0</v>
      </c>
      <c r="K107" s="44">
        <v>111116544</v>
      </c>
      <c r="M107" s="44">
        <f t="shared" si="9"/>
        <v>6698509</v>
      </c>
      <c r="O107" s="44">
        <v>35880701</v>
      </c>
      <c r="Q107" s="44">
        <v>42579210</v>
      </c>
      <c r="S107" s="44">
        <v>55989367</v>
      </c>
      <c r="U107" s="44">
        <v>5586666</v>
      </c>
      <c r="W107" s="44">
        <v>6961301</v>
      </c>
      <c r="Y107" s="44">
        <f t="shared" si="10"/>
        <v>68537334</v>
      </c>
      <c r="AB107" s="44">
        <f t="shared" si="11"/>
        <v>0</v>
      </c>
    </row>
    <row r="108" spans="1:28" ht="12.75" customHeight="1">
      <c r="A108" s="44" t="s">
        <v>483</v>
      </c>
      <c r="C108" s="44" t="s">
        <v>45</v>
      </c>
      <c r="E108" s="44">
        <f t="shared" si="8"/>
        <v>25506383</v>
      </c>
      <c r="G108" s="44">
        <v>90984756</v>
      </c>
      <c r="I108" s="44">
        <v>0</v>
      </c>
      <c r="K108" s="44">
        <v>116491139</v>
      </c>
      <c r="M108" s="44">
        <f t="shared" si="9"/>
        <v>1977215</v>
      </c>
      <c r="O108" s="44">
        <v>3739861</v>
      </c>
      <c r="Q108" s="44">
        <v>5717076</v>
      </c>
      <c r="S108" s="44">
        <v>87833496</v>
      </c>
      <c r="U108" s="44">
        <v>8326406</v>
      </c>
      <c r="W108" s="44">
        <v>14614161</v>
      </c>
      <c r="Y108" s="44">
        <f t="shared" si="10"/>
        <v>110774063</v>
      </c>
      <c r="AB108" s="44">
        <f t="shared" si="11"/>
        <v>0</v>
      </c>
    </row>
    <row r="109" spans="1:28" ht="12.75" customHeight="1">
      <c r="A109" s="44" t="s">
        <v>134</v>
      </c>
      <c r="C109" s="44" t="s">
        <v>135</v>
      </c>
      <c r="E109" s="44">
        <f t="shared" si="8"/>
        <v>6547342</v>
      </c>
      <c r="G109" s="44">
        <v>25808131</v>
      </c>
      <c r="I109" s="44">
        <v>0</v>
      </c>
      <c r="K109" s="44">
        <v>32355473</v>
      </c>
      <c r="M109" s="44">
        <f t="shared" si="9"/>
        <v>1187745</v>
      </c>
      <c r="O109" s="44">
        <v>3236508</v>
      </c>
      <c r="Q109" s="44">
        <v>4424253</v>
      </c>
      <c r="S109" s="44">
        <v>22945110</v>
      </c>
      <c r="U109" s="44">
        <v>3299348</v>
      </c>
      <c r="W109" s="44">
        <v>1686762</v>
      </c>
      <c r="Y109" s="44">
        <f t="shared" si="10"/>
        <v>27931220</v>
      </c>
      <c r="AB109" s="44">
        <f t="shared" si="11"/>
        <v>0</v>
      </c>
    </row>
    <row r="110" spans="1:28" ht="12.75" customHeight="1">
      <c r="A110" s="44" t="s">
        <v>136</v>
      </c>
      <c r="C110" s="44" t="s">
        <v>136</v>
      </c>
      <c r="E110" s="44">
        <f t="shared" si="8"/>
        <v>7160582</v>
      </c>
      <c r="G110" s="44">
        <v>8182253</v>
      </c>
      <c r="I110" s="44">
        <v>0</v>
      </c>
      <c r="K110" s="44">
        <v>15342835</v>
      </c>
      <c r="M110" s="44">
        <f t="shared" si="9"/>
        <v>1025624</v>
      </c>
      <c r="O110" s="44">
        <v>920492</v>
      </c>
      <c r="Q110" s="44">
        <v>1946116</v>
      </c>
      <c r="S110" s="44">
        <v>7643095</v>
      </c>
      <c r="U110" s="44">
        <v>3051088</v>
      </c>
      <c r="W110" s="44">
        <v>2702536</v>
      </c>
      <c r="Y110" s="44">
        <f t="shared" si="10"/>
        <v>13396719</v>
      </c>
      <c r="AB110" s="44">
        <f>+K110-Q110-Y110</f>
        <v>0</v>
      </c>
    </row>
    <row r="111" spans="1:28" ht="12.75" customHeight="1">
      <c r="A111" s="44" t="s">
        <v>137</v>
      </c>
      <c r="C111" s="44" t="s">
        <v>22</v>
      </c>
      <c r="E111" s="44">
        <f t="shared" si="8"/>
        <v>33581439</v>
      </c>
      <c r="G111" s="44">
        <f>5904688+27266027</f>
        <v>33170715</v>
      </c>
      <c r="I111" s="44">
        <v>0</v>
      </c>
      <c r="K111" s="44">
        <v>66752154</v>
      </c>
      <c r="M111" s="44">
        <f t="shared" si="9"/>
        <v>8930942</v>
      </c>
      <c r="O111" s="44">
        <v>2762333</v>
      </c>
      <c r="Q111" s="44">
        <v>11693275</v>
      </c>
      <c r="S111" s="44">
        <v>26951296</v>
      </c>
      <c r="U111" s="44">
        <f>55058879-16802244-26951296</f>
        <v>11305339</v>
      </c>
      <c r="W111" s="44">
        <v>16802244</v>
      </c>
      <c r="Y111" s="44">
        <f t="shared" si="10"/>
        <v>55058879</v>
      </c>
      <c r="AB111" s="44">
        <f t="shared" si="11"/>
        <v>0</v>
      </c>
    </row>
    <row r="112" spans="1:28" ht="12.75" hidden="1" customHeight="1">
      <c r="A112" s="44" t="s">
        <v>495</v>
      </c>
      <c r="C112" s="44" t="s">
        <v>139</v>
      </c>
      <c r="E112" s="44">
        <f t="shared" si="8"/>
        <v>0</v>
      </c>
      <c r="M112" s="44">
        <f t="shared" si="9"/>
        <v>0</v>
      </c>
      <c r="Y112" s="44">
        <f t="shared" si="10"/>
        <v>0</v>
      </c>
      <c r="AB112" s="44">
        <f t="shared" si="11"/>
        <v>0</v>
      </c>
    </row>
    <row r="113" spans="1:28" ht="12.75" customHeight="1">
      <c r="A113" s="44" t="s">
        <v>140</v>
      </c>
      <c r="C113" s="44" t="s">
        <v>66</v>
      </c>
      <c r="E113" s="44">
        <f t="shared" si="8"/>
        <v>64494515</v>
      </c>
      <c r="G113" s="44">
        <v>120914044</v>
      </c>
      <c r="I113" s="44">
        <v>0</v>
      </c>
      <c r="K113" s="44">
        <v>185408559</v>
      </c>
      <c r="M113" s="44">
        <f t="shared" si="9"/>
        <v>19485079</v>
      </c>
      <c r="O113" s="44">
        <v>8480553</v>
      </c>
      <c r="Q113" s="44">
        <v>27965632</v>
      </c>
      <c r="S113" s="44">
        <v>113438967</v>
      </c>
      <c r="U113" s="44">
        <v>7330525</v>
      </c>
      <c r="W113" s="44">
        <v>36673435</v>
      </c>
      <c r="Y113" s="44">
        <f t="shared" si="10"/>
        <v>157442927</v>
      </c>
      <c r="AB113" s="44">
        <f t="shared" si="11"/>
        <v>0</v>
      </c>
    </row>
    <row r="114" spans="1:28" ht="12.75" customHeight="1">
      <c r="A114" s="44" t="s">
        <v>479</v>
      </c>
      <c r="C114" s="44" t="s">
        <v>92</v>
      </c>
      <c r="E114" s="44">
        <f t="shared" si="8"/>
        <v>4193626</v>
      </c>
      <c r="G114" s="44">
        <v>20247179</v>
      </c>
      <c r="I114" s="44">
        <v>0</v>
      </c>
      <c r="K114" s="44">
        <v>24440805</v>
      </c>
      <c r="M114" s="44">
        <f t="shared" si="9"/>
        <v>2312867</v>
      </c>
      <c r="O114" s="44">
        <v>5043544</v>
      </c>
      <c r="Q114" s="44">
        <v>7356411</v>
      </c>
      <c r="S114" s="44">
        <v>15715084</v>
      </c>
      <c r="U114" s="44">
        <v>1293283</v>
      </c>
      <c r="W114" s="44">
        <v>76027</v>
      </c>
      <c r="Y114" s="44">
        <f t="shared" si="10"/>
        <v>17084394</v>
      </c>
      <c r="AB114" s="44">
        <f t="shared" si="11"/>
        <v>0</v>
      </c>
    </row>
    <row r="115" spans="1:28" ht="12.75" customHeight="1">
      <c r="A115" s="44" t="s">
        <v>141</v>
      </c>
      <c r="C115" s="44" t="s">
        <v>27</v>
      </c>
      <c r="E115" s="44">
        <f t="shared" si="8"/>
        <v>36778796</v>
      </c>
      <c r="G115" s="44">
        <f>9990338+50380154</f>
        <v>60370492</v>
      </c>
      <c r="I115" s="44">
        <v>0</v>
      </c>
      <c r="K115" s="44">
        <v>97149288</v>
      </c>
      <c r="M115" s="44">
        <f t="shared" si="9"/>
        <v>22798502</v>
      </c>
      <c r="O115" s="44">
        <v>44251074</v>
      </c>
      <c r="Q115" s="44">
        <v>67049576</v>
      </c>
      <c r="S115" s="44">
        <v>17864648</v>
      </c>
      <c r="U115" s="44">
        <f>3092758+1543403+4660608</f>
        <v>9296769</v>
      </c>
      <c r="W115" s="44">
        <v>2938295</v>
      </c>
      <c r="Y115" s="44">
        <f t="shared" si="10"/>
        <v>30099712</v>
      </c>
      <c r="AB115" s="44">
        <f t="shared" si="11"/>
        <v>0</v>
      </c>
    </row>
    <row r="116" spans="1:28" ht="12.75" customHeight="1">
      <c r="A116" s="44" t="s">
        <v>142</v>
      </c>
      <c r="C116" s="44" t="s">
        <v>102</v>
      </c>
      <c r="E116" s="44">
        <f t="shared" si="8"/>
        <v>24803927</v>
      </c>
      <c r="G116" s="44">
        <v>38321058</v>
      </c>
      <c r="I116" s="44">
        <v>0</v>
      </c>
      <c r="K116" s="44">
        <v>63124985</v>
      </c>
      <c r="M116" s="44">
        <f t="shared" si="9"/>
        <v>13693955</v>
      </c>
      <c r="O116" s="44">
        <v>9684084</v>
      </c>
      <c r="Q116" s="44">
        <v>23378039</v>
      </c>
      <c r="S116" s="44">
        <v>25645197</v>
      </c>
      <c r="U116" s="44">
        <v>10062909</v>
      </c>
      <c r="W116" s="44">
        <v>4038840</v>
      </c>
      <c r="Y116" s="44">
        <f t="shared" si="10"/>
        <v>39746946</v>
      </c>
      <c r="AB116" s="44">
        <f t="shared" si="11"/>
        <v>0</v>
      </c>
    </row>
    <row r="117" spans="1:28" ht="12.75" customHeight="1">
      <c r="A117" s="44" t="s">
        <v>143</v>
      </c>
      <c r="C117" s="44" t="s">
        <v>111</v>
      </c>
      <c r="E117" s="44">
        <f t="shared" si="8"/>
        <v>27828467</v>
      </c>
      <c r="G117" s="44">
        <v>42787226</v>
      </c>
      <c r="I117" s="44">
        <v>0</v>
      </c>
      <c r="K117" s="44">
        <v>70615693</v>
      </c>
      <c r="M117" s="44">
        <f t="shared" si="9"/>
        <v>8321143</v>
      </c>
      <c r="O117" s="44">
        <v>8272517</v>
      </c>
      <c r="Q117" s="44">
        <v>16593660</v>
      </c>
      <c r="S117" s="44">
        <v>34628872</v>
      </c>
      <c r="U117" s="44">
        <v>14585706</v>
      </c>
      <c r="W117" s="44">
        <v>4807455</v>
      </c>
      <c r="Y117" s="44">
        <f t="shared" si="10"/>
        <v>54022033</v>
      </c>
      <c r="AB117" s="44">
        <f t="shared" si="11"/>
        <v>0</v>
      </c>
    </row>
    <row r="118" spans="1:28" ht="12.75" customHeight="1">
      <c r="A118" s="44" t="s">
        <v>144</v>
      </c>
      <c r="C118" s="44" t="s">
        <v>88</v>
      </c>
      <c r="E118" s="44">
        <f t="shared" si="8"/>
        <v>31822864</v>
      </c>
      <c r="G118" s="44">
        <v>41847350</v>
      </c>
      <c r="I118" s="44">
        <v>0</v>
      </c>
      <c r="K118" s="44">
        <v>73670214</v>
      </c>
      <c r="M118" s="44">
        <f t="shared" si="9"/>
        <v>16582574</v>
      </c>
      <c r="O118" s="44">
        <v>3898319</v>
      </c>
      <c r="Q118" s="44">
        <v>20480893</v>
      </c>
      <c r="S118" s="44">
        <v>39603772</v>
      </c>
      <c r="U118" s="44">
        <v>8069692</v>
      </c>
      <c r="W118" s="44">
        <v>5515857</v>
      </c>
      <c r="Y118" s="44">
        <f t="shared" si="10"/>
        <v>53189321</v>
      </c>
      <c r="AB118" s="44">
        <f t="shared" si="11"/>
        <v>0</v>
      </c>
    </row>
    <row r="119" spans="1:28" ht="12.75" customHeight="1">
      <c r="A119" s="44" t="s">
        <v>36</v>
      </c>
      <c r="C119" s="44" t="s">
        <v>145</v>
      </c>
      <c r="E119" s="44">
        <f t="shared" si="8"/>
        <v>3237014</v>
      </c>
      <c r="G119" s="44">
        <v>6339118</v>
      </c>
      <c r="I119" s="44">
        <v>0</v>
      </c>
      <c r="K119" s="44">
        <v>9576132</v>
      </c>
      <c r="M119" s="44">
        <f t="shared" si="9"/>
        <v>874549</v>
      </c>
      <c r="O119" s="44">
        <v>559150</v>
      </c>
      <c r="Q119" s="44">
        <v>1433699</v>
      </c>
      <c r="S119" s="44">
        <v>5861934</v>
      </c>
      <c r="U119" s="44">
        <v>1021865</v>
      </c>
      <c r="W119" s="44">
        <v>1258634</v>
      </c>
      <c r="Y119" s="44">
        <f t="shared" si="10"/>
        <v>8142433</v>
      </c>
      <c r="AB119" s="44">
        <f t="shared" si="11"/>
        <v>0</v>
      </c>
    </row>
    <row r="120" spans="1:28" ht="12.75" customHeight="1">
      <c r="A120" s="44" t="s">
        <v>146</v>
      </c>
      <c r="C120" s="44" t="s">
        <v>147</v>
      </c>
      <c r="E120" s="44">
        <f t="shared" si="8"/>
        <v>6828846</v>
      </c>
      <c r="G120" s="44">
        <v>14430917</v>
      </c>
      <c r="I120" s="44">
        <v>0</v>
      </c>
      <c r="K120" s="44">
        <v>21259763</v>
      </c>
      <c r="M120" s="44">
        <f t="shared" si="9"/>
        <v>2817072</v>
      </c>
      <c r="O120" s="44">
        <v>1673317</v>
      </c>
      <c r="Q120" s="44">
        <v>4490389</v>
      </c>
      <c r="S120" s="44">
        <v>12857626</v>
      </c>
      <c r="U120" s="44">
        <v>2515302</v>
      </c>
      <c r="W120" s="44">
        <v>1396446</v>
      </c>
      <c r="Y120" s="44">
        <f t="shared" si="10"/>
        <v>16769374</v>
      </c>
      <c r="AB120" s="44">
        <f t="shared" si="11"/>
        <v>0</v>
      </c>
    </row>
    <row r="121" spans="1:28" ht="12.75" customHeight="1">
      <c r="A121" s="44" t="s">
        <v>17</v>
      </c>
      <c r="C121" s="44" t="s">
        <v>17</v>
      </c>
      <c r="E121" s="44">
        <f t="shared" si="8"/>
        <v>49016460</v>
      </c>
      <c r="G121" s="44">
        <f>16675401+122300685</f>
        <v>138976086</v>
      </c>
      <c r="I121" s="44">
        <v>0</v>
      </c>
      <c r="K121" s="44">
        <v>187992546</v>
      </c>
      <c r="M121" s="44">
        <f t="shared" si="9"/>
        <v>17905686</v>
      </c>
      <c r="O121" s="44">
        <v>43444431</v>
      </c>
      <c r="Q121" s="44">
        <v>61350117</v>
      </c>
      <c r="S121" s="44">
        <v>97026059</v>
      </c>
      <c r="U121" s="44">
        <f>1235939+833898+24612268+1090098+1022586+852094+991591+753219</f>
        <v>31391693</v>
      </c>
      <c r="W121" s="44">
        <v>-1775323</v>
      </c>
      <c r="Y121" s="44">
        <f t="shared" si="10"/>
        <v>126642429</v>
      </c>
      <c r="AB121" s="44">
        <f t="shared" si="11"/>
        <v>0</v>
      </c>
    </row>
    <row r="122" spans="1:28" ht="12.75" customHeight="1">
      <c r="A122" s="44" t="s">
        <v>148</v>
      </c>
      <c r="C122" s="44" t="s">
        <v>15</v>
      </c>
      <c r="E122" s="44">
        <f t="shared" si="8"/>
        <v>3410116</v>
      </c>
      <c r="G122" s="44">
        <f>307499+2390883</f>
        <v>2698382</v>
      </c>
      <c r="I122" s="44">
        <v>0</v>
      </c>
      <c r="K122" s="44">
        <v>6108498</v>
      </c>
      <c r="M122" s="44">
        <f t="shared" si="9"/>
        <v>721368</v>
      </c>
      <c r="O122" s="44">
        <v>484073</v>
      </c>
      <c r="Q122" s="44">
        <v>1205441</v>
      </c>
      <c r="S122" s="44">
        <v>2373253</v>
      </c>
      <c r="U122" s="44">
        <f>102786+8395+361376+149635+26874</f>
        <v>649066</v>
      </c>
      <c r="W122" s="44">
        <v>1880738</v>
      </c>
      <c r="Y122" s="44">
        <f t="shared" si="10"/>
        <v>4903057</v>
      </c>
      <c r="AB122" s="44">
        <f t="shared" si="11"/>
        <v>0</v>
      </c>
    </row>
    <row r="123" spans="1:28" ht="12.75" customHeight="1">
      <c r="A123" s="44" t="s">
        <v>149</v>
      </c>
      <c r="C123" s="44" t="s">
        <v>45</v>
      </c>
      <c r="E123" s="44">
        <f t="shared" si="8"/>
        <v>7745242</v>
      </c>
      <c r="G123" s="44">
        <f>4247285+18019500</f>
        <v>22266785</v>
      </c>
      <c r="I123" s="44">
        <v>0</v>
      </c>
      <c r="K123" s="44">
        <v>30012027</v>
      </c>
      <c r="M123" s="44">
        <f t="shared" si="9"/>
        <v>4064286</v>
      </c>
      <c r="O123" s="44">
        <v>7623902</v>
      </c>
      <c r="Q123" s="44">
        <v>11688188</v>
      </c>
      <c r="S123" s="44">
        <v>14830399</v>
      </c>
      <c r="U123" s="44">
        <f>807640+3392889</f>
        <v>4200529</v>
      </c>
      <c r="W123" s="44">
        <v>-707089</v>
      </c>
      <c r="Y123" s="44">
        <f t="shared" si="10"/>
        <v>18323839</v>
      </c>
      <c r="AB123" s="44">
        <f t="shared" si="11"/>
        <v>0</v>
      </c>
    </row>
    <row r="124" spans="1:28" ht="12.75" customHeight="1">
      <c r="A124" s="44" t="s">
        <v>150</v>
      </c>
      <c r="C124" s="44" t="s">
        <v>27</v>
      </c>
      <c r="E124" s="44">
        <f t="shared" si="8"/>
        <v>27222920</v>
      </c>
      <c r="G124" s="44">
        <v>78900627</v>
      </c>
      <c r="I124" s="44">
        <v>0</v>
      </c>
      <c r="K124" s="44">
        <v>106123547</v>
      </c>
      <c r="M124" s="44">
        <f t="shared" si="9"/>
        <v>7155795</v>
      </c>
      <c r="O124" s="44">
        <v>3055059</v>
      </c>
      <c r="Q124" s="44">
        <v>10210854</v>
      </c>
      <c r="S124" s="44">
        <v>75699364</v>
      </c>
      <c r="U124" s="44">
        <f>9522691+1039487+4218509</f>
        <v>14780687</v>
      </c>
      <c r="W124" s="44">
        <v>5432642</v>
      </c>
      <c r="Y124" s="44">
        <f t="shared" si="10"/>
        <v>95912693</v>
      </c>
      <c r="AB124" s="44">
        <f t="shared" si="11"/>
        <v>0</v>
      </c>
    </row>
    <row r="125" spans="1:28" ht="12.75" customHeight="1">
      <c r="A125" s="44" t="s">
        <v>151</v>
      </c>
      <c r="C125" s="44" t="s">
        <v>13</v>
      </c>
      <c r="E125" s="44">
        <f t="shared" si="8"/>
        <v>11313204</v>
      </c>
      <c r="G125" s="44">
        <v>43176600</v>
      </c>
      <c r="I125" s="44">
        <v>0</v>
      </c>
      <c r="K125" s="44">
        <v>54489804</v>
      </c>
      <c r="M125" s="44">
        <f t="shared" si="9"/>
        <v>4488902</v>
      </c>
      <c r="O125" s="44">
        <v>12577867</v>
      </c>
      <c r="Q125" s="44">
        <v>17066769</v>
      </c>
      <c r="S125" s="44">
        <v>29826053</v>
      </c>
      <c r="U125" s="44">
        <v>6225963</v>
      </c>
      <c r="W125" s="44">
        <v>1371019</v>
      </c>
      <c r="Y125" s="44">
        <f t="shared" si="10"/>
        <v>37423035</v>
      </c>
      <c r="AB125" s="44">
        <f t="shared" si="11"/>
        <v>0</v>
      </c>
    </row>
    <row r="126" spans="1:28" ht="12.75" customHeight="1">
      <c r="A126" s="44" t="s">
        <v>482</v>
      </c>
      <c r="C126" s="44" t="s">
        <v>45</v>
      </c>
      <c r="E126" s="44">
        <f t="shared" si="8"/>
        <v>6867417</v>
      </c>
      <c r="G126" s="44">
        <v>3912172</v>
      </c>
      <c r="I126" s="44">
        <v>0</v>
      </c>
      <c r="K126" s="44">
        <v>10779589</v>
      </c>
      <c r="M126" s="44">
        <f t="shared" si="9"/>
        <v>2643605</v>
      </c>
      <c r="O126" s="44">
        <v>896318</v>
      </c>
      <c r="Q126" s="44">
        <v>3539923</v>
      </c>
      <c r="S126" s="44">
        <v>2847172</v>
      </c>
      <c r="U126" s="44">
        <v>780269</v>
      </c>
      <c r="W126" s="44">
        <v>3612225</v>
      </c>
      <c r="Y126" s="44">
        <f t="shared" si="10"/>
        <v>7239666</v>
      </c>
      <c r="AB126" s="44">
        <f t="shared" si="11"/>
        <v>0</v>
      </c>
    </row>
    <row r="127" spans="1:28" ht="12.75" customHeight="1">
      <c r="A127" s="44" t="s">
        <v>152</v>
      </c>
      <c r="C127" s="44" t="s">
        <v>153</v>
      </c>
      <c r="E127" s="44">
        <f t="shared" si="8"/>
        <v>29505316</v>
      </c>
      <c r="G127" s="44">
        <v>50705562</v>
      </c>
      <c r="I127" s="44">
        <v>0</v>
      </c>
      <c r="K127" s="44">
        <v>80210878</v>
      </c>
      <c r="M127" s="44">
        <f t="shared" si="9"/>
        <v>9497668</v>
      </c>
      <c r="O127" s="44">
        <v>9180066</v>
      </c>
      <c r="Q127" s="44">
        <v>18677734</v>
      </c>
      <c r="S127" s="44">
        <v>45098513</v>
      </c>
      <c r="U127" s="44">
        <v>15824043</v>
      </c>
      <c r="W127" s="44">
        <v>610588</v>
      </c>
      <c r="Y127" s="44">
        <f t="shared" si="10"/>
        <v>61533144</v>
      </c>
      <c r="AB127" s="44">
        <f t="shared" si="11"/>
        <v>0</v>
      </c>
    </row>
    <row r="128" spans="1:28" s="137" customFormat="1" ht="12.75" hidden="1" customHeight="1">
      <c r="A128" s="137" t="s">
        <v>154</v>
      </c>
      <c r="B128" s="138"/>
      <c r="C128" s="137" t="s">
        <v>27</v>
      </c>
      <c r="D128" s="138"/>
      <c r="E128" s="137">
        <f t="shared" si="8"/>
        <v>0</v>
      </c>
      <c r="M128" s="137">
        <f t="shared" si="9"/>
        <v>0</v>
      </c>
      <c r="Y128" s="137">
        <f t="shared" si="10"/>
        <v>0</v>
      </c>
      <c r="AB128" s="137">
        <f t="shared" si="11"/>
        <v>0</v>
      </c>
    </row>
    <row r="129" spans="1:28" ht="12.75" customHeight="1">
      <c r="A129" s="44" t="s">
        <v>155</v>
      </c>
      <c r="C129" s="44" t="s">
        <v>40</v>
      </c>
      <c r="E129" s="44">
        <f t="shared" si="8"/>
        <v>15217455</v>
      </c>
      <c r="G129" s="44">
        <f>4028708+15973832</f>
        <v>20002540</v>
      </c>
      <c r="I129" s="44">
        <v>0</v>
      </c>
      <c r="K129" s="44">
        <v>35219995</v>
      </c>
      <c r="M129" s="44">
        <f t="shared" si="9"/>
        <v>3559291</v>
      </c>
      <c r="O129" s="44">
        <v>2158613</v>
      </c>
      <c r="Q129" s="44">
        <v>5717904</v>
      </c>
      <c r="S129" s="44">
        <v>18705712</v>
      </c>
      <c r="U129" s="44">
        <f>29502091-2158812-18705712</f>
        <v>8637567</v>
      </c>
      <c r="W129" s="44">
        <v>2158812</v>
      </c>
      <c r="Y129" s="44">
        <f t="shared" si="10"/>
        <v>29502091</v>
      </c>
      <c r="AB129" s="44">
        <f t="shared" si="11"/>
        <v>0</v>
      </c>
    </row>
    <row r="130" spans="1:28" ht="12.75" customHeight="1">
      <c r="A130" s="44" t="s">
        <v>156</v>
      </c>
      <c r="C130" s="44" t="s">
        <v>156</v>
      </c>
      <c r="E130" s="44">
        <f t="shared" si="8"/>
        <v>16927543</v>
      </c>
      <c r="G130" s="44">
        <v>58718047</v>
      </c>
      <c r="I130" s="44">
        <v>0</v>
      </c>
      <c r="K130" s="44">
        <v>75645590</v>
      </c>
      <c r="M130" s="44">
        <f t="shared" si="9"/>
        <v>7641846</v>
      </c>
      <c r="O130" s="44">
        <v>5842925</v>
      </c>
      <c r="Q130" s="44">
        <v>13484771</v>
      </c>
      <c r="S130" s="44">
        <v>54707830</v>
      </c>
      <c r="U130" s="44">
        <v>4629484</v>
      </c>
      <c r="W130" s="44">
        <v>2823505</v>
      </c>
      <c r="Y130" s="44">
        <f t="shared" si="10"/>
        <v>62160819</v>
      </c>
      <c r="AB130" s="44">
        <f t="shared" si="11"/>
        <v>0</v>
      </c>
    </row>
    <row r="131" spans="1:28" ht="12.75" customHeight="1">
      <c r="A131" s="44" t="s">
        <v>157</v>
      </c>
      <c r="C131" s="44" t="s">
        <v>33</v>
      </c>
      <c r="E131" s="44">
        <f t="shared" si="8"/>
        <v>4933269</v>
      </c>
      <c r="G131" s="44">
        <v>2961549</v>
      </c>
      <c r="I131" s="44">
        <v>0</v>
      </c>
      <c r="K131" s="44">
        <v>7894818</v>
      </c>
      <c r="M131" s="44">
        <f t="shared" si="9"/>
        <v>1039097</v>
      </c>
      <c r="O131" s="44">
        <v>275765</v>
      </c>
      <c r="Q131" s="44">
        <v>1314862</v>
      </c>
      <c r="S131" s="44">
        <v>2570776</v>
      </c>
      <c r="U131" s="44">
        <v>3009181</v>
      </c>
      <c r="W131" s="44">
        <v>999999</v>
      </c>
      <c r="Y131" s="44">
        <f t="shared" si="10"/>
        <v>6579956</v>
      </c>
      <c r="AB131" s="44">
        <f t="shared" si="11"/>
        <v>0</v>
      </c>
    </row>
    <row r="132" spans="1:28" ht="12.75" customHeight="1">
      <c r="A132" s="44" t="s">
        <v>158</v>
      </c>
      <c r="C132" s="44" t="s">
        <v>159</v>
      </c>
      <c r="E132" s="44">
        <f t="shared" si="8"/>
        <v>20638640</v>
      </c>
      <c r="G132" s="44">
        <v>36728477</v>
      </c>
      <c r="I132" s="44">
        <v>0</v>
      </c>
      <c r="K132" s="44">
        <v>57367117</v>
      </c>
      <c r="M132" s="44">
        <f t="shared" si="9"/>
        <v>19037794</v>
      </c>
      <c r="O132" s="44">
        <v>7803650</v>
      </c>
      <c r="Q132" s="44">
        <v>26841444</v>
      </c>
      <c r="S132" s="44">
        <v>19625182</v>
      </c>
      <c r="U132" s="44">
        <v>4358757</v>
      </c>
      <c r="W132" s="44">
        <v>6541734</v>
      </c>
      <c r="Y132" s="44">
        <f t="shared" si="10"/>
        <v>30525673</v>
      </c>
      <c r="AB132" s="44">
        <f t="shared" si="11"/>
        <v>0</v>
      </c>
    </row>
    <row r="133" spans="1:28" ht="12.75" customHeight="1">
      <c r="K133" s="48" t="s">
        <v>485</v>
      </c>
      <c r="Y133" s="48" t="s">
        <v>485</v>
      </c>
    </row>
    <row r="134" spans="1:28" s="46" customFormat="1" ht="12.75" customHeight="1">
      <c r="A134" s="46" t="s">
        <v>160</v>
      </c>
      <c r="C134" s="46" t="s">
        <v>111</v>
      </c>
      <c r="E134" s="46">
        <f t="shared" si="8"/>
        <v>65176235</v>
      </c>
      <c r="G134" s="46">
        <v>149033803</v>
      </c>
      <c r="I134" s="46">
        <v>0</v>
      </c>
      <c r="K134" s="46">
        <v>214210038</v>
      </c>
      <c r="M134" s="46">
        <f t="shared" si="9"/>
        <v>20917993</v>
      </c>
      <c r="O134" s="46">
        <v>38953324</v>
      </c>
      <c r="Q134" s="46">
        <v>59871317</v>
      </c>
      <c r="S134" s="46">
        <v>104100152</v>
      </c>
      <c r="U134" s="46">
        <v>10333563</v>
      </c>
      <c r="W134" s="46">
        <v>39905006</v>
      </c>
      <c r="Y134" s="46">
        <f t="shared" si="10"/>
        <v>154338721</v>
      </c>
      <c r="AB134" s="46">
        <f t="shared" si="11"/>
        <v>0</v>
      </c>
    </row>
    <row r="135" spans="1:28" ht="12.75" customHeight="1">
      <c r="A135" s="44" t="s">
        <v>161</v>
      </c>
      <c r="C135" s="44" t="s">
        <v>15</v>
      </c>
      <c r="E135" s="44">
        <f t="shared" si="8"/>
        <v>15197150</v>
      </c>
      <c r="G135" s="44">
        <v>40816645</v>
      </c>
      <c r="I135" s="44">
        <v>0</v>
      </c>
      <c r="K135" s="44">
        <v>56013795</v>
      </c>
      <c r="M135" s="44">
        <f t="shared" si="9"/>
        <v>4953534</v>
      </c>
      <c r="O135" s="44">
        <v>24328382</v>
      </c>
      <c r="Q135" s="44">
        <v>29281916</v>
      </c>
      <c r="S135" s="44">
        <v>20948642</v>
      </c>
      <c r="U135" s="44">
        <v>7835072</v>
      </c>
      <c r="W135" s="44">
        <v>-2051835</v>
      </c>
      <c r="Y135" s="44">
        <f t="shared" si="10"/>
        <v>26731879</v>
      </c>
      <c r="AB135" s="44">
        <f t="shared" si="11"/>
        <v>0</v>
      </c>
    </row>
    <row r="136" spans="1:28" ht="12.75" customHeight="1">
      <c r="A136" s="44" t="s">
        <v>162</v>
      </c>
      <c r="C136" s="44" t="s">
        <v>163</v>
      </c>
      <c r="E136" s="44">
        <f t="shared" si="8"/>
        <v>44606024</v>
      </c>
      <c r="G136" s="44">
        <v>73755401</v>
      </c>
      <c r="I136" s="44">
        <v>0</v>
      </c>
      <c r="K136" s="44">
        <v>118361425</v>
      </c>
      <c r="M136" s="44">
        <f t="shared" si="9"/>
        <v>14544160</v>
      </c>
      <c r="O136" s="44">
        <v>19958264</v>
      </c>
      <c r="Q136" s="44">
        <v>34502424</v>
      </c>
      <c r="S136" s="44">
        <v>54379252</v>
      </c>
      <c r="U136" s="44">
        <v>695116</v>
      </c>
      <c r="W136" s="44">
        <v>28784633</v>
      </c>
      <c r="Y136" s="44">
        <f t="shared" si="10"/>
        <v>83859001</v>
      </c>
      <c r="AB136" s="44">
        <f t="shared" si="11"/>
        <v>0</v>
      </c>
    </row>
    <row r="137" spans="1:28" ht="12.75" customHeight="1">
      <c r="A137" s="44" t="s">
        <v>164</v>
      </c>
      <c r="C137" s="44" t="s">
        <v>27</v>
      </c>
      <c r="E137" s="44">
        <f t="shared" si="8"/>
        <v>29444180</v>
      </c>
      <c r="G137" s="44">
        <v>39373362</v>
      </c>
      <c r="I137" s="44">
        <v>0</v>
      </c>
      <c r="K137" s="44">
        <v>68817542</v>
      </c>
      <c r="M137" s="44">
        <f t="shared" si="9"/>
        <v>8232135</v>
      </c>
      <c r="O137" s="44">
        <v>9237146</v>
      </c>
      <c r="Q137" s="44">
        <v>17469281</v>
      </c>
      <c r="S137" s="44">
        <v>33488375</v>
      </c>
      <c r="U137" s="44">
        <v>1446894</v>
      </c>
      <c r="W137" s="44">
        <v>16412992</v>
      </c>
      <c r="Y137" s="44">
        <f t="shared" ref="Y137:Y196" si="12">S137+U137+W137</f>
        <v>51348261</v>
      </c>
      <c r="AB137" s="44">
        <f t="shared" si="11"/>
        <v>0</v>
      </c>
    </row>
    <row r="138" spans="1:28" ht="12.75" customHeight="1">
      <c r="A138" s="44" t="s">
        <v>53</v>
      </c>
      <c r="C138" s="44" t="s">
        <v>53</v>
      </c>
      <c r="E138" s="44">
        <f t="shared" si="8"/>
        <v>37775234</v>
      </c>
      <c r="G138" s="44">
        <v>18369902</v>
      </c>
      <c r="I138" s="44">
        <v>0</v>
      </c>
      <c r="K138" s="44">
        <v>56145136</v>
      </c>
      <c r="M138" s="44">
        <f t="shared" si="9"/>
        <v>4828249</v>
      </c>
      <c r="O138" s="44">
        <v>2360109</v>
      </c>
      <c r="Q138" s="44">
        <v>7188358</v>
      </c>
      <c r="S138" s="44">
        <v>16009778</v>
      </c>
      <c r="U138" s="44">
        <v>21487833</v>
      </c>
      <c r="W138" s="44">
        <v>11459167</v>
      </c>
      <c r="Y138" s="44">
        <f t="shared" si="12"/>
        <v>48956778</v>
      </c>
      <c r="AB138" s="44">
        <f t="shared" si="11"/>
        <v>0</v>
      </c>
    </row>
    <row r="139" spans="1:28" ht="12.75" customHeight="1">
      <c r="A139" s="44" t="s">
        <v>165</v>
      </c>
      <c r="C139" s="44" t="s">
        <v>92</v>
      </c>
      <c r="E139" s="44">
        <f t="shared" si="8"/>
        <v>49636897</v>
      </c>
      <c r="G139" s="44">
        <v>179994004</v>
      </c>
      <c r="I139" s="44">
        <v>0</v>
      </c>
      <c r="K139" s="44">
        <v>229630901</v>
      </c>
      <c r="M139" s="44">
        <f t="shared" si="9"/>
        <v>21264305</v>
      </c>
      <c r="O139" s="44">
        <v>25011784</v>
      </c>
      <c r="Q139" s="44">
        <v>46276089</v>
      </c>
      <c r="S139" s="44">
        <v>146853882</v>
      </c>
      <c r="U139" s="44">
        <v>16883090</v>
      </c>
      <c r="W139" s="44">
        <v>19617840</v>
      </c>
      <c r="Y139" s="44">
        <f t="shared" si="12"/>
        <v>183354812</v>
      </c>
      <c r="AB139" s="44">
        <f t="shared" si="11"/>
        <v>0</v>
      </c>
    </row>
    <row r="140" spans="1:28" ht="12.75" customHeight="1">
      <c r="A140" s="44" t="s">
        <v>166</v>
      </c>
      <c r="C140" s="44" t="s">
        <v>92</v>
      </c>
      <c r="E140" s="44">
        <f t="shared" si="8"/>
        <v>3983141</v>
      </c>
      <c r="G140" s="44">
        <v>4012839</v>
      </c>
      <c r="I140" s="44">
        <v>0</v>
      </c>
      <c r="K140" s="44">
        <v>7995980</v>
      </c>
      <c r="M140" s="44">
        <f t="shared" si="9"/>
        <v>3326551</v>
      </c>
      <c r="O140" s="44">
        <v>511322</v>
      </c>
      <c r="Q140" s="44">
        <v>3837873</v>
      </c>
      <c r="S140" s="44">
        <v>2755753</v>
      </c>
      <c r="U140" s="44">
        <v>378305</v>
      </c>
      <c r="W140" s="44">
        <v>1024049</v>
      </c>
      <c r="Y140" s="44">
        <f t="shared" si="12"/>
        <v>4158107</v>
      </c>
      <c r="AB140" s="44">
        <f t="shared" si="11"/>
        <v>0</v>
      </c>
    </row>
    <row r="141" spans="1:28" ht="12.75" customHeight="1">
      <c r="A141" s="44" t="s">
        <v>167</v>
      </c>
      <c r="C141" s="44" t="s">
        <v>66</v>
      </c>
      <c r="E141" s="44">
        <f t="shared" si="8"/>
        <v>21518528</v>
      </c>
      <c r="G141" s="44">
        <f>11675617+22346157</f>
        <v>34021774</v>
      </c>
      <c r="I141" s="44">
        <v>0</v>
      </c>
      <c r="K141" s="44">
        <v>55540302</v>
      </c>
      <c r="M141" s="44">
        <f t="shared" si="9"/>
        <v>4772072</v>
      </c>
      <c r="O141" s="44">
        <v>4727493</v>
      </c>
      <c r="Q141" s="44">
        <v>9499565</v>
      </c>
      <c r="S141" s="44">
        <v>31081774</v>
      </c>
      <c r="U141" s="44">
        <f>5376268+489657+2301712</f>
        <v>8167637</v>
      </c>
      <c r="W141" s="44">
        <v>6791326</v>
      </c>
      <c r="Y141" s="44">
        <f t="shared" si="12"/>
        <v>46040737</v>
      </c>
      <c r="AB141" s="44">
        <f t="shared" si="11"/>
        <v>0</v>
      </c>
    </row>
    <row r="142" spans="1:28" ht="12.75" customHeight="1">
      <c r="A142" s="44" t="s">
        <v>168</v>
      </c>
      <c r="C142" s="44" t="s">
        <v>27</v>
      </c>
      <c r="E142" s="44">
        <f t="shared" si="8"/>
        <v>16981226</v>
      </c>
      <c r="G142" s="44">
        <v>50123334</v>
      </c>
      <c r="I142" s="44">
        <v>0</v>
      </c>
      <c r="K142" s="44">
        <v>67104560</v>
      </c>
      <c r="M142" s="44">
        <f t="shared" si="9"/>
        <v>7840730</v>
      </c>
      <c r="O142" s="44">
        <v>15368671</v>
      </c>
      <c r="Q142" s="44">
        <v>23209401</v>
      </c>
      <c r="S142" s="44">
        <v>33747811</v>
      </c>
      <c r="U142" s="44">
        <v>5163860</v>
      </c>
      <c r="W142" s="44">
        <v>4983488</v>
      </c>
      <c r="Y142" s="44">
        <f t="shared" si="12"/>
        <v>43895159</v>
      </c>
      <c r="AB142" s="44">
        <f t="shared" si="11"/>
        <v>0</v>
      </c>
    </row>
    <row r="143" spans="1:28" ht="12.75" customHeight="1">
      <c r="A143" s="44" t="s">
        <v>169</v>
      </c>
      <c r="C143" s="44" t="s">
        <v>103</v>
      </c>
      <c r="E143" s="44">
        <f t="shared" si="8"/>
        <v>54596085</v>
      </c>
      <c r="G143" s="44">
        <f>12462365+69622995</f>
        <v>82085360</v>
      </c>
      <c r="I143" s="44">
        <v>0</v>
      </c>
      <c r="K143" s="44">
        <v>136681445</v>
      </c>
      <c r="M143" s="44">
        <f t="shared" si="9"/>
        <v>14147450</v>
      </c>
      <c r="O143" s="44">
        <v>29006379</v>
      </c>
      <c r="Q143" s="44">
        <v>43153829</v>
      </c>
      <c r="S143" s="44">
        <v>59870360</v>
      </c>
      <c r="U143" s="44">
        <f>3806193+1932009+12629353+2430727+5895652</f>
        <v>26693934</v>
      </c>
      <c r="W143" s="44">
        <v>6963322</v>
      </c>
      <c r="Y143" s="44">
        <f t="shared" si="12"/>
        <v>93527616</v>
      </c>
      <c r="AB143" s="44">
        <f t="shared" si="11"/>
        <v>0</v>
      </c>
    </row>
    <row r="144" spans="1:28" ht="12.75" customHeight="1">
      <c r="A144" s="44" t="s">
        <v>170</v>
      </c>
      <c r="C144" s="44" t="s">
        <v>171</v>
      </c>
      <c r="E144" s="44">
        <f t="shared" si="8"/>
        <v>11668195</v>
      </c>
      <c r="G144" s="44">
        <v>4478134</v>
      </c>
      <c r="I144" s="44">
        <v>0</v>
      </c>
      <c r="K144" s="44">
        <v>16146329</v>
      </c>
      <c r="M144" s="44">
        <f t="shared" si="9"/>
        <v>2821361</v>
      </c>
      <c r="O144" s="44">
        <v>3562953</v>
      </c>
      <c r="Q144" s="44">
        <v>6384314</v>
      </c>
      <c r="S144" s="44">
        <v>2489406</v>
      </c>
      <c r="U144" s="44">
        <v>2972233</v>
      </c>
      <c r="W144" s="44">
        <v>4300376</v>
      </c>
      <c r="Y144" s="44">
        <f t="shared" si="12"/>
        <v>9762015</v>
      </c>
      <c r="AB144" s="44">
        <f t="shared" si="11"/>
        <v>0</v>
      </c>
    </row>
    <row r="145" spans="1:28" ht="12.75" customHeight="1">
      <c r="A145" s="44" t="s">
        <v>172</v>
      </c>
      <c r="C145" s="44" t="s">
        <v>103</v>
      </c>
      <c r="E145" s="44">
        <f t="shared" si="8"/>
        <v>18642616</v>
      </c>
      <c r="G145" s="44">
        <v>44783285</v>
      </c>
      <c r="I145" s="44">
        <v>0</v>
      </c>
      <c r="K145" s="44">
        <v>63425901</v>
      </c>
      <c r="M145" s="44">
        <f t="shared" si="9"/>
        <v>7561931</v>
      </c>
      <c r="O145" s="44">
        <v>9301633</v>
      </c>
      <c r="Q145" s="44">
        <v>16863564</v>
      </c>
      <c r="S145" s="44">
        <v>35459009</v>
      </c>
      <c r="U145" s="44">
        <v>2123343</v>
      </c>
      <c r="W145" s="44">
        <v>8979985</v>
      </c>
      <c r="Y145" s="44">
        <f t="shared" si="12"/>
        <v>46562337</v>
      </c>
      <c r="AB145" s="44">
        <f t="shared" si="11"/>
        <v>0</v>
      </c>
    </row>
    <row r="146" spans="1:28" ht="12" customHeight="1">
      <c r="A146" s="44" t="s">
        <v>66</v>
      </c>
      <c r="C146" s="44" t="s">
        <v>45</v>
      </c>
      <c r="E146" s="44">
        <f t="shared" si="8"/>
        <v>34943369</v>
      </c>
      <c r="G146" s="44">
        <v>37316323</v>
      </c>
      <c r="I146" s="44">
        <v>0</v>
      </c>
      <c r="K146" s="44">
        <v>72259692</v>
      </c>
      <c r="M146" s="44">
        <f t="shared" si="9"/>
        <v>5390448</v>
      </c>
      <c r="O146" s="44">
        <v>7367874</v>
      </c>
      <c r="Q146" s="44">
        <v>12758322</v>
      </c>
      <c r="S146" s="44">
        <v>29267743</v>
      </c>
      <c r="U146" s="44">
        <v>17429659</v>
      </c>
      <c r="W146" s="44">
        <v>12803968</v>
      </c>
      <c r="Y146" s="44">
        <f t="shared" si="12"/>
        <v>59501370</v>
      </c>
      <c r="AB146" s="44">
        <f t="shared" si="11"/>
        <v>0</v>
      </c>
    </row>
    <row r="147" spans="1:28" ht="12.75" customHeight="1">
      <c r="A147" s="44" t="s">
        <v>173</v>
      </c>
      <c r="C147" s="44" t="s">
        <v>66</v>
      </c>
      <c r="E147" s="44">
        <f t="shared" ref="E147:E213" si="13">+K147-G147-I147</f>
        <v>29800816</v>
      </c>
      <c r="G147" s="44">
        <v>31549476</v>
      </c>
      <c r="I147" s="44">
        <v>0</v>
      </c>
      <c r="K147" s="44">
        <v>61350292</v>
      </c>
      <c r="M147" s="44">
        <f t="shared" ref="M147:M213" si="14">+Q147-O147</f>
        <v>8701478</v>
      </c>
      <c r="O147" s="44">
        <v>2415683</v>
      </c>
      <c r="Q147" s="44">
        <v>11117161</v>
      </c>
      <c r="S147" s="44">
        <v>26273936</v>
      </c>
      <c r="U147" s="44">
        <v>6074798</v>
      </c>
      <c r="W147" s="44">
        <v>17884397</v>
      </c>
      <c r="Y147" s="44">
        <f t="shared" si="12"/>
        <v>50233131</v>
      </c>
      <c r="AB147" s="44">
        <f t="shared" ref="AB147:AB213" si="15">+K147-Q147-Y147</f>
        <v>0</v>
      </c>
    </row>
    <row r="148" spans="1:28" ht="12.75" customHeight="1">
      <c r="A148" s="44" t="s">
        <v>174</v>
      </c>
      <c r="C148" s="44" t="s">
        <v>45</v>
      </c>
      <c r="E148" s="44">
        <f t="shared" si="13"/>
        <v>2283584</v>
      </c>
      <c r="G148" s="44">
        <v>3198400</v>
      </c>
      <c r="I148" s="44">
        <v>0</v>
      </c>
      <c r="K148" s="44">
        <v>5481984</v>
      </c>
      <c r="M148" s="44">
        <f t="shared" si="14"/>
        <v>1340824</v>
      </c>
      <c r="O148" s="44">
        <v>1330049</v>
      </c>
      <c r="Q148" s="44">
        <v>2670873</v>
      </c>
      <c r="S148" s="44">
        <v>1908478</v>
      </c>
      <c r="U148" s="44">
        <v>263944</v>
      </c>
      <c r="W148" s="44">
        <v>638689</v>
      </c>
      <c r="Y148" s="44">
        <f t="shared" si="12"/>
        <v>2811111</v>
      </c>
      <c r="AB148" s="44">
        <f t="shared" si="15"/>
        <v>0</v>
      </c>
    </row>
    <row r="149" spans="1:28" ht="12.75" customHeight="1">
      <c r="A149" s="44" t="s">
        <v>175</v>
      </c>
      <c r="C149" s="44" t="s">
        <v>176</v>
      </c>
      <c r="E149" s="44">
        <f t="shared" si="13"/>
        <v>13962409</v>
      </c>
      <c r="G149" s="44">
        <v>41855663</v>
      </c>
      <c r="I149" s="44">
        <v>0</v>
      </c>
      <c r="K149" s="44">
        <v>55818072</v>
      </c>
      <c r="M149" s="44">
        <f t="shared" si="14"/>
        <v>3746488</v>
      </c>
      <c r="O149" s="44">
        <v>6823684</v>
      </c>
      <c r="Q149" s="44">
        <v>10570172</v>
      </c>
      <c r="S149" s="44">
        <v>35789973</v>
      </c>
      <c r="U149" s="44">
        <v>4503529</v>
      </c>
      <c r="W149" s="44">
        <v>4954398</v>
      </c>
      <c r="Y149" s="44">
        <f t="shared" si="12"/>
        <v>45247900</v>
      </c>
      <c r="AB149" s="44">
        <f t="shared" si="15"/>
        <v>0</v>
      </c>
    </row>
    <row r="150" spans="1:28" ht="12.75" customHeight="1">
      <c r="A150" s="44" t="s">
        <v>177</v>
      </c>
      <c r="C150" s="44" t="s">
        <v>13</v>
      </c>
      <c r="E150" s="44">
        <f t="shared" si="13"/>
        <v>4620164</v>
      </c>
      <c r="G150" s="44">
        <v>6306318</v>
      </c>
      <c r="I150" s="44">
        <v>0</v>
      </c>
      <c r="K150" s="44">
        <v>10926482</v>
      </c>
      <c r="M150" s="44">
        <f t="shared" si="14"/>
        <v>1183720</v>
      </c>
      <c r="O150" s="44">
        <v>1288321</v>
      </c>
      <c r="Q150" s="44">
        <v>2472041</v>
      </c>
      <c r="S150" s="44">
        <v>5021371</v>
      </c>
      <c r="U150" s="44">
        <v>1865341</v>
      </c>
      <c r="W150" s="44">
        <v>1567729</v>
      </c>
      <c r="Y150" s="44">
        <f t="shared" si="12"/>
        <v>8454441</v>
      </c>
      <c r="AB150" s="44">
        <f t="shared" si="15"/>
        <v>0</v>
      </c>
    </row>
    <row r="151" spans="1:28" ht="12.75" customHeight="1">
      <c r="A151" s="44" t="s">
        <v>178</v>
      </c>
      <c r="C151" s="44" t="s">
        <v>179</v>
      </c>
      <c r="E151" s="44">
        <f t="shared" si="13"/>
        <v>10521826</v>
      </c>
      <c r="G151" s="44">
        <v>27166223</v>
      </c>
      <c r="I151" s="44">
        <v>0</v>
      </c>
      <c r="K151" s="44">
        <v>37688049</v>
      </c>
      <c r="M151" s="44">
        <f t="shared" si="14"/>
        <v>2415042</v>
      </c>
      <c r="O151" s="44">
        <v>1522670</v>
      </c>
      <c r="Q151" s="44">
        <v>3937712</v>
      </c>
      <c r="S151" s="44">
        <v>25879157</v>
      </c>
      <c r="U151" s="44">
        <v>5668640</v>
      </c>
      <c r="W151" s="44">
        <v>2202540</v>
      </c>
      <c r="Y151" s="44">
        <f t="shared" si="12"/>
        <v>33750337</v>
      </c>
      <c r="AB151" s="44">
        <f t="shared" si="15"/>
        <v>0</v>
      </c>
    </row>
    <row r="152" spans="1:28" s="137" customFormat="1" ht="12.75" hidden="1" customHeight="1">
      <c r="A152" s="137" t="s">
        <v>180</v>
      </c>
      <c r="B152" s="138"/>
      <c r="C152" s="137" t="s">
        <v>20</v>
      </c>
      <c r="D152" s="138"/>
      <c r="E152" s="137">
        <f t="shared" si="13"/>
        <v>0</v>
      </c>
      <c r="G152" s="137">
        <v>0</v>
      </c>
      <c r="I152" s="137">
        <v>0</v>
      </c>
      <c r="K152" s="137">
        <v>0</v>
      </c>
      <c r="M152" s="137">
        <f t="shared" si="14"/>
        <v>0</v>
      </c>
      <c r="O152" s="137">
        <v>0</v>
      </c>
      <c r="Q152" s="137">
        <v>0</v>
      </c>
      <c r="S152" s="137">
        <v>0</v>
      </c>
      <c r="U152" s="137">
        <v>0</v>
      </c>
      <c r="W152" s="137">
        <v>0</v>
      </c>
      <c r="Y152" s="137">
        <f t="shared" si="12"/>
        <v>0</v>
      </c>
      <c r="AB152" s="137">
        <f t="shared" si="15"/>
        <v>0</v>
      </c>
    </row>
    <row r="153" spans="1:28" ht="12.75" customHeight="1">
      <c r="A153" s="44" t="s">
        <v>182</v>
      </c>
      <c r="C153" s="44" t="s">
        <v>183</v>
      </c>
      <c r="E153" s="44">
        <f t="shared" si="13"/>
        <v>3951828</v>
      </c>
      <c r="G153" s="44">
        <v>3187991</v>
      </c>
      <c r="I153" s="44">
        <v>0</v>
      </c>
      <c r="K153" s="44">
        <v>7139819</v>
      </c>
      <c r="M153" s="44">
        <f t="shared" si="14"/>
        <v>1981095</v>
      </c>
      <c r="O153" s="44">
        <v>1509843</v>
      </c>
      <c r="Q153" s="44">
        <v>3490938</v>
      </c>
      <c r="S153" s="44">
        <v>363821</v>
      </c>
      <c r="U153" s="44">
        <v>2590025</v>
      </c>
      <c r="W153" s="44">
        <v>695035</v>
      </c>
      <c r="Y153" s="44">
        <f t="shared" si="12"/>
        <v>3648881</v>
      </c>
      <c r="AB153" s="44">
        <f t="shared" si="15"/>
        <v>0</v>
      </c>
    </row>
    <row r="154" spans="1:28" ht="12.75" customHeight="1">
      <c r="A154" s="44" t="s">
        <v>491</v>
      </c>
      <c r="C154" s="44" t="s">
        <v>13</v>
      </c>
      <c r="E154" s="44">
        <f>+K154-G154-I154</f>
        <v>7498074</v>
      </c>
      <c r="G154" s="44">
        <v>2854090</v>
      </c>
      <c r="I154" s="44">
        <v>0</v>
      </c>
      <c r="K154" s="44">
        <v>10352164</v>
      </c>
      <c r="M154" s="44">
        <f>+Q154-O154</f>
        <v>3376419</v>
      </c>
      <c r="O154" s="44">
        <v>576851</v>
      </c>
      <c r="Q154" s="44">
        <v>3953270</v>
      </c>
      <c r="S154" s="44">
        <v>2732083</v>
      </c>
      <c r="U154" s="44">
        <v>2023104</v>
      </c>
      <c r="W154" s="44">
        <v>1643707</v>
      </c>
      <c r="Y154" s="44">
        <f>S154+U154+W154</f>
        <v>6398894</v>
      </c>
      <c r="AB154" s="44">
        <f>+K154-Q154-Y154</f>
        <v>0</v>
      </c>
    </row>
    <row r="155" spans="1:28" ht="12.75" customHeight="1">
      <c r="A155" s="44" t="s">
        <v>184</v>
      </c>
      <c r="C155" s="44" t="s">
        <v>89</v>
      </c>
      <c r="E155" s="44">
        <f t="shared" si="13"/>
        <v>11301963</v>
      </c>
      <c r="G155" s="44">
        <v>26612103</v>
      </c>
      <c r="I155" s="44">
        <v>0</v>
      </c>
      <c r="K155" s="44">
        <v>37914066</v>
      </c>
      <c r="M155" s="44">
        <f t="shared" si="14"/>
        <v>3871359</v>
      </c>
      <c r="O155" s="44">
        <v>2708361</v>
      </c>
      <c r="Q155" s="44">
        <v>6579720</v>
      </c>
      <c r="S155" s="44">
        <v>23329064</v>
      </c>
      <c r="U155" s="44">
        <v>3011160</v>
      </c>
      <c r="W155" s="44">
        <v>4994122</v>
      </c>
      <c r="Y155" s="44">
        <f t="shared" si="12"/>
        <v>31334346</v>
      </c>
      <c r="AB155" s="44">
        <f t="shared" si="15"/>
        <v>0</v>
      </c>
    </row>
    <row r="156" spans="1:28" ht="12.75" customHeight="1">
      <c r="A156" s="44" t="s">
        <v>181</v>
      </c>
      <c r="C156" s="44" t="s">
        <v>125</v>
      </c>
      <c r="E156" s="44">
        <f t="shared" si="13"/>
        <v>28509556</v>
      </c>
      <c r="G156" s="44">
        <v>63322148</v>
      </c>
      <c r="I156" s="44">
        <v>0</v>
      </c>
      <c r="K156" s="44">
        <v>91831704</v>
      </c>
      <c r="M156" s="44">
        <f t="shared" si="14"/>
        <v>11255141</v>
      </c>
      <c r="O156" s="44">
        <v>19426132</v>
      </c>
      <c r="Q156" s="44">
        <v>30681273</v>
      </c>
      <c r="S156" s="44">
        <v>42336454</v>
      </c>
      <c r="U156" s="44">
        <v>10651987</v>
      </c>
      <c r="W156" s="44">
        <v>8161990</v>
      </c>
      <c r="Y156" s="44">
        <f t="shared" si="12"/>
        <v>61150431</v>
      </c>
      <c r="AB156" s="44">
        <f t="shared" si="15"/>
        <v>0</v>
      </c>
    </row>
    <row r="157" spans="1:28" ht="12.75" customHeight="1">
      <c r="A157" s="44" t="s">
        <v>185</v>
      </c>
      <c r="C157" s="44" t="s">
        <v>80</v>
      </c>
      <c r="E157" s="44">
        <f t="shared" si="13"/>
        <v>28583913</v>
      </c>
      <c r="G157" s="44">
        <v>8236280</v>
      </c>
      <c r="I157" s="44">
        <v>0</v>
      </c>
      <c r="K157" s="44">
        <v>36820193</v>
      </c>
      <c r="M157" s="44">
        <f t="shared" si="14"/>
        <v>6379579</v>
      </c>
      <c r="O157" s="44">
        <v>1294431</v>
      </c>
      <c r="Q157" s="44">
        <v>7674010</v>
      </c>
      <c r="S157" s="44">
        <v>7676365</v>
      </c>
      <c r="U157" s="44">
        <v>4380245</v>
      </c>
      <c r="W157" s="44">
        <v>17089573</v>
      </c>
      <c r="Y157" s="44">
        <f t="shared" si="12"/>
        <v>29146183</v>
      </c>
      <c r="AB157" s="44">
        <f t="shared" si="15"/>
        <v>0</v>
      </c>
    </row>
    <row r="158" spans="1:28" ht="12.75" customHeight="1">
      <c r="A158" s="44" t="s">
        <v>186</v>
      </c>
      <c r="C158" s="44" t="s">
        <v>15</v>
      </c>
      <c r="E158" s="44">
        <f t="shared" si="13"/>
        <v>12811297</v>
      </c>
      <c r="G158" s="44">
        <v>29364473</v>
      </c>
      <c r="I158" s="44">
        <v>0</v>
      </c>
      <c r="K158" s="44">
        <v>42175770</v>
      </c>
      <c r="M158" s="44">
        <f t="shared" si="14"/>
        <v>4186924</v>
      </c>
      <c r="O158" s="44">
        <v>3229510</v>
      </c>
      <c r="Q158" s="44">
        <v>7416434</v>
      </c>
      <c r="S158" s="44">
        <v>26480040</v>
      </c>
      <c r="U158" s="44">
        <v>3816059</v>
      </c>
      <c r="W158" s="44">
        <v>4463237</v>
      </c>
      <c r="Y158" s="44">
        <f t="shared" si="12"/>
        <v>34759336</v>
      </c>
      <c r="AB158" s="44">
        <f t="shared" si="15"/>
        <v>0</v>
      </c>
    </row>
    <row r="159" spans="1:28" ht="12.75" customHeight="1">
      <c r="A159" s="44" t="s">
        <v>187</v>
      </c>
      <c r="B159" s="44"/>
      <c r="C159" s="44" t="s">
        <v>27</v>
      </c>
      <c r="D159" s="44"/>
      <c r="E159" s="44">
        <f t="shared" si="13"/>
        <v>32079834</v>
      </c>
      <c r="G159" s="44">
        <v>76797518</v>
      </c>
      <c r="I159" s="44">
        <v>0</v>
      </c>
      <c r="K159" s="44">
        <v>108877352</v>
      </c>
      <c r="M159" s="44">
        <f t="shared" si="14"/>
        <v>19553419</v>
      </c>
      <c r="O159" s="44">
        <v>40417190</v>
      </c>
      <c r="Q159" s="44">
        <v>59970609</v>
      </c>
      <c r="S159" s="44">
        <v>35283838</v>
      </c>
      <c r="U159" s="44">
        <v>11815971</v>
      </c>
      <c r="W159" s="44">
        <v>1806934</v>
      </c>
      <c r="Y159" s="44">
        <f>S159+U159+W159</f>
        <v>48906743</v>
      </c>
      <c r="AB159" s="44">
        <f>+K159-Q159-Y159</f>
        <v>0</v>
      </c>
    </row>
    <row r="160" spans="1:28" ht="12.75" customHeight="1">
      <c r="A160" s="44" t="s">
        <v>189</v>
      </c>
      <c r="C160" s="44" t="s">
        <v>17</v>
      </c>
      <c r="E160" s="44">
        <f t="shared" si="13"/>
        <v>27109542</v>
      </c>
      <c r="G160" s="44">
        <v>61124004</v>
      </c>
      <c r="I160" s="44">
        <v>0</v>
      </c>
      <c r="K160" s="44">
        <v>88233546</v>
      </c>
      <c r="M160" s="44">
        <f t="shared" si="14"/>
        <v>11727706</v>
      </c>
      <c r="O160" s="44">
        <v>6331770</v>
      </c>
      <c r="Q160" s="44">
        <v>18059476</v>
      </c>
      <c r="S160" s="44">
        <v>56744157</v>
      </c>
      <c r="U160" s="44">
        <v>5789465</v>
      </c>
      <c r="W160" s="44">
        <v>7640448</v>
      </c>
      <c r="Y160" s="44">
        <f t="shared" si="12"/>
        <v>70174070</v>
      </c>
      <c r="AB160" s="44">
        <f t="shared" si="15"/>
        <v>0</v>
      </c>
    </row>
    <row r="161" spans="1:28" ht="12.75" customHeight="1">
      <c r="A161" s="44" t="s">
        <v>188</v>
      </c>
      <c r="C161" s="44" t="s">
        <v>27</v>
      </c>
      <c r="E161" s="44">
        <f t="shared" si="13"/>
        <v>27919813</v>
      </c>
      <c r="G161" s="44">
        <v>113569929</v>
      </c>
      <c r="I161" s="44">
        <v>0</v>
      </c>
      <c r="K161" s="44">
        <v>141489742</v>
      </c>
      <c r="M161" s="44">
        <f t="shared" si="14"/>
        <v>18870220</v>
      </c>
      <c r="O161" s="44">
        <v>8547895</v>
      </c>
      <c r="Q161" s="44">
        <v>27418115</v>
      </c>
      <c r="S161" s="44">
        <v>101841477</v>
      </c>
      <c r="U161" s="44">
        <v>18155557</v>
      </c>
      <c r="W161" s="44">
        <v>-5925407</v>
      </c>
      <c r="Y161" s="44">
        <f t="shared" si="12"/>
        <v>114071627</v>
      </c>
      <c r="AB161" s="44">
        <f>+K161-Q161-Y161</f>
        <v>0</v>
      </c>
    </row>
    <row r="162" spans="1:28" ht="12.75" customHeight="1">
      <c r="A162" s="44" t="s">
        <v>190</v>
      </c>
      <c r="C162" s="44" t="s">
        <v>47</v>
      </c>
      <c r="E162" s="44">
        <f t="shared" si="13"/>
        <v>6726235</v>
      </c>
      <c r="G162" s="44">
        <v>7202868</v>
      </c>
      <c r="I162" s="44">
        <v>0</v>
      </c>
      <c r="K162" s="44">
        <v>13929103</v>
      </c>
      <c r="M162" s="44">
        <f t="shared" si="14"/>
        <v>869806</v>
      </c>
      <c r="O162" s="44">
        <v>3894492</v>
      </c>
      <c r="Q162" s="44">
        <v>4764298</v>
      </c>
      <c r="S162" s="44">
        <v>5587177</v>
      </c>
      <c r="U162" s="44">
        <v>3859279</v>
      </c>
      <c r="W162" s="44">
        <v>-281651</v>
      </c>
      <c r="Y162" s="44">
        <f t="shared" si="12"/>
        <v>9164805</v>
      </c>
      <c r="AB162" s="44">
        <f t="shared" si="15"/>
        <v>0</v>
      </c>
    </row>
    <row r="163" spans="1:28" ht="12.75" customHeight="1">
      <c r="A163" s="44" t="s">
        <v>191</v>
      </c>
      <c r="C163" s="44" t="s">
        <v>13</v>
      </c>
      <c r="E163" s="44">
        <f t="shared" si="13"/>
        <v>8979685</v>
      </c>
      <c r="G163" s="44">
        <v>13905292</v>
      </c>
      <c r="I163" s="44">
        <v>0</v>
      </c>
      <c r="K163" s="44">
        <v>22884977</v>
      </c>
      <c r="M163" s="44">
        <f t="shared" si="14"/>
        <v>2615709</v>
      </c>
      <c r="O163" s="44">
        <v>3862752</v>
      </c>
      <c r="Q163" s="44">
        <v>6478461</v>
      </c>
      <c r="S163" s="44">
        <v>10262997</v>
      </c>
      <c r="U163" s="44">
        <v>3860794</v>
      </c>
      <c r="W163" s="44">
        <v>2282725</v>
      </c>
      <c r="Y163" s="44">
        <f t="shared" si="12"/>
        <v>16406516</v>
      </c>
      <c r="AB163" s="44">
        <f t="shared" si="15"/>
        <v>0</v>
      </c>
    </row>
    <row r="164" spans="1:28" ht="12.75" customHeight="1">
      <c r="A164" s="44" t="s">
        <v>192</v>
      </c>
      <c r="C164" s="44" t="s">
        <v>38</v>
      </c>
      <c r="E164" s="44">
        <f>+K164-G164-I164</f>
        <v>15915878</v>
      </c>
      <c r="G164" s="44">
        <v>19170327</v>
      </c>
      <c r="I164" s="44">
        <v>0</v>
      </c>
      <c r="K164" s="44">
        <v>35086205</v>
      </c>
      <c r="M164" s="44">
        <f>+Q164-O164</f>
        <v>2354518</v>
      </c>
      <c r="O164" s="44">
        <v>2924561</v>
      </c>
      <c r="Q164" s="44">
        <v>5279079</v>
      </c>
      <c r="S164" s="44">
        <v>17160820</v>
      </c>
      <c r="U164" s="44">
        <v>10222514</v>
      </c>
      <c r="W164" s="44">
        <v>2423792</v>
      </c>
      <c r="Y164" s="44">
        <f>S164+U164+W164</f>
        <v>29807126</v>
      </c>
      <c r="AB164" s="44">
        <f t="shared" si="15"/>
        <v>0</v>
      </c>
    </row>
    <row r="165" spans="1:28" s="137" customFormat="1" ht="12.75" hidden="1" customHeight="1">
      <c r="A165" s="137" t="s">
        <v>193</v>
      </c>
      <c r="B165" s="138"/>
      <c r="C165" s="137" t="s">
        <v>45</v>
      </c>
      <c r="D165" s="138"/>
      <c r="E165" s="137">
        <f t="shared" si="13"/>
        <v>0</v>
      </c>
      <c r="M165" s="137">
        <f t="shared" si="14"/>
        <v>0</v>
      </c>
      <c r="Y165" s="137">
        <f t="shared" si="12"/>
        <v>0</v>
      </c>
      <c r="AB165" s="137">
        <f t="shared" si="15"/>
        <v>0</v>
      </c>
    </row>
    <row r="166" spans="1:28" ht="12.75" customHeight="1">
      <c r="A166" s="44" t="s">
        <v>194</v>
      </c>
      <c r="C166" s="44" t="s">
        <v>66</v>
      </c>
      <c r="E166" s="44">
        <f t="shared" si="13"/>
        <v>24481388</v>
      </c>
      <c r="G166" s="44">
        <v>38772785</v>
      </c>
      <c r="I166" s="44">
        <v>0</v>
      </c>
      <c r="K166" s="44">
        <v>63254173</v>
      </c>
      <c r="M166" s="44">
        <f>+Q166-O166</f>
        <v>7540032</v>
      </c>
      <c r="O166" s="44">
        <v>1106910</v>
      </c>
      <c r="Q166" s="44">
        <v>8646942</v>
      </c>
      <c r="S166" s="44">
        <v>33793124</v>
      </c>
      <c r="U166" s="44">
        <v>337269</v>
      </c>
      <c r="W166" s="44">
        <v>20476838</v>
      </c>
      <c r="Y166" s="44">
        <f>S166+U166+W166</f>
        <v>54607231</v>
      </c>
      <c r="AB166" s="44">
        <f t="shared" si="15"/>
        <v>0</v>
      </c>
    </row>
    <row r="167" spans="1:28" ht="12.75" customHeight="1">
      <c r="A167" s="44" t="s">
        <v>195</v>
      </c>
      <c r="C167" s="44" t="s">
        <v>17</v>
      </c>
      <c r="E167" s="44">
        <f>+K167-G167-I167</f>
        <v>12680494</v>
      </c>
      <c r="G167" s="44">
        <v>31808223</v>
      </c>
      <c r="I167" s="44">
        <v>0</v>
      </c>
      <c r="K167" s="44">
        <v>44488717</v>
      </c>
      <c r="M167" s="44">
        <f t="shared" si="14"/>
        <v>2224550</v>
      </c>
      <c r="O167" s="44">
        <v>4803620</v>
      </c>
      <c r="Q167" s="44">
        <v>7028170</v>
      </c>
      <c r="S167" s="44">
        <v>26889290</v>
      </c>
      <c r="U167" s="44">
        <v>3866304</v>
      </c>
      <c r="W167" s="44">
        <v>6704953</v>
      </c>
      <c r="Y167" s="44">
        <f t="shared" si="12"/>
        <v>37460547</v>
      </c>
      <c r="AB167" s="44">
        <f>+K167-Q167-Y167</f>
        <v>0</v>
      </c>
    </row>
    <row r="168" spans="1:28" s="137" customFormat="1" ht="12.75" hidden="1" customHeight="1">
      <c r="A168" s="137" t="s">
        <v>496</v>
      </c>
      <c r="B168" s="138"/>
      <c r="C168" s="137" t="s">
        <v>27</v>
      </c>
      <c r="D168" s="138"/>
      <c r="E168" s="137">
        <f t="shared" si="13"/>
        <v>0</v>
      </c>
      <c r="M168" s="137">
        <f t="shared" si="14"/>
        <v>0</v>
      </c>
      <c r="Y168" s="137">
        <f t="shared" si="12"/>
        <v>0</v>
      </c>
      <c r="AB168" s="137">
        <f t="shared" si="15"/>
        <v>0</v>
      </c>
    </row>
    <row r="169" spans="1:28" s="137" customFormat="1" ht="12.75" hidden="1" customHeight="1">
      <c r="A169" s="137" t="s">
        <v>402</v>
      </c>
      <c r="B169" s="138"/>
      <c r="C169" s="137" t="s">
        <v>153</v>
      </c>
      <c r="D169" s="138"/>
      <c r="E169" s="137">
        <f t="shared" si="13"/>
        <v>0</v>
      </c>
      <c r="M169" s="137">
        <f t="shared" si="14"/>
        <v>0</v>
      </c>
      <c r="Y169" s="137">
        <f t="shared" si="12"/>
        <v>0</v>
      </c>
      <c r="AB169" s="137">
        <f t="shared" si="15"/>
        <v>0</v>
      </c>
    </row>
    <row r="170" spans="1:28" ht="12.75" customHeight="1">
      <c r="A170" s="44" t="s">
        <v>197</v>
      </c>
      <c r="C170" s="44" t="s">
        <v>163</v>
      </c>
      <c r="E170" s="44">
        <f>+K170-G170-I170</f>
        <v>50806903</v>
      </c>
      <c r="G170" s="44">
        <v>33889649</v>
      </c>
      <c r="I170" s="44">
        <v>0</v>
      </c>
      <c r="K170" s="44">
        <v>84696552</v>
      </c>
      <c r="M170" s="44">
        <f>+Q170-O170</f>
        <v>5030974</v>
      </c>
      <c r="O170" s="44">
        <v>14834042</v>
      </c>
      <c r="Q170" s="44">
        <v>19865016</v>
      </c>
      <c r="S170" s="44">
        <v>18882590</v>
      </c>
      <c r="U170" s="44">
        <v>25918573</v>
      </c>
      <c r="W170" s="44">
        <v>20030373</v>
      </c>
      <c r="Y170" s="44">
        <f>S170+U170+W170</f>
        <v>64831536</v>
      </c>
      <c r="AB170" s="44">
        <f>+K170-Q170-Y170</f>
        <v>0</v>
      </c>
    </row>
    <row r="171" spans="1:28" ht="12.75" customHeight="1">
      <c r="A171" s="44" t="s">
        <v>198</v>
      </c>
      <c r="C171" s="44" t="s">
        <v>199</v>
      </c>
      <c r="E171" s="44">
        <f>+K171-G171-I171</f>
        <v>7921562</v>
      </c>
      <c r="G171" s="44">
        <v>42971261</v>
      </c>
      <c r="I171" s="44">
        <v>0</v>
      </c>
      <c r="K171" s="44">
        <v>50892823</v>
      </c>
      <c r="M171" s="44">
        <f t="shared" si="14"/>
        <v>1276333</v>
      </c>
      <c r="O171" s="44">
        <v>1471828</v>
      </c>
      <c r="Q171" s="44">
        <v>2748161</v>
      </c>
      <c r="S171" s="44">
        <v>41972471</v>
      </c>
      <c r="U171" s="44">
        <v>2681067</v>
      </c>
      <c r="W171" s="44">
        <v>3491124</v>
      </c>
      <c r="Y171" s="44">
        <v>48144662</v>
      </c>
      <c r="AB171" s="44">
        <f t="shared" si="15"/>
        <v>0</v>
      </c>
    </row>
    <row r="172" spans="1:28" ht="12.75" customHeight="1">
      <c r="A172" s="44" t="s">
        <v>200</v>
      </c>
      <c r="C172" s="44" t="s">
        <v>103</v>
      </c>
      <c r="E172" s="44">
        <f>+K172-G172-I172</f>
        <v>10765124</v>
      </c>
      <c r="G172" s="44">
        <v>33975917</v>
      </c>
      <c r="I172" s="44">
        <v>6910020</v>
      </c>
      <c r="K172" s="44">
        <v>51651061</v>
      </c>
      <c r="M172" s="44">
        <f t="shared" si="14"/>
        <v>1853915</v>
      </c>
      <c r="O172" s="44">
        <v>2850993</v>
      </c>
      <c r="Q172" s="44">
        <v>4704908</v>
      </c>
      <c r="S172" s="44">
        <v>31165917</v>
      </c>
      <c r="U172" s="44">
        <v>9201733</v>
      </c>
      <c r="W172" s="44">
        <v>6578503</v>
      </c>
      <c r="Y172" s="44">
        <f t="shared" si="12"/>
        <v>46946153</v>
      </c>
      <c r="AB172" s="44">
        <f t="shared" si="15"/>
        <v>0</v>
      </c>
    </row>
    <row r="173" spans="1:28" ht="12.75" customHeight="1">
      <c r="A173" s="44" t="s">
        <v>201</v>
      </c>
      <c r="C173" s="44" t="s">
        <v>92</v>
      </c>
      <c r="E173" s="44">
        <f>+K173-G173-I173</f>
        <v>19337114</v>
      </c>
      <c r="G173" s="44">
        <v>29673424</v>
      </c>
      <c r="I173" s="44">
        <v>0</v>
      </c>
      <c r="K173" s="44">
        <v>49010538</v>
      </c>
      <c r="M173" s="44">
        <f t="shared" si="14"/>
        <v>5442265</v>
      </c>
      <c r="O173" s="44">
        <v>6593759</v>
      </c>
      <c r="Q173" s="44">
        <v>12036024</v>
      </c>
      <c r="S173" s="44">
        <v>23806608</v>
      </c>
      <c r="U173" s="44">
        <v>6819832</v>
      </c>
      <c r="W173" s="44">
        <v>6348074</v>
      </c>
      <c r="Y173" s="44">
        <f>S173+U173+W173</f>
        <v>36974514</v>
      </c>
      <c r="AB173" s="44">
        <f t="shared" si="15"/>
        <v>0</v>
      </c>
    </row>
    <row r="174" spans="1:28" ht="12.75" customHeight="1">
      <c r="A174" s="44" t="s">
        <v>202</v>
      </c>
      <c r="C174" s="44" t="s">
        <v>27</v>
      </c>
      <c r="E174" s="44">
        <f t="shared" si="13"/>
        <v>38446947</v>
      </c>
      <c r="G174" s="44">
        <v>57500876</v>
      </c>
      <c r="I174" s="44">
        <v>0</v>
      </c>
      <c r="K174" s="44">
        <v>95947823</v>
      </c>
      <c r="M174" s="44">
        <f>+Q174-O174</f>
        <v>17256016</v>
      </c>
      <c r="O174" s="44">
        <v>35400450</v>
      </c>
      <c r="Q174" s="44">
        <v>52656466</v>
      </c>
      <c r="S174" s="44">
        <v>22563593</v>
      </c>
      <c r="U174" s="44">
        <v>5887378</v>
      </c>
      <c r="W174" s="44">
        <v>14840386</v>
      </c>
      <c r="Y174" s="44">
        <f>S174+U174+W174</f>
        <v>43291357</v>
      </c>
      <c r="AB174" s="44">
        <f t="shared" si="15"/>
        <v>0</v>
      </c>
    </row>
    <row r="175" spans="1:28" ht="12.75" customHeight="1">
      <c r="A175" s="44" t="s">
        <v>203</v>
      </c>
      <c r="C175" s="44" t="s">
        <v>27</v>
      </c>
      <c r="E175" s="44">
        <f t="shared" si="13"/>
        <v>38446947</v>
      </c>
      <c r="G175" s="44">
        <v>57500876</v>
      </c>
      <c r="I175" s="44">
        <v>0</v>
      </c>
      <c r="K175" s="44">
        <v>95947823</v>
      </c>
      <c r="M175" s="44">
        <f t="shared" si="14"/>
        <v>17256016</v>
      </c>
      <c r="O175" s="44">
        <v>35400450</v>
      </c>
      <c r="Q175" s="44">
        <v>52656466</v>
      </c>
      <c r="S175" s="44">
        <v>22563593</v>
      </c>
      <c r="U175" s="44">
        <v>11826352</v>
      </c>
      <c r="W175" s="44">
        <v>8901412</v>
      </c>
      <c r="Y175" s="44">
        <f t="shared" si="12"/>
        <v>43291357</v>
      </c>
      <c r="AB175" s="44">
        <f t="shared" si="15"/>
        <v>0</v>
      </c>
    </row>
    <row r="176" spans="1:28" ht="12.75" customHeight="1">
      <c r="A176" s="44" t="s">
        <v>204</v>
      </c>
      <c r="C176" s="44" t="s">
        <v>125</v>
      </c>
      <c r="E176" s="44">
        <f t="shared" si="13"/>
        <v>5482848</v>
      </c>
      <c r="G176" s="44">
        <v>5230975</v>
      </c>
      <c r="I176" s="44">
        <v>0</v>
      </c>
      <c r="K176" s="44">
        <v>10713823</v>
      </c>
      <c r="M176" s="44">
        <f t="shared" si="14"/>
        <v>4056917</v>
      </c>
      <c r="O176" s="44">
        <v>373317</v>
      </c>
      <c r="Q176" s="44">
        <v>4430234</v>
      </c>
      <c r="S176" s="44">
        <v>3374813</v>
      </c>
      <c r="U176" s="44">
        <v>1804545</v>
      </c>
      <c r="W176" s="44">
        <v>1104231</v>
      </c>
      <c r="Y176" s="44">
        <f t="shared" si="12"/>
        <v>6283589</v>
      </c>
      <c r="AB176" s="44">
        <f t="shared" si="15"/>
        <v>0</v>
      </c>
    </row>
    <row r="177" spans="1:28" ht="12.75" customHeight="1">
      <c r="A177" s="44" t="s">
        <v>205</v>
      </c>
      <c r="C177" s="44" t="s">
        <v>27</v>
      </c>
      <c r="E177" s="44">
        <f>+K177-G177-I177</f>
        <v>15753449</v>
      </c>
      <c r="G177" s="44">
        <v>19422811</v>
      </c>
      <c r="I177" s="44">
        <v>0</v>
      </c>
      <c r="K177" s="44">
        <v>35176260</v>
      </c>
      <c r="M177" s="44">
        <f>+Q177-O177</f>
        <v>10329191</v>
      </c>
      <c r="O177" s="44">
        <v>6023445</v>
      </c>
      <c r="Q177" s="44">
        <v>16352636</v>
      </c>
      <c r="S177" s="44">
        <v>13631802</v>
      </c>
      <c r="U177" s="44">
        <v>-938962</v>
      </c>
      <c r="W177" s="44">
        <v>6130784</v>
      </c>
      <c r="Y177" s="44">
        <f t="shared" si="12"/>
        <v>18823624</v>
      </c>
      <c r="AB177" s="44">
        <f t="shared" si="15"/>
        <v>0</v>
      </c>
    </row>
    <row r="178" spans="1:28" ht="12.75" customHeight="1">
      <c r="A178" s="44" t="s">
        <v>206</v>
      </c>
      <c r="C178" s="44" t="s">
        <v>47</v>
      </c>
      <c r="E178" s="44">
        <f t="shared" si="13"/>
        <v>16408080</v>
      </c>
      <c r="G178" s="44">
        <v>64949958</v>
      </c>
      <c r="I178" s="44">
        <v>0</v>
      </c>
      <c r="K178" s="44">
        <v>81358038</v>
      </c>
      <c r="M178" s="44">
        <f t="shared" si="14"/>
        <v>16187396</v>
      </c>
      <c r="O178" s="44">
        <v>476205</v>
      </c>
      <c r="Q178" s="44">
        <v>16663601</v>
      </c>
      <c r="S178" s="44">
        <v>53204958</v>
      </c>
      <c r="U178" s="44">
        <v>3408095</v>
      </c>
      <c r="W178" s="44">
        <v>8081384</v>
      </c>
      <c r="Y178" s="44">
        <f>S178+U178+W178</f>
        <v>64694437</v>
      </c>
      <c r="AB178" s="44">
        <f t="shared" si="15"/>
        <v>0</v>
      </c>
    </row>
    <row r="179" spans="1:28" ht="12.75" customHeight="1">
      <c r="A179" s="44" t="s">
        <v>207</v>
      </c>
      <c r="C179" s="44" t="s">
        <v>102</v>
      </c>
      <c r="E179" s="44">
        <f t="shared" si="13"/>
        <v>10130620</v>
      </c>
      <c r="G179" s="44">
        <v>45558867</v>
      </c>
      <c r="I179" s="44">
        <v>0</v>
      </c>
      <c r="K179" s="44">
        <v>55689487</v>
      </c>
      <c r="M179" s="44">
        <f>+Q179-O179</f>
        <v>7207453</v>
      </c>
      <c r="O179" s="44">
        <v>13274682</v>
      </c>
      <c r="Q179" s="44">
        <v>20482135</v>
      </c>
      <c r="S179" s="44">
        <v>28744812</v>
      </c>
      <c r="U179" s="44">
        <v>7127838</v>
      </c>
      <c r="W179" s="44">
        <v>-665298</v>
      </c>
      <c r="Y179" s="44">
        <f t="shared" si="12"/>
        <v>35207352</v>
      </c>
      <c r="AB179" s="44">
        <f t="shared" si="15"/>
        <v>0</v>
      </c>
    </row>
    <row r="180" spans="1:28" ht="12.75" customHeight="1">
      <c r="A180" s="44" t="s">
        <v>208</v>
      </c>
      <c r="C180" s="44" t="s">
        <v>209</v>
      </c>
      <c r="E180" s="44">
        <f>+K180-G180-I180</f>
        <v>28181660</v>
      </c>
      <c r="G180" s="44">
        <v>42778139</v>
      </c>
      <c r="I180" s="44">
        <v>0</v>
      </c>
      <c r="K180" s="44">
        <v>70959799</v>
      </c>
      <c r="M180" s="44">
        <f t="shared" si="14"/>
        <v>3818389</v>
      </c>
      <c r="O180" s="44">
        <v>5201066</v>
      </c>
      <c r="Q180" s="44">
        <v>9019455</v>
      </c>
      <c r="S180" s="44">
        <v>41254589</v>
      </c>
      <c r="U180" s="44">
        <v>428056</v>
      </c>
      <c r="W180" s="44">
        <v>20257699</v>
      </c>
      <c r="Y180" s="44">
        <f t="shared" si="12"/>
        <v>61940344</v>
      </c>
      <c r="AB180" s="44">
        <f t="shared" si="15"/>
        <v>0</v>
      </c>
    </row>
    <row r="181" spans="1:28" ht="12.75" customHeight="1">
      <c r="A181" s="44" t="s">
        <v>210</v>
      </c>
      <c r="C181" s="44" t="s">
        <v>211</v>
      </c>
      <c r="E181" s="44">
        <f>+K181-G181-I181</f>
        <v>5700797</v>
      </c>
      <c r="G181" s="44">
        <v>5827620</v>
      </c>
      <c r="I181" s="44">
        <v>0</v>
      </c>
      <c r="K181" s="44">
        <v>11528417</v>
      </c>
      <c r="M181" s="44">
        <f>+Q181-O181</f>
        <v>1830238</v>
      </c>
      <c r="O181" s="44">
        <v>453010</v>
      </c>
      <c r="Q181" s="44">
        <v>2283248</v>
      </c>
      <c r="S181" s="44">
        <v>4926199</v>
      </c>
      <c r="U181" s="44">
        <v>2199587</v>
      </c>
      <c r="W181" s="44">
        <v>2119383</v>
      </c>
      <c r="Y181" s="44">
        <f>S181+U181+W181</f>
        <v>9245169</v>
      </c>
      <c r="AB181" s="44">
        <f>+K181-Q181-Y181</f>
        <v>0</v>
      </c>
    </row>
    <row r="182" spans="1:28" ht="12.75" customHeight="1">
      <c r="A182" s="44" t="s">
        <v>212</v>
      </c>
      <c r="C182" s="44" t="s">
        <v>213</v>
      </c>
      <c r="E182" s="44">
        <f t="shared" si="13"/>
        <v>11485918</v>
      </c>
      <c r="G182" s="44">
        <v>19752183</v>
      </c>
      <c r="I182" s="44">
        <v>0</v>
      </c>
      <c r="K182" s="44">
        <v>31238101</v>
      </c>
      <c r="M182" s="44">
        <f t="shared" si="14"/>
        <v>3397754</v>
      </c>
      <c r="O182" s="44">
        <v>3389761</v>
      </c>
      <c r="Q182" s="44">
        <v>6787515</v>
      </c>
      <c r="S182" s="44">
        <v>19111190</v>
      </c>
      <c r="U182" s="44">
        <v>5064839</v>
      </c>
      <c r="W182" s="44">
        <v>274557</v>
      </c>
      <c r="Y182" s="44">
        <f t="shared" si="12"/>
        <v>24450586</v>
      </c>
      <c r="AB182" s="44">
        <f t="shared" si="15"/>
        <v>0</v>
      </c>
    </row>
    <row r="183" spans="1:28" ht="12.75" customHeight="1">
      <c r="A183" s="44" t="s">
        <v>214</v>
      </c>
      <c r="C183" s="44" t="s">
        <v>86</v>
      </c>
      <c r="E183" s="44">
        <f t="shared" si="13"/>
        <v>17796146</v>
      </c>
      <c r="G183" s="44">
        <v>39671480</v>
      </c>
      <c r="I183" s="44">
        <v>0</v>
      </c>
      <c r="K183" s="44">
        <v>57467626</v>
      </c>
      <c r="M183" s="44">
        <f t="shared" si="14"/>
        <v>11192082</v>
      </c>
      <c r="O183" s="44">
        <f>89636+19275000</f>
        <v>19364636</v>
      </c>
      <c r="Q183" s="44">
        <v>30556718</v>
      </c>
      <c r="S183" s="44">
        <v>17316704</v>
      </c>
      <c r="U183" s="44">
        <v>2328571</v>
      </c>
      <c r="W183" s="44">
        <v>7265633</v>
      </c>
      <c r="Y183" s="44">
        <f t="shared" si="12"/>
        <v>26910908</v>
      </c>
      <c r="AB183" s="44">
        <f t="shared" si="15"/>
        <v>0</v>
      </c>
    </row>
    <row r="184" spans="1:28" ht="12.75" customHeight="1">
      <c r="A184" s="44" t="s">
        <v>215</v>
      </c>
      <c r="C184" s="44" t="s">
        <v>22</v>
      </c>
      <c r="E184" s="44">
        <f t="shared" si="13"/>
        <v>18299385</v>
      </c>
      <c r="G184" s="44">
        <v>42994804</v>
      </c>
      <c r="I184" s="44">
        <v>0</v>
      </c>
      <c r="K184" s="44">
        <v>61294189</v>
      </c>
      <c r="M184" s="44">
        <f t="shared" si="14"/>
        <v>2198534</v>
      </c>
      <c r="O184" s="44">
        <v>7582725</v>
      </c>
      <c r="Q184" s="44">
        <v>9781259</v>
      </c>
      <c r="S184" s="44">
        <v>40675199</v>
      </c>
      <c r="U184" s="44">
        <v>11440056</v>
      </c>
      <c r="W184" s="44">
        <v>-602325</v>
      </c>
      <c r="Y184" s="44">
        <f t="shared" si="12"/>
        <v>51512930</v>
      </c>
      <c r="AB184" s="44">
        <f t="shared" si="15"/>
        <v>0</v>
      </c>
    </row>
    <row r="185" spans="1:28" ht="12.75" customHeight="1">
      <c r="A185" s="44" t="s">
        <v>216</v>
      </c>
      <c r="C185" s="44" t="s">
        <v>45</v>
      </c>
      <c r="E185" s="44">
        <f t="shared" si="13"/>
        <v>8126493</v>
      </c>
      <c r="G185" s="44">
        <v>4496808</v>
      </c>
      <c r="I185" s="44">
        <v>0</v>
      </c>
      <c r="K185" s="44">
        <v>12623301</v>
      </c>
      <c r="M185" s="44">
        <f t="shared" si="14"/>
        <v>2819263</v>
      </c>
      <c r="O185" s="44">
        <v>1849449</v>
      </c>
      <c r="Q185" s="44">
        <v>4668712</v>
      </c>
      <c r="S185" s="44">
        <v>2325306</v>
      </c>
      <c r="U185" s="44">
        <v>2215248</v>
      </c>
      <c r="W185" s="44">
        <v>3414035</v>
      </c>
      <c r="Y185" s="44">
        <f t="shared" si="12"/>
        <v>7954589</v>
      </c>
      <c r="AB185" s="44">
        <f t="shared" si="15"/>
        <v>0</v>
      </c>
    </row>
    <row r="186" spans="1:28" ht="12.75" customHeight="1">
      <c r="A186" s="44" t="s">
        <v>217</v>
      </c>
      <c r="C186" s="44" t="s">
        <v>43</v>
      </c>
      <c r="E186" s="44">
        <f t="shared" si="13"/>
        <v>21659701</v>
      </c>
      <c r="G186" s="44">
        <v>56667482</v>
      </c>
      <c r="I186" s="44">
        <v>0</v>
      </c>
      <c r="K186" s="44">
        <v>78327183</v>
      </c>
      <c r="M186" s="44">
        <f t="shared" si="14"/>
        <v>4419557</v>
      </c>
      <c r="O186" s="44">
        <v>28653879</v>
      </c>
      <c r="Q186" s="44">
        <v>33073436</v>
      </c>
      <c r="S186" s="44">
        <v>26683290</v>
      </c>
      <c r="U186" s="44">
        <v>8407009</v>
      </c>
      <c r="W186" s="44">
        <v>10163448</v>
      </c>
      <c r="Y186" s="44">
        <f t="shared" si="12"/>
        <v>45253747</v>
      </c>
      <c r="AB186" s="44">
        <f>+K186-Q186-Y186</f>
        <v>0</v>
      </c>
    </row>
    <row r="187" spans="1:28" ht="12.75" hidden="1" customHeight="1">
      <c r="A187" s="44" t="s">
        <v>218</v>
      </c>
      <c r="C187" s="44" t="s">
        <v>27</v>
      </c>
      <c r="E187" s="44">
        <f t="shared" si="13"/>
        <v>13006178</v>
      </c>
      <c r="G187" s="44">
        <v>17113899</v>
      </c>
      <c r="I187" s="44">
        <v>0</v>
      </c>
      <c r="K187" s="44">
        <v>30120077</v>
      </c>
      <c r="M187" s="44">
        <f t="shared" si="14"/>
        <v>6074343</v>
      </c>
      <c r="O187" s="44">
        <v>17284015</v>
      </c>
      <c r="Q187" s="44">
        <v>23358358</v>
      </c>
      <c r="S187" s="44">
        <v>-245151</v>
      </c>
      <c r="U187" s="44">
        <v>8477</v>
      </c>
      <c r="W187" s="44">
        <v>6973822</v>
      </c>
      <c r="Y187" s="44">
        <f t="shared" si="12"/>
        <v>6737148</v>
      </c>
      <c r="AB187" s="44">
        <f>+K187-Q187-Y187</f>
        <v>24571</v>
      </c>
    </row>
    <row r="188" spans="1:28" ht="12.75" customHeight="1">
      <c r="A188" s="44" t="s">
        <v>219</v>
      </c>
      <c r="C188" s="44" t="s">
        <v>199</v>
      </c>
      <c r="E188" s="44">
        <f t="shared" si="13"/>
        <v>3517413</v>
      </c>
      <c r="G188" s="44">
        <v>6422892</v>
      </c>
      <c r="I188" s="44">
        <v>0</v>
      </c>
      <c r="K188" s="44">
        <v>9940305</v>
      </c>
      <c r="M188" s="44">
        <f t="shared" si="14"/>
        <v>1675547</v>
      </c>
      <c r="O188" s="44">
        <v>1231954</v>
      </c>
      <c r="Q188" s="44">
        <v>2907501</v>
      </c>
      <c r="S188" s="44">
        <v>4573601</v>
      </c>
      <c r="U188" s="44">
        <v>1248473</v>
      </c>
      <c r="W188" s="44">
        <v>1210730</v>
      </c>
      <c r="Y188" s="44">
        <f t="shared" si="12"/>
        <v>7032804</v>
      </c>
      <c r="AB188" s="44">
        <f t="shared" si="15"/>
        <v>0</v>
      </c>
    </row>
    <row r="189" spans="1:28" ht="12.75" customHeight="1">
      <c r="A189" s="44" t="s">
        <v>220</v>
      </c>
      <c r="C189" s="44" t="s">
        <v>66</v>
      </c>
      <c r="E189" s="44">
        <f>+K189-G189-I189</f>
        <v>15240381</v>
      </c>
      <c r="G189" s="44">
        <v>9314244</v>
      </c>
      <c r="I189" s="44">
        <v>0</v>
      </c>
      <c r="K189" s="44">
        <v>24554625</v>
      </c>
      <c r="M189" s="44">
        <f>+Q189-O189</f>
        <v>5614894</v>
      </c>
      <c r="O189" s="44">
        <v>1551907</v>
      </c>
      <c r="Q189" s="44">
        <v>7166801</v>
      </c>
      <c r="S189" s="44">
        <v>5841854</v>
      </c>
      <c r="U189" s="44">
        <v>2552408</v>
      </c>
      <c r="W189" s="44">
        <v>8993562</v>
      </c>
      <c r="Y189" s="44">
        <f t="shared" si="12"/>
        <v>17387824</v>
      </c>
      <c r="AB189" s="44">
        <f>+K189-Q189-Y189</f>
        <v>0</v>
      </c>
    </row>
    <row r="190" spans="1:28" ht="12.75" customHeight="1">
      <c r="A190" s="44" t="s">
        <v>221</v>
      </c>
      <c r="C190" s="44" t="s">
        <v>27</v>
      </c>
      <c r="E190" s="44">
        <f>+K190-G190-I190</f>
        <v>28497258</v>
      </c>
      <c r="G190" s="44">
        <v>47638914</v>
      </c>
      <c r="I190" s="44">
        <v>0</v>
      </c>
      <c r="K190" s="44">
        <v>76136172</v>
      </c>
      <c r="M190" s="44">
        <f>+Q190-O190</f>
        <v>10441625</v>
      </c>
      <c r="O190" s="44">
        <v>23237131</v>
      </c>
      <c r="Q190" s="44">
        <v>33678756</v>
      </c>
      <c r="S190" s="44">
        <v>26993766</v>
      </c>
      <c r="U190" s="44">
        <v>6466700</v>
      </c>
      <c r="W190" s="44">
        <v>8996950</v>
      </c>
      <c r="Y190" s="44">
        <f t="shared" si="12"/>
        <v>42457416</v>
      </c>
      <c r="AB190" s="44">
        <f>+K190-Q190-Y190</f>
        <v>0</v>
      </c>
    </row>
    <row r="191" spans="1:28" ht="12.75" customHeight="1">
      <c r="A191" s="44" t="s">
        <v>222</v>
      </c>
      <c r="C191" s="44" t="s">
        <v>47</v>
      </c>
      <c r="E191" s="44">
        <f t="shared" si="13"/>
        <v>7830452</v>
      </c>
      <c r="G191" s="44">
        <v>2761754</v>
      </c>
      <c r="I191" s="44">
        <v>0</v>
      </c>
      <c r="K191" s="44">
        <v>10592206</v>
      </c>
      <c r="M191" s="44">
        <f t="shared" si="14"/>
        <v>3843074</v>
      </c>
      <c r="O191" s="44">
        <v>3977996</v>
      </c>
      <c r="Q191" s="44">
        <v>7821070</v>
      </c>
      <c r="S191" s="44">
        <v>2336754</v>
      </c>
      <c r="U191" s="44">
        <v>1022932</v>
      </c>
      <c r="W191" s="44">
        <v>-588550</v>
      </c>
      <c r="Y191" s="44">
        <f t="shared" si="12"/>
        <v>2771136</v>
      </c>
      <c r="AB191" s="44">
        <f t="shared" si="15"/>
        <v>0</v>
      </c>
    </row>
    <row r="192" spans="1:28" ht="12.75" customHeight="1">
      <c r="A192" s="44" t="s">
        <v>223</v>
      </c>
      <c r="C192" s="44" t="s">
        <v>94</v>
      </c>
      <c r="E192" s="44">
        <f t="shared" si="13"/>
        <v>5811499</v>
      </c>
      <c r="G192" s="44">
        <v>19003676</v>
      </c>
      <c r="I192" s="44">
        <v>0</v>
      </c>
      <c r="K192" s="44">
        <v>24815175</v>
      </c>
      <c r="M192" s="44">
        <f t="shared" si="14"/>
        <v>2285451</v>
      </c>
      <c r="O192" s="44">
        <v>3755600</v>
      </c>
      <c r="Q192" s="44">
        <v>6041051</v>
      </c>
      <c r="S192" s="44">
        <v>14483970</v>
      </c>
      <c r="U192" s="44">
        <v>1923915</v>
      </c>
      <c r="W192" s="44">
        <v>2366239</v>
      </c>
      <c r="Y192" s="44">
        <f t="shared" si="12"/>
        <v>18774124</v>
      </c>
      <c r="AB192" s="44">
        <f t="shared" si="15"/>
        <v>0</v>
      </c>
    </row>
    <row r="193" spans="1:28" ht="12.75" customHeight="1">
      <c r="A193" s="44" t="s">
        <v>76</v>
      </c>
      <c r="B193" s="44"/>
      <c r="C193" s="44" t="s">
        <v>132</v>
      </c>
      <c r="D193" s="44"/>
      <c r="E193" s="44">
        <f>+K193-G193-I193</f>
        <v>26772942</v>
      </c>
      <c r="G193" s="44">
        <v>51018033</v>
      </c>
      <c r="I193" s="44">
        <v>0</v>
      </c>
      <c r="K193" s="44">
        <v>77790975</v>
      </c>
      <c r="M193" s="44">
        <f t="shared" si="14"/>
        <v>14123229</v>
      </c>
      <c r="O193" s="44">
        <v>21626313</v>
      </c>
      <c r="Q193" s="44">
        <v>35749542</v>
      </c>
      <c r="S193" s="44">
        <v>30941349</v>
      </c>
      <c r="U193" s="44">
        <v>13446069</v>
      </c>
      <c r="W193" s="44">
        <v>-2345985</v>
      </c>
      <c r="Y193" s="44">
        <f t="shared" si="12"/>
        <v>42041433</v>
      </c>
      <c r="AB193" s="44">
        <f t="shared" si="15"/>
        <v>0</v>
      </c>
    </row>
    <row r="194" spans="1:28" ht="12.75" customHeight="1">
      <c r="A194" s="44" t="s">
        <v>224</v>
      </c>
      <c r="C194" s="44" t="s">
        <v>27</v>
      </c>
      <c r="E194" s="44">
        <f>+K194-G194-I194</f>
        <v>17598067</v>
      </c>
      <c r="G194" s="44">
        <v>20150445</v>
      </c>
      <c r="I194" s="44">
        <v>0</v>
      </c>
      <c r="K194" s="44">
        <v>37748512</v>
      </c>
      <c r="M194" s="44">
        <f t="shared" si="14"/>
        <v>12453280</v>
      </c>
      <c r="O194" s="44">
        <v>10022367</v>
      </c>
      <c r="Q194" s="44">
        <v>22475647</v>
      </c>
      <c r="S194" s="44">
        <v>9612646</v>
      </c>
      <c r="U194" s="44">
        <v>5159163</v>
      </c>
      <c r="W194" s="44">
        <v>501056</v>
      </c>
      <c r="Y194" s="44">
        <f t="shared" si="12"/>
        <v>15272865</v>
      </c>
      <c r="AB194" s="44">
        <f t="shared" si="15"/>
        <v>0</v>
      </c>
    </row>
    <row r="195" spans="1:28" ht="12.75" customHeight="1">
      <c r="A195" s="44" t="s">
        <v>225</v>
      </c>
      <c r="C195" s="44" t="s">
        <v>27</v>
      </c>
      <c r="E195" s="44">
        <f t="shared" si="13"/>
        <v>76666635</v>
      </c>
      <c r="G195" s="44">
        <f>38177583+34043060</f>
        <v>72220643</v>
      </c>
      <c r="I195" s="44">
        <v>0</v>
      </c>
      <c r="K195" s="44">
        <v>148887278</v>
      </c>
      <c r="M195" s="44">
        <f t="shared" si="14"/>
        <v>22691230</v>
      </c>
      <c r="O195" s="44">
        <v>23930275</v>
      </c>
      <c r="Q195" s="44">
        <v>46621505</v>
      </c>
      <c r="S195" s="44">
        <v>44729593</v>
      </c>
      <c r="U195" s="44">
        <f>193610+31339125</f>
        <v>31532735</v>
      </c>
      <c r="W195" s="44">
        <v>26003445</v>
      </c>
      <c r="Y195" s="44">
        <f t="shared" si="12"/>
        <v>102265773</v>
      </c>
      <c r="AB195" s="44">
        <f>+K195-Q195-Y195</f>
        <v>0</v>
      </c>
    </row>
    <row r="196" spans="1:28" ht="12.75" customHeight="1">
      <c r="A196" s="44" t="s">
        <v>226</v>
      </c>
      <c r="C196" s="44" t="s">
        <v>45</v>
      </c>
      <c r="E196" s="44">
        <f t="shared" si="13"/>
        <v>15614406</v>
      </c>
      <c r="G196" s="44">
        <v>33906561</v>
      </c>
      <c r="I196" s="44">
        <v>0</v>
      </c>
      <c r="K196" s="44">
        <v>49520967</v>
      </c>
      <c r="M196" s="44">
        <f t="shared" si="14"/>
        <v>7568075</v>
      </c>
      <c r="O196" s="44">
        <v>16043313</v>
      </c>
      <c r="Q196" s="44">
        <v>23611388</v>
      </c>
      <c r="S196" s="44">
        <v>15631704</v>
      </c>
      <c r="U196" s="44">
        <v>5583479</v>
      </c>
      <c r="W196" s="44">
        <v>4694396</v>
      </c>
      <c r="Y196" s="44">
        <f t="shared" si="12"/>
        <v>25909579</v>
      </c>
      <c r="AB196" s="44">
        <f t="shared" si="15"/>
        <v>0</v>
      </c>
    </row>
    <row r="197" spans="1:28" ht="12.75" customHeight="1">
      <c r="K197" s="48" t="s">
        <v>485</v>
      </c>
      <c r="Y197" s="48" t="s">
        <v>485</v>
      </c>
    </row>
    <row r="198" spans="1:28" s="46" customFormat="1" ht="12.75" customHeight="1">
      <c r="A198" s="46" t="s">
        <v>227</v>
      </c>
      <c r="C198" s="46" t="s">
        <v>17</v>
      </c>
      <c r="E198" s="46">
        <f t="shared" si="13"/>
        <v>5377305</v>
      </c>
      <c r="G198" s="46">
        <v>12807234</v>
      </c>
      <c r="I198" s="46">
        <v>0</v>
      </c>
      <c r="K198" s="46">
        <v>18184539</v>
      </c>
      <c r="M198" s="46">
        <f t="shared" si="14"/>
        <v>2419768</v>
      </c>
      <c r="O198" s="46">
        <v>3570267</v>
      </c>
      <c r="Q198" s="46">
        <v>5990035</v>
      </c>
      <c r="S198" s="46">
        <v>10199731</v>
      </c>
      <c r="U198" s="46">
        <v>1575595</v>
      </c>
      <c r="W198" s="46">
        <v>419178</v>
      </c>
      <c r="Y198" s="46">
        <f t="shared" ref="Y198:Y256" si="16">S198+U198+W198</f>
        <v>12194504</v>
      </c>
      <c r="AB198" s="46">
        <f t="shared" si="15"/>
        <v>0</v>
      </c>
    </row>
    <row r="199" spans="1:28" ht="12.75" customHeight="1">
      <c r="A199" s="44" t="s">
        <v>228</v>
      </c>
      <c r="C199" s="44" t="s">
        <v>153</v>
      </c>
      <c r="E199" s="44">
        <f t="shared" si="13"/>
        <v>9045782</v>
      </c>
      <c r="G199" s="44">
        <v>15247141</v>
      </c>
      <c r="I199" s="44">
        <v>0</v>
      </c>
      <c r="K199" s="44">
        <v>24292923</v>
      </c>
      <c r="M199" s="44">
        <f t="shared" si="14"/>
        <v>2003580</v>
      </c>
      <c r="O199" s="44">
        <v>955036</v>
      </c>
      <c r="Q199" s="44">
        <v>2958616</v>
      </c>
      <c r="S199" s="44">
        <v>14145251</v>
      </c>
      <c r="U199" s="44">
        <v>5597303</v>
      </c>
      <c r="W199" s="44">
        <v>1591753</v>
      </c>
      <c r="Y199" s="44">
        <f t="shared" si="16"/>
        <v>21334307</v>
      </c>
      <c r="AB199" s="44">
        <f t="shared" si="15"/>
        <v>0</v>
      </c>
    </row>
    <row r="200" spans="1:28" ht="12.75" customHeight="1">
      <c r="A200" s="44" t="s">
        <v>229</v>
      </c>
      <c r="C200" s="44" t="s">
        <v>228</v>
      </c>
      <c r="E200" s="44">
        <f t="shared" si="13"/>
        <v>20354710</v>
      </c>
      <c r="G200" s="44">
        <v>52363848</v>
      </c>
      <c r="I200" s="44">
        <v>0</v>
      </c>
      <c r="K200" s="44">
        <v>72718558</v>
      </c>
      <c r="M200" s="44">
        <f t="shared" si="14"/>
        <v>3696103</v>
      </c>
      <c r="O200" s="44">
        <v>9642196</v>
      </c>
      <c r="Q200" s="44">
        <v>13338299</v>
      </c>
      <c r="S200" s="44">
        <v>43858848</v>
      </c>
      <c r="U200" s="44">
        <v>1849954</v>
      </c>
      <c r="W200" s="44">
        <v>13671457</v>
      </c>
      <c r="Y200" s="44">
        <f t="shared" si="16"/>
        <v>59380259</v>
      </c>
      <c r="AB200" s="44">
        <f t="shared" si="15"/>
        <v>0</v>
      </c>
    </row>
    <row r="201" spans="1:28" ht="12.75" customHeight="1">
      <c r="A201" s="44" t="s">
        <v>230</v>
      </c>
      <c r="C201" s="44" t="s">
        <v>45</v>
      </c>
      <c r="E201" s="44">
        <f t="shared" si="13"/>
        <v>4786095</v>
      </c>
      <c r="G201" s="44">
        <v>2969747</v>
      </c>
      <c r="I201" s="44">
        <v>0</v>
      </c>
      <c r="K201" s="44">
        <v>7755842</v>
      </c>
      <c r="M201" s="44">
        <f t="shared" si="14"/>
        <v>965469</v>
      </c>
      <c r="O201" s="44">
        <v>1866221</v>
      </c>
      <c r="Q201" s="44">
        <v>2831690</v>
      </c>
      <c r="S201" s="44">
        <v>1321763</v>
      </c>
      <c r="U201" s="44">
        <v>510469</v>
      </c>
      <c r="W201" s="44">
        <v>3091920</v>
      </c>
      <c r="Y201" s="44">
        <f t="shared" si="16"/>
        <v>4924152</v>
      </c>
      <c r="AB201" s="44">
        <f t="shared" si="15"/>
        <v>0</v>
      </c>
    </row>
    <row r="202" spans="1:28" ht="12.75" customHeight="1">
      <c r="A202" s="44" t="s">
        <v>231</v>
      </c>
      <c r="C202" s="44" t="s">
        <v>27</v>
      </c>
      <c r="E202" s="44">
        <f t="shared" si="13"/>
        <v>67994111</v>
      </c>
      <c r="G202" s="44">
        <v>107829738</v>
      </c>
      <c r="I202" s="44">
        <v>0</v>
      </c>
      <c r="K202" s="44">
        <v>175823849</v>
      </c>
      <c r="M202" s="44">
        <f t="shared" si="14"/>
        <v>19553741</v>
      </c>
      <c r="O202" s="44">
        <v>24138736</v>
      </c>
      <c r="Q202" s="44">
        <v>43692477</v>
      </c>
      <c r="S202" s="44">
        <v>87878235</v>
      </c>
      <c r="U202" s="44">
        <v>30362363</v>
      </c>
      <c r="W202" s="44">
        <v>13890774</v>
      </c>
      <c r="Y202" s="44">
        <f t="shared" si="16"/>
        <v>132131372</v>
      </c>
      <c r="AB202" s="44">
        <f t="shared" si="15"/>
        <v>0</v>
      </c>
    </row>
    <row r="203" spans="1:28" ht="12.75" customHeight="1">
      <c r="A203" s="44" t="s">
        <v>232</v>
      </c>
      <c r="C203" s="44" t="s">
        <v>27</v>
      </c>
      <c r="E203" s="44">
        <f t="shared" si="13"/>
        <v>28645239</v>
      </c>
      <c r="G203" s="44">
        <v>57004366</v>
      </c>
      <c r="I203" s="44">
        <v>0</v>
      </c>
      <c r="K203" s="44">
        <v>85649605</v>
      </c>
      <c r="M203" s="44">
        <f t="shared" si="14"/>
        <v>10553877</v>
      </c>
      <c r="O203" s="44">
        <v>30250608</v>
      </c>
      <c r="Q203" s="44">
        <v>40804485</v>
      </c>
      <c r="S203" s="44">
        <v>27449141</v>
      </c>
      <c r="U203" s="44">
        <v>9426336</v>
      </c>
      <c r="W203" s="44">
        <v>7969643</v>
      </c>
      <c r="Y203" s="44">
        <f t="shared" si="16"/>
        <v>44845120</v>
      </c>
      <c r="AB203" s="44">
        <f t="shared" si="15"/>
        <v>0</v>
      </c>
    </row>
    <row r="204" spans="1:28" ht="12.75" customHeight="1">
      <c r="A204" s="44" t="s">
        <v>233</v>
      </c>
      <c r="C204" s="44" t="s">
        <v>111</v>
      </c>
      <c r="E204" s="44">
        <f t="shared" si="13"/>
        <v>22566593</v>
      </c>
      <c r="G204" s="44">
        <v>37384585</v>
      </c>
      <c r="I204" s="44">
        <v>0</v>
      </c>
      <c r="K204" s="44">
        <v>59951178</v>
      </c>
      <c r="M204" s="44">
        <f t="shared" si="14"/>
        <v>5333588</v>
      </c>
      <c r="O204" s="44">
        <v>4526627</v>
      </c>
      <c r="Q204" s="44">
        <v>9860215</v>
      </c>
      <c r="S204" s="44">
        <v>29738654</v>
      </c>
      <c r="U204" s="44">
        <v>11542608</v>
      </c>
      <c r="W204" s="44">
        <v>8809701</v>
      </c>
      <c r="Y204" s="44">
        <f t="shared" si="16"/>
        <v>50090963</v>
      </c>
      <c r="AB204" s="44">
        <f t="shared" si="15"/>
        <v>0</v>
      </c>
    </row>
    <row r="205" spans="1:28" ht="12.75" customHeight="1">
      <c r="A205" s="44" t="s">
        <v>234</v>
      </c>
      <c r="C205" s="44" t="s">
        <v>45</v>
      </c>
      <c r="E205" s="44">
        <f t="shared" si="13"/>
        <v>16331487</v>
      </c>
      <c r="G205" s="44">
        <v>44028331</v>
      </c>
      <c r="I205" s="44">
        <v>0</v>
      </c>
      <c r="K205" s="44">
        <v>60359818</v>
      </c>
      <c r="M205" s="44">
        <f t="shared" si="14"/>
        <v>5569857</v>
      </c>
      <c r="O205" s="44">
        <v>6802548</v>
      </c>
      <c r="Q205" s="44">
        <v>12372405</v>
      </c>
      <c r="S205" s="44">
        <v>36759095</v>
      </c>
      <c r="U205" s="44">
        <v>881694</v>
      </c>
      <c r="W205" s="44">
        <v>10346624</v>
      </c>
      <c r="Y205" s="44">
        <f t="shared" si="16"/>
        <v>47987413</v>
      </c>
      <c r="AB205" s="44">
        <f t="shared" si="15"/>
        <v>0</v>
      </c>
    </row>
    <row r="206" spans="1:28" ht="12.75" customHeight="1">
      <c r="A206" s="44" t="s">
        <v>235</v>
      </c>
      <c r="C206" s="44" t="s">
        <v>183</v>
      </c>
      <c r="E206" s="44">
        <f t="shared" si="13"/>
        <v>65366039</v>
      </c>
      <c r="G206" s="44">
        <v>72668927</v>
      </c>
      <c r="I206" s="44">
        <v>0</v>
      </c>
      <c r="K206" s="44">
        <v>138034966</v>
      </c>
      <c r="M206" s="44">
        <f t="shared" si="14"/>
        <v>17754632</v>
      </c>
      <c r="O206" s="44">
        <v>25146000</v>
      </c>
      <c r="Q206" s="44">
        <v>42900632</v>
      </c>
      <c r="S206" s="44">
        <v>67637488</v>
      </c>
      <c r="U206" s="44">
        <v>14247978</v>
      </c>
      <c r="W206" s="44">
        <v>13248868</v>
      </c>
      <c r="Y206" s="44">
        <f t="shared" si="16"/>
        <v>95134334</v>
      </c>
      <c r="AB206" s="44">
        <f t="shared" si="15"/>
        <v>0</v>
      </c>
    </row>
    <row r="207" spans="1:28" ht="12.75" customHeight="1">
      <c r="A207" s="44" t="s">
        <v>236</v>
      </c>
      <c r="C207" s="44" t="s">
        <v>45</v>
      </c>
      <c r="E207" s="44">
        <f t="shared" si="13"/>
        <v>10164830</v>
      </c>
      <c r="G207" s="44">
        <v>15457982</v>
      </c>
      <c r="I207" s="44">
        <v>0</v>
      </c>
      <c r="K207" s="44">
        <v>25622812</v>
      </c>
      <c r="M207" s="44">
        <f t="shared" si="14"/>
        <v>2073846</v>
      </c>
      <c r="O207" s="44">
        <v>4800126</v>
      </c>
      <c r="Q207" s="44">
        <v>6873972</v>
      </c>
      <c r="S207" s="44">
        <v>13118038</v>
      </c>
      <c r="U207" s="44">
        <v>703248</v>
      </c>
      <c r="W207" s="44">
        <v>4927554</v>
      </c>
      <c r="Y207" s="44">
        <f t="shared" si="16"/>
        <v>18748840</v>
      </c>
      <c r="AB207" s="44">
        <f t="shared" si="15"/>
        <v>0</v>
      </c>
    </row>
    <row r="208" spans="1:28" ht="12.75" customHeight="1">
      <c r="A208" s="44" t="s">
        <v>237</v>
      </c>
      <c r="C208" s="44" t="s">
        <v>33</v>
      </c>
      <c r="E208" s="44">
        <f t="shared" si="13"/>
        <v>3940284</v>
      </c>
      <c r="G208" s="44">
        <v>4640075</v>
      </c>
      <c r="I208" s="44">
        <v>0</v>
      </c>
      <c r="K208" s="44">
        <v>8580359</v>
      </c>
      <c r="M208" s="44">
        <f t="shared" si="14"/>
        <v>872058</v>
      </c>
      <c r="O208" s="44">
        <v>1203273</v>
      </c>
      <c r="Q208" s="44">
        <v>2075331</v>
      </c>
      <c r="S208" s="44">
        <v>3359393</v>
      </c>
      <c r="U208" s="44">
        <v>1681900</v>
      </c>
      <c r="W208" s="44">
        <v>1463735</v>
      </c>
      <c r="Y208" s="44">
        <f t="shared" si="16"/>
        <v>6505028</v>
      </c>
      <c r="AB208" s="44">
        <f t="shared" si="15"/>
        <v>0</v>
      </c>
    </row>
    <row r="209" spans="1:31" ht="12.75" customHeight="1">
      <c r="A209" s="44" t="s">
        <v>238</v>
      </c>
      <c r="C209" s="44" t="s">
        <v>239</v>
      </c>
      <c r="E209" s="44">
        <f>+K209-G209-I209</f>
        <v>16283751</v>
      </c>
      <c r="G209" s="44">
        <v>17775325</v>
      </c>
      <c r="I209" s="44">
        <v>0</v>
      </c>
      <c r="K209" s="44">
        <v>34059076</v>
      </c>
      <c r="M209" s="44">
        <f t="shared" si="14"/>
        <v>1235430</v>
      </c>
      <c r="O209" s="44">
        <v>282504</v>
      </c>
      <c r="Q209" s="44">
        <v>1517934</v>
      </c>
      <c r="S209" s="44">
        <v>17658325</v>
      </c>
      <c r="U209" s="44">
        <v>9303810</v>
      </c>
      <c r="W209" s="44">
        <v>5579007</v>
      </c>
      <c r="Y209" s="44">
        <f t="shared" si="16"/>
        <v>32541142</v>
      </c>
      <c r="AB209" s="44">
        <f t="shared" si="15"/>
        <v>0</v>
      </c>
    </row>
    <row r="210" spans="1:31" ht="12.75" customHeight="1">
      <c r="A210" s="44" t="s">
        <v>487</v>
      </c>
      <c r="C210" s="44" t="s">
        <v>249</v>
      </c>
      <c r="E210" s="44">
        <f>+K210-G210-I210</f>
        <v>17610732</v>
      </c>
      <c r="G210" s="44">
        <v>17669733</v>
      </c>
      <c r="I210" s="44">
        <v>0</v>
      </c>
      <c r="K210" s="44">
        <v>35280465</v>
      </c>
      <c r="M210" s="44">
        <f>+Q210-O210</f>
        <v>4641428</v>
      </c>
      <c r="O210" s="44">
        <v>5270733</v>
      </c>
      <c r="Q210" s="44">
        <v>9912161</v>
      </c>
      <c r="S210" s="44">
        <v>15307516</v>
      </c>
      <c r="U210" s="44">
        <v>7938087</v>
      </c>
      <c r="W210" s="44">
        <v>2122701</v>
      </c>
      <c r="Y210" s="44">
        <f>S210+U210+W210</f>
        <v>25368304</v>
      </c>
      <c r="AB210" s="44">
        <f>+K210-Q210-Y210</f>
        <v>0</v>
      </c>
    </row>
    <row r="211" spans="1:31" ht="12.75" customHeight="1">
      <c r="A211" s="44" t="s">
        <v>240</v>
      </c>
      <c r="C211" s="44" t="s">
        <v>13</v>
      </c>
      <c r="E211" s="44">
        <f t="shared" si="13"/>
        <v>33435721</v>
      </c>
      <c r="G211" s="44">
        <v>48938612</v>
      </c>
      <c r="I211" s="44">
        <v>0</v>
      </c>
      <c r="K211" s="44">
        <v>82374333</v>
      </c>
      <c r="M211" s="44">
        <f t="shared" si="14"/>
        <v>12144874</v>
      </c>
      <c r="O211" s="44">
        <v>26421406</v>
      </c>
      <c r="Q211" s="44">
        <v>38566280</v>
      </c>
      <c r="S211" s="44">
        <v>33114255</v>
      </c>
      <c r="U211" s="44">
        <v>14985641</v>
      </c>
      <c r="W211" s="44">
        <v>-4291843</v>
      </c>
      <c r="Y211" s="44">
        <f t="shared" si="16"/>
        <v>43808053</v>
      </c>
      <c r="AB211" s="44">
        <f t="shared" si="15"/>
        <v>0</v>
      </c>
    </row>
    <row r="212" spans="1:31" s="137" customFormat="1" ht="12.75" hidden="1" customHeight="1">
      <c r="A212" s="137" t="s">
        <v>241</v>
      </c>
      <c r="B212" s="138"/>
      <c r="C212" s="137" t="s">
        <v>22</v>
      </c>
      <c r="D212" s="138"/>
      <c r="E212" s="137">
        <f t="shared" si="13"/>
        <v>0</v>
      </c>
      <c r="G212" s="137">
        <v>0</v>
      </c>
      <c r="I212" s="137">
        <v>0</v>
      </c>
      <c r="K212" s="137">
        <v>0</v>
      </c>
      <c r="M212" s="137">
        <f t="shared" si="14"/>
        <v>0</v>
      </c>
      <c r="O212" s="137">
        <v>0</v>
      </c>
      <c r="Q212" s="137">
        <v>0</v>
      </c>
      <c r="S212" s="137">
        <v>0</v>
      </c>
      <c r="U212" s="137">
        <v>0</v>
      </c>
      <c r="W212" s="137">
        <v>0</v>
      </c>
      <c r="Y212" s="137">
        <f t="shared" si="16"/>
        <v>0</v>
      </c>
      <c r="AB212" s="137">
        <f t="shared" si="15"/>
        <v>0</v>
      </c>
    </row>
    <row r="213" spans="1:31" ht="12.75" customHeight="1">
      <c r="A213" s="44" t="s">
        <v>242</v>
      </c>
      <c r="C213" s="44" t="s">
        <v>27</v>
      </c>
      <c r="E213" s="44">
        <f t="shared" si="13"/>
        <v>43361643</v>
      </c>
      <c r="G213" s="44">
        <v>180249762</v>
      </c>
      <c r="I213" s="44">
        <v>0</v>
      </c>
      <c r="K213" s="44">
        <v>223611405</v>
      </c>
      <c r="M213" s="44">
        <f t="shared" si="14"/>
        <v>15342890</v>
      </c>
      <c r="O213" s="44">
        <v>39098334</v>
      </c>
      <c r="Q213" s="44">
        <v>54441224</v>
      </c>
      <c r="S213" s="44">
        <v>140167160</v>
      </c>
      <c r="U213" s="44">
        <v>15960953</v>
      </c>
      <c r="W213" s="44">
        <v>13042068</v>
      </c>
      <c r="Y213" s="44">
        <f t="shared" si="16"/>
        <v>169170181</v>
      </c>
      <c r="AB213" s="44">
        <f t="shared" si="15"/>
        <v>0</v>
      </c>
    </row>
    <row r="214" spans="1:31" ht="12.75" customHeight="1">
      <c r="A214" s="44" t="s">
        <v>243</v>
      </c>
      <c r="C214" s="44" t="s">
        <v>163</v>
      </c>
      <c r="E214" s="44">
        <f t="shared" ref="E214:E256" si="17">+K214-G214-I214</f>
        <v>32404182</v>
      </c>
      <c r="G214" s="44">
        <v>35562049</v>
      </c>
      <c r="I214" s="44">
        <v>0</v>
      </c>
      <c r="K214" s="44">
        <v>67966231</v>
      </c>
      <c r="M214" s="44">
        <f t="shared" ref="M214:M256" si="18">+Q214-O214</f>
        <v>8908266</v>
      </c>
      <c r="O214" s="44">
        <v>12024600</v>
      </c>
      <c r="Q214" s="44">
        <v>20932866</v>
      </c>
      <c r="S214" s="44">
        <v>19529718</v>
      </c>
      <c r="U214" s="44">
        <v>25637233</v>
      </c>
      <c r="W214" s="44">
        <v>1866414</v>
      </c>
      <c r="Y214" s="44">
        <f t="shared" si="16"/>
        <v>47033365</v>
      </c>
      <c r="AB214" s="44">
        <f t="shared" ref="AB214:AB256" si="19">+K214-Q214-Y214</f>
        <v>0</v>
      </c>
    </row>
    <row r="215" spans="1:31" ht="12.75" customHeight="1">
      <c r="A215" s="44" t="s">
        <v>244</v>
      </c>
      <c r="C215" s="44" t="s">
        <v>13</v>
      </c>
      <c r="E215" s="44">
        <f t="shared" si="17"/>
        <v>9115279</v>
      </c>
      <c r="G215" s="44">
        <v>25720045</v>
      </c>
      <c r="I215" s="44">
        <v>0</v>
      </c>
      <c r="K215" s="44">
        <v>34835324</v>
      </c>
      <c r="M215" s="44">
        <f t="shared" si="18"/>
        <v>4087018</v>
      </c>
      <c r="O215" s="44">
        <v>9361865</v>
      </c>
      <c r="Q215" s="44">
        <v>13448883</v>
      </c>
      <c r="S215" s="44">
        <v>16654652</v>
      </c>
      <c r="U215" s="44">
        <v>1643839</v>
      </c>
      <c r="W215" s="44">
        <v>3087950</v>
      </c>
      <c r="Y215" s="44">
        <f t="shared" si="16"/>
        <v>21386441</v>
      </c>
      <c r="AB215" s="44">
        <f t="shared" si="19"/>
        <v>0</v>
      </c>
    </row>
    <row r="216" spans="1:31" ht="12.75" customHeight="1">
      <c r="A216" s="44" t="s">
        <v>245</v>
      </c>
      <c r="C216" s="44" t="s">
        <v>110</v>
      </c>
      <c r="E216" s="44">
        <f t="shared" si="17"/>
        <v>10377740</v>
      </c>
      <c r="G216" s="44">
        <v>19201096</v>
      </c>
      <c r="I216" s="44">
        <v>0</v>
      </c>
      <c r="K216" s="44">
        <v>29578836</v>
      </c>
      <c r="M216" s="44">
        <f t="shared" si="18"/>
        <v>2916337</v>
      </c>
      <c r="O216" s="44">
        <v>1249194</v>
      </c>
      <c r="Q216" s="44">
        <v>4165531</v>
      </c>
      <c r="S216" s="44">
        <v>18208547</v>
      </c>
      <c r="U216" s="44">
        <v>3659585</v>
      </c>
      <c r="W216" s="44">
        <v>3545173</v>
      </c>
      <c r="Y216" s="44">
        <f t="shared" si="16"/>
        <v>25413305</v>
      </c>
      <c r="AB216" s="44">
        <f t="shared" si="19"/>
        <v>0</v>
      </c>
    </row>
    <row r="217" spans="1:31" ht="12.75" customHeight="1">
      <c r="A217" s="44" t="s">
        <v>246</v>
      </c>
      <c r="C217" s="44" t="s">
        <v>209</v>
      </c>
      <c r="E217" s="44">
        <f t="shared" si="17"/>
        <v>8195599</v>
      </c>
      <c r="G217" s="44">
        <v>38574429</v>
      </c>
      <c r="I217" s="44">
        <v>0</v>
      </c>
      <c r="K217" s="44">
        <v>46770028</v>
      </c>
      <c r="M217" s="44">
        <f t="shared" si="18"/>
        <v>2461515</v>
      </c>
      <c r="O217" s="44">
        <v>6261925</v>
      </c>
      <c r="Q217" s="44">
        <v>8723440</v>
      </c>
      <c r="S217" s="44">
        <v>31427283</v>
      </c>
      <c r="U217" s="44">
        <v>2443299</v>
      </c>
      <c r="W217" s="44">
        <v>4176006</v>
      </c>
      <c r="Y217" s="44">
        <f t="shared" si="16"/>
        <v>38046588</v>
      </c>
      <c r="AB217" s="44">
        <f t="shared" si="19"/>
        <v>0</v>
      </c>
    </row>
    <row r="218" spans="1:31" ht="12.75" customHeight="1">
      <c r="A218" s="44" t="s">
        <v>247</v>
      </c>
      <c r="C218" s="44" t="s">
        <v>163</v>
      </c>
      <c r="E218" s="44">
        <f t="shared" si="17"/>
        <v>212149000</v>
      </c>
      <c r="G218" s="44">
        <v>508870000</v>
      </c>
      <c r="I218" s="44">
        <v>0</v>
      </c>
      <c r="K218" s="44">
        <v>721019000</v>
      </c>
      <c r="M218" s="44">
        <f t="shared" si="18"/>
        <v>99371000</v>
      </c>
      <c r="O218" s="44">
        <v>234507000</v>
      </c>
      <c r="Q218" s="44">
        <v>333878000</v>
      </c>
      <c r="S218" s="44">
        <v>337031000</v>
      </c>
      <c r="U218" s="44">
        <v>50110000</v>
      </c>
      <c r="W218" s="44">
        <v>0</v>
      </c>
      <c r="Y218" s="44">
        <f>S218+U218+W218</f>
        <v>387141000</v>
      </c>
      <c r="AB218" s="44">
        <f>+K218-Q218-Y218</f>
        <v>0</v>
      </c>
    </row>
    <row r="219" spans="1:31" ht="12.75" customHeight="1">
      <c r="A219" s="44" t="s">
        <v>248</v>
      </c>
      <c r="C219" s="44" t="s">
        <v>249</v>
      </c>
      <c r="E219" s="44">
        <f t="shared" si="17"/>
        <v>3659385</v>
      </c>
      <c r="G219" s="44">
        <v>3349705</v>
      </c>
      <c r="I219" s="44">
        <v>0</v>
      </c>
      <c r="K219" s="44">
        <v>7009090</v>
      </c>
      <c r="M219" s="44">
        <f t="shared" si="18"/>
        <v>394667</v>
      </c>
      <c r="O219" s="44">
        <v>1104724</v>
      </c>
      <c r="Q219" s="44">
        <v>1499391</v>
      </c>
      <c r="S219" s="44">
        <v>2507660</v>
      </c>
      <c r="U219" s="44">
        <v>711808</v>
      </c>
      <c r="W219" s="44">
        <v>2290231</v>
      </c>
      <c r="Y219" s="44">
        <f t="shared" si="16"/>
        <v>5509699</v>
      </c>
      <c r="AB219" s="44">
        <f t="shared" si="19"/>
        <v>0</v>
      </c>
    </row>
    <row r="220" spans="1:31" ht="12.75" customHeight="1">
      <c r="A220" s="44" t="s">
        <v>250</v>
      </c>
      <c r="C220" s="44" t="s">
        <v>103</v>
      </c>
      <c r="E220" s="44">
        <f t="shared" si="17"/>
        <v>4330734</v>
      </c>
      <c r="G220" s="44">
        <v>2962925</v>
      </c>
      <c r="I220" s="44">
        <v>0</v>
      </c>
      <c r="K220" s="44">
        <v>7293659</v>
      </c>
      <c r="M220" s="44">
        <f t="shared" si="18"/>
        <v>755351</v>
      </c>
      <c r="O220" s="44">
        <v>415020</v>
      </c>
      <c r="Q220" s="44">
        <v>1170371</v>
      </c>
      <c r="S220" s="44">
        <v>2920504</v>
      </c>
      <c r="U220" s="44">
        <v>657336</v>
      </c>
      <c r="W220" s="44">
        <v>2545448</v>
      </c>
      <c r="Y220" s="44">
        <f t="shared" si="16"/>
        <v>6123288</v>
      </c>
      <c r="AB220" s="44">
        <f t="shared" si="19"/>
        <v>0</v>
      </c>
    </row>
    <row r="221" spans="1:31" ht="12.75" customHeight="1">
      <c r="A221" s="44" t="s">
        <v>251</v>
      </c>
      <c r="C221" s="44" t="s">
        <v>66</v>
      </c>
      <c r="E221" s="44">
        <f t="shared" si="17"/>
        <v>12144412</v>
      </c>
      <c r="G221" s="44">
        <v>56271125</v>
      </c>
      <c r="I221" s="44">
        <v>0</v>
      </c>
      <c r="K221" s="44">
        <v>68415537</v>
      </c>
      <c r="M221" s="44">
        <f t="shared" si="18"/>
        <v>16859677</v>
      </c>
      <c r="O221" s="44">
        <v>8394645</v>
      </c>
      <c r="Q221" s="44">
        <v>25254322</v>
      </c>
      <c r="S221" s="44">
        <v>38871297</v>
      </c>
      <c r="U221" s="44">
        <v>1272167</v>
      </c>
      <c r="W221" s="44">
        <v>3017751</v>
      </c>
      <c r="Y221" s="44">
        <f t="shared" si="16"/>
        <v>43161215</v>
      </c>
      <c r="AB221" s="44">
        <f t="shared" si="19"/>
        <v>0</v>
      </c>
    </row>
    <row r="222" spans="1:31" ht="12.75" customHeight="1">
      <c r="A222" s="44" t="s">
        <v>252</v>
      </c>
      <c r="C222" s="44" t="s">
        <v>209</v>
      </c>
      <c r="E222" s="44">
        <f t="shared" si="17"/>
        <v>51561844</v>
      </c>
      <c r="G222" s="44">
        <v>41893516</v>
      </c>
      <c r="I222" s="44">
        <v>0</v>
      </c>
      <c r="K222" s="44">
        <v>93455360</v>
      </c>
      <c r="M222" s="44">
        <f t="shared" si="18"/>
        <v>4531199</v>
      </c>
      <c r="O222" s="44">
        <v>11604238</v>
      </c>
      <c r="Q222" s="44">
        <v>16135437</v>
      </c>
      <c r="S222" s="44">
        <v>30704516</v>
      </c>
      <c r="U222" s="44">
        <v>8547364</v>
      </c>
      <c r="W222" s="44">
        <v>38068043</v>
      </c>
      <c r="Y222" s="44">
        <f t="shared" si="16"/>
        <v>77319923</v>
      </c>
      <c r="AB222" s="44">
        <f t="shared" si="19"/>
        <v>0</v>
      </c>
    </row>
    <row r="223" spans="1:31" ht="12.75" customHeight="1">
      <c r="A223" s="44" t="s">
        <v>253</v>
      </c>
      <c r="C223" s="44" t="s">
        <v>13</v>
      </c>
      <c r="E223" s="44">
        <f t="shared" si="17"/>
        <v>24247463</v>
      </c>
      <c r="G223" s="44">
        <v>122054255</v>
      </c>
      <c r="I223" s="44">
        <v>0</v>
      </c>
      <c r="K223" s="44">
        <v>146301718</v>
      </c>
      <c r="M223" s="44">
        <f t="shared" si="18"/>
        <v>3913904</v>
      </c>
      <c r="O223" s="44">
        <v>15025840</v>
      </c>
      <c r="Q223" s="44">
        <v>18939744</v>
      </c>
      <c r="S223" s="44">
        <v>107374718</v>
      </c>
      <c r="U223" s="44">
        <f>12079485+3821836</f>
        <v>15901321</v>
      </c>
      <c r="W223" s="44">
        <v>4085935</v>
      </c>
      <c r="Y223" s="44">
        <f>S223+U223+W223</f>
        <v>127361974</v>
      </c>
      <c r="AB223" s="44">
        <f t="shared" si="19"/>
        <v>0</v>
      </c>
    </row>
    <row r="224" spans="1:31" ht="12.75" customHeight="1">
      <c r="A224" s="44" t="s">
        <v>254</v>
      </c>
      <c r="C224" s="44" t="s">
        <v>89</v>
      </c>
      <c r="E224" s="44">
        <f t="shared" si="17"/>
        <v>8058242</v>
      </c>
      <c r="G224" s="44">
        <v>4369465</v>
      </c>
      <c r="I224" s="44">
        <v>0</v>
      </c>
      <c r="K224" s="44">
        <v>12427707</v>
      </c>
      <c r="M224" s="44">
        <f t="shared" si="18"/>
        <v>1785338</v>
      </c>
      <c r="O224" s="44">
        <v>5269408</v>
      </c>
      <c r="Q224" s="44">
        <v>7054746</v>
      </c>
      <c r="S224" s="44">
        <v>3270692</v>
      </c>
      <c r="U224" s="44">
        <v>886587</v>
      </c>
      <c r="W224" s="44">
        <v>1215682</v>
      </c>
      <c r="Y224" s="44">
        <f t="shared" si="16"/>
        <v>5372961</v>
      </c>
      <c r="AB224" s="44">
        <f t="shared" si="19"/>
        <v>0</v>
      </c>
      <c r="AE224" s="44" t="s">
        <v>450</v>
      </c>
    </row>
    <row r="225" spans="1:28" ht="12.75" customHeight="1">
      <c r="A225" s="44" t="s">
        <v>159</v>
      </c>
      <c r="C225" s="47" t="s">
        <v>66</v>
      </c>
      <c r="E225" s="44">
        <f>+K225-G225-I225</f>
        <v>4275281</v>
      </c>
      <c r="G225" s="44">
        <v>4375723</v>
      </c>
      <c r="I225" s="44">
        <v>0</v>
      </c>
      <c r="K225" s="44">
        <v>8651004</v>
      </c>
      <c r="M225" s="44">
        <f>+Q225-O225</f>
        <v>2387982</v>
      </c>
      <c r="O225" s="44">
        <v>1520630</v>
      </c>
      <c r="Q225" s="44">
        <v>3908612</v>
      </c>
      <c r="S225" s="44">
        <v>1634256</v>
      </c>
      <c r="U225" s="44">
        <v>0</v>
      </c>
      <c r="W225" s="44">
        <v>3108136</v>
      </c>
      <c r="Y225" s="44">
        <f>S225+U225+W225</f>
        <v>4742392</v>
      </c>
      <c r="AB225" s="44">
        <f>+K225-Q225-Y225</f>
        <v>0</v>
      </c>
    </row>
    <row r="226" spans="1:28" ht="12.75" customHeight="1">
      <c r="A226" s="44" t="s">
        <v>255</v>
      </c>
      <c r="C226" s="44" t="s">
        <v>27</v>
      </c>
      <c r="E226" s="44">
        <f t="shared" si="17"/>
        <v>11855049</v>
      </c>
      <c r="G226" s="44">
        <v>7461513</v>
      </c>
      <c r="I226" s="44">
        <v>0</v>
      </c>
      <c r="K226" s="44">
        <v>19316562</v>
      </c>
      <c r="M226" s="44">
        <f t="shared" si="18"/>
        <v>9536407</v>
      </c>
      <c r="O226" s="44">
        <v>2669138</v>
      </c>
      <c r="Q226" s="44">
        <v>12205545</v>
      </c>
      <c r="S226" s="44">
        <v>2459838</v>
      </c>
      <c r="U226" s="44">
        <v>266821</v>
      </c>
      <c r="W226" s="44">
        <v>4384358</v>
      </c>
      <c r="Y226" s="44">
        <f t="shared" si="16"/>
        <v>7111017</v>
      </c>
      <c r="AB226" s="44">
        <f t="shared" si="19"/>
        <v>0</v>
      </c>
    </row>
    <row r="227" spans="1:28" ht="12.75" customHeight="1">
      <c r="A227" s="44" t="s">
        <v>256</v>
      </c>
      <c r="B227" s="44"/>
      <c r="C227" s="44" t="s">
        <v>43</v>
      </c>
      <c r="D227" s="44"/>
      <c r="E227" s="44">
        <f>+K227-G227-I227</f>
        <v>66897464</v>
      </c>
      <c r="G227" s="44">
        <v>48461613</v>
      </c>
      <c r="I227" s="44">
        <v>0</v>
      </c>
      <c r="K227" s="44">
        <v>115359077</v>
      </c>
      <c r="M227" s="44">
        <f>+Q227-O227</f>
        <v>22032155</v>
      </c>
      <c r="O227" s="44">
        <v>19176236</v>
      </c>
      <c r="Q227" s="44">
        <v>41208391</v>
      </c>
      <c r="S227" s="44">
        <v>26458090</v>
      </c>
      <c r="U227" s="44">
        <v>6854999</v>
      </c>
      <c r="W227" s="44">
        <v>40837597</v>
      </c>
      <c r="Y227" s="44">
        <f>S227+U227+W227</f>
        <v>74150686</v>
      </c>
      <c r="AB227" s="44">
        <f>+K227-Q227-Y227</f>
        <v>0</v>
      </c>
    </row>
    <row r="228" spans="1:28" ht="12.75" customHeight="1">
      <c r="A228" s="44" t="s">
        <v>257</v>
      </c>
      <c r="C228" s="44" t="s">
        <v>258</v>
      </c>
      <c r="E228" s="44">
        <f>+K228-G228-I228</f>
        <v>3915678</v>
      </c>
      <c r="G228" s="44">
        <v>6278867</v>
      </c>
      <c r="I228" s="44">
        <v>0</v>
      </c>
      <c r="K228" s="44">
        <v>10194545</v>
      </c>
      <c r="M228" s="44">
        <f>+Q228-O228</f>
        <v>951192</v>
      </c>
      <c r="O228" s="44">
        <v>7008099</v>
      </c>
      <c r="Q228" s="44">
        <v>7959291</v>
      </c>
      <c r="S228" s="44">
        <v>7151254</v>
      </c>
      <c r="U228" s="44">
        <v>109951</v>
      </c>
      <c r="W228" s="44">
        <v>-5025951</v>
      </c>
      <c r="Y228" s="44">
        <f>S228+U228+W228</f>
        <v>2235254</v>
      </c>
      <c r="AB228" s="44">
        <f>+K228-Q228-Y228</f>
        <v>0</v>
      </c>
    </row>
    <row r="229" spans="1:28" ht="12.75" customHeight="1">
      <c r="A229" s="44" t="s">
        <v>259</v>
      </c>
      <c r="C229" s="44" t="s">
        <v>260</v>
      </c>
      <c r="E229" s="44">
        <f t="shared" si="17"/>
        <v>7214150</v>
      </c>
      <c r="G229" s="44">
        <v>21258981</v>
      </c>
      <c r="I229" s="44">
        <v>0</v>
      </c>
      <c r="K229" s="44">
        <v>28473131</v>
      </c>
      <c r="M229" s="44">
        <f t="shared" si="18"/>
        <v>2014301</v>
      </c>
      <c r="O229" s="44">
        <v>5358014</v>
      </c>
      <c r="Q229" s="44">
        <v>7372315</v>
      </c>
      <c r="S229" s="44">
        <v>17729581</v>
      </c>
      <c r="U229" s="44">
        <v>1564394</v>
      </c>
      <c r="W229" s="44">
        <v>1806841</v>
      </c>
      <c r="Y229" s="44">
        <f t="shared" si="16"/>
        <v>21100816</v>
      </c>
      <c r="AB229" s="44">
        <f t="shared" si="19"/>
        <v>0</v>
      </c>
    </row>
    <row r="230" spans="1:28" ht="12.75" customHeight="1">
      <c r="A230" s="44" t="s">
        <v>261</v>
      </c>
      <c r="C230" s="44" t="s">
        <v>66</v>
      </c>
      <c r="E230" s="44">
        <f t="shared" si="17"/>
        <v>35094717</v>
      </c>
      <c r="G230" s="44">
        <v>46666734</v>
      </c>
      <c r="I230" s="44">
        <v>0</v>
      </c>
      <c r="K230" s="44">
        <v>81761451</v>
      </c>
      <c r="M230" s="44">
        <f t="shared" si="18"/>
        <v>7816045</v>
      </c>
      <c r="O230" s="44">
        <v>10434090</v>
      </c>
      <c r="Q230" s="44">
        <v>18250135</v>
      </c>
      <c r="S230" s="44">
        <v>36955507</v>
      </c>
      <c r="U230" s="44">
        <v>4872447</v>
      </c>
      <c r="W230" s="44">
        <v>21683362</v>
      </c>
      <c r="Y230" s="44">
        <f t="shared" si="16"/>
        <v>63511316</v>
      </c>
      <c r="AB230" s="44">
        <f t="shared" si="19"/>
        <v>0</v>
      </c>
    </row>
    <row r="231" spans="1:28" ht="12.75" hidden="1" customHeight="1">
      <c r="A231" s="44" t="s">
        <v>490</v>
      </c>
      <c r="C231" s="44" t="s">
        <v>132</v>
      </c>
      <c r="E231" s="44">
        <f>+K231-G231-I231</f>
        <v>0</v>
      </c>
      <c r="G231" s="44">
        <v>0</v>
      </c>
      <c r="I231" s="44">
        <v>0</v>
      </c>
      <c r="K231" s="44">
        <v>0</v>
      </c>
      <c r="M231" s="44">
        <f>+Q231-O231</f>
        <v>0</v>
      </c>
      <c r="O231" s="44">
        <v>0</v>
      </c>
      <c r="Q231" s="44">
        <v>0</v>
      </c>
      <c r="S231" s="44">
        <v>0</v>
      </c>
      <c r="U231" s="44">
        <v>0</v>
      </c>
      <c r="W231" s="44">
        <v>0</v>
      </c>
      <c r="Y231" s="44">
        <f>S231+U231+W231</f>
        <v>0</v>
      </c>
      <c r="AB231" s="44">
        <f>+K231-Q231-Y231</f>
        <v>0</v>
      </c>
    </row>
    <row r="232" spans="1:28" ht="12.75" customHeight="1">
      <c r="A232" s="44" t="s">
        <v>262</v>
      </c>
      <c r="C232" s="44" t="s">
        <v>132</v>
      </c>
      <c r="E232" s="44">
        <f>+K232-G232-I232</f>
        <v>9968496</v>
      </c>
      <c r="G232" s="44">
        <f>908603+8672319</f>
        <v>9580922</v>
      </c>
      <c r="I232" s="44">
        <v>0</v>
      </c>
      <c r="K232" s="44">
        <v>19549418</v>
      </c>
      <c r="M232" s="44">
        <f t="shared" si="18"/>
        <v>6843452</v>
      </c>
      <c r="O232" s="44">
        <v>1287439</v>
      </c>
      <c r="Q232" s="44">
        <v>8130891</v>
      </c>
      <c r="S232" s="44">
        <v>6190922</v>
      </c>
      <c r="U232" s="44">
        <f>2616311+533390+840763+31835</f>
        <v>4022299</v>
      </c>
      <c r="W232" s="44">
        <v>1205306</v>
      </c>
      <c r="Y232" s="44">
        <f t="shared" si="16"/>
        <v>11418527</v>
      </c>
      <c r="AB232" s="44">
        <f t="shared" si="19"/>
        <v>0</v>
      </c>
    </row>
    <row r="233" spans="1:28" ht="12.75" customHeight="1">
      <c r="A233" s="44" t="s">
        <v>263</v>
      </c>
      <c r="C233" s="44" t="s">
        <v>53</v>
      </c>
      <c r="E233" s="44">
        <f t="shared" si="17"/>
        <v>21420923</v>
      </c>
      <c r="G233" s="44">
        <v>36955196</v>
      </c>
      <c r="I233" s="44">
        <v>0</v>
      </c>
      <c r="K233" s="44">
        <v>58376119</v>
      </c>
      <c r="M233" s="44">
        <f t="shared" si="18"/>
        <v>6358853</v>
      </c>
      <c r="O233" s="44">
        <v>2802368</v>
      </c>
      <c r="Q233" s="44">
        <v>9161221</v>
      </c>
      <c r="S233" s="44">
        <v>36230196</v>
      </c>
      <c r="U233" s="44">
        <v>12199703</v>
      </c>
      <c r="W233" s="44">
        <v>784999</v>
      </c>
      <c r="Y233" s="44">
        <f t="shared" si="16"/>
        <v>49214898</v>
      </c>
      <c r="AB233" s="44">
        <f t="shared" si="19"/>
        <v>0</v>
      </c>
    </row>
    <row r="234" spans="1:28" ht="12.75" customHeight="1">
      <c r="A234" s="44" t="s">
        <v>264</v>
      </c>
      <c r="C234" s="44" t="s">
        <v>239</v>
      </c>
      <c r="E234" s="44">
        <f>+K234-G234-I234</f>
        <v>12009503</v>
      </c>
      <c r="G234" s="44">
        <v>18386974</v>
      </c>
      <c r="I234" s="44">
        <v>0</v>
      </c>
      <c r="K234" s="44">
        <v>30396477</v>
      </c>
      <c r="M234" s="44">
        <f>+Q234-O234</f>
        <v>1547256</v>
      </c>
      <c r="O234" s="44">
        <v>1703255</v>
      </c>
      <c r="Q234" s="44">
        <v>3250511</v>
      </c>
      <c r="S234" s="44">
        <v>16550369</v>
      </c>
      <c r="U234" s="44">
        <v>6877486</v>
      </c>
      <c r="W234" s="44">
        <v>3718111</v>
      </c>
      <c r="Y234" s="44">
        <f>S234+U234+W234</f>
        <v>27145966</v>
      </c>
      <c r="AB234" s="44">
        <f>+K234-Q234-Y234</f>
        <v>0</v>
      </c>
    </row>
    <row r="235" spans="1:28" ht="12.75" customHeight="1">
      <c r="A235" s="44" t="s">
        <v>111</v>
      </c>
      <c r="C235" s="44" t="s">
        <v>80</v>
      </c>
      <c r="E235" s="44">
        <f t="shared" si="17"/>
        <v>29734252</v>
      </c>
      <c r="G235" s="44">
        <v>39480877</v>
      </c>
      <c r="I235" s="44">
        <v>0</v>
      </c>
      <c r="K235" s="44">
        <v>69215129</v>
      </c>
      <c r="M235" s="44">
        <f t="shared" si="18"/>
        <v>6829181</v>
      </c>
      <c r="O235" s="44">
        <v>14130217</v>
      </c>
      <c r="Q235" s="44">
        <v>20959398</v>
      </c>
      <c r="S235" s="44">
        <v>32781628</v>
      </c>
      <c r="U235" s="44">
        <v>11853100</v>
      </c>
      <c r="W235" s="44">
        <v>3621003</v>
      </c>
      <c r="Y235" s="44">
        <f t="shared" si="16"/>
        <v>48255731</v>
      </c>
      <c r="AB235" s="44">
        <f t="shared" si="19"/>
        <v>0</v>
      </c>
    </row>
    <row r="236" spans="1:28" ht="12.75" customHeight="1">
      <c r="A236" s="44" t="s">
        <v>265</v>
      </c>
      <c r="C236" s="44" t="s">
        <v>27</v>
      </c>
      <c r="E236" s="44">
        <f t="shared" si="17"/>
        <v>11212124</v>
      </c>
      <c r="G236" s="44">
        <v>13374597</v>
      </c>
      <c r="I236" s="44">
        <v>0</v>
      </c>
      <c r="K236" s="44">
        <v>24586721</v>
      </c>
      <c r="M236" s="44">
        <f t="shared" si="18"/>
        <v>19591988</v>
      </c>
      <c r="O236" s="44">
        <v>4088017</v>
      </c>
      <c r="Q236" s="44">
        <v>23680005</v>
      </c>
      <c r="S236" s="44">
        <v>1196985</v>
      </c>
      <c r="U236" s="44">
        <v>1047602</v>
      </c>
      <c r="W236" s="44">
        <v>-1337871</v>
      </c>
      <c r="Y236" s="44">
        <f t="shared" si="16"/>
        <v>906716</v>
      </c>
      <c r="AB236" s="44">
        <f t="shared" si="19"/>
        <v>0</v>
      </c>
    </row>
    <row r="237" spans="1:28" ht="12.75" customHeight="1">
      <c r="A237" s="44" t="s">
        <v>40</v>
      </c>
      <c r="C237" s="44" t="s">
        <v>452</v>
      </c>
      <c r="E237" s="44">
        <f t="shared" si="17"/>
        <v>14872684</v>
      </c>
      <c r="G237" s="44">
        <v>23505166</v>
      </c>
      <c r="I237" s="44">
        <v>0</v>
      </c>
      <c r="K237" s="44">
        <v>38377850</v>
      </c>
      <c r="M237" s="44">
        <f t="shared" si="18"/>
        <v>2429796</v>
      </c>
      <c r="O237" s="44">
        <v>13857587</v>
      </c>
      <c r="Q237" s="44">
        <v>16287383</v>
      </c>
      <c r="S237" s="44">
        <v>17107690</v>
      </c>
      <c r="U237" s="44">
        <v>2830076</v>
      </c>
      <c r="W237" s="44">
        <v>2152701</v>
      </c>
      <c r="Y237" s="44">
        <f t="shared" si="16"/>
        <v>22090467</v>
      </c>
      <c r="AB237" s="44">
        <f t="shared" si="19"/>
        <v>0</v>
      </c>
    </row>
    <row r="238" spans="1:28" ht="12.75" customHeight="1">
      <c r="A238" s="44" t="s">
        <v>266</v>
      </c>
      <c r="C238" s="44" t="s">
        <v>267</v>
      </c>
      <c r="E238" s="44">
        <f t="shared" si="17"/>
        <v>5979213</v>
      </c>
      <c r="G238" s="44">
        <v>13379014</v>
      </c>
      <c r="I238" s="44">
        <v>0</v>
      </c>
      <c r="K238" s="44">
        <v>19358227</v>
      </c>
      <c r="M238" s="44">
        <f t="shared" si="18"/>
        <v>1070239</v>
      </c>
      <c r="O238" s="44">
        <v>3435482</v>
      </c>
      <c r="Q238" s="44">
        <v>4505721</v>
      </c>
      <c r="S238" s="44">
        <v>11257578</v>
      </c>
      <c r="U238" s="44">
        <v>3429397</v>
      </c>
      <c r="W238" s="44">
        <v>165531</v>
      </c>
      <c r="Y238" s="44">
        <f t="shared" si="16"/>
        <v>14852506</v>
      </c>
      <c r="AB238" s="44">
        <f t="shared" si="19"/>
        <v>0</v>
      </c>
    </row>
    <row r="239" spans="1:28" ht="12.75" customHeight="1">
      <c r="A239" s="44" t="s">
        <v>268</v>
      </c>
      <c r="C239" s="44" t="s">
        <v>269</v>
      </c>
      <c r="E239" s="44">
        <f t="shared" si="17"/>
        <v>3371157</v>
      </c>
      <c r="G239" s="44">
        <v>3277938</v>
      </c>
      <c r="I239" s="44">
        <v>0</v>
      </c>
      <c r="K239" s="44">
        <v>6649095</v>
      </c>
      <c r="M239" s="44">
        <f t="shared" si="18"/>
        <v>2258951</v>
      </c>
      <c r="O239" s="44">
        <v>130331</v>
      </c>
      <c r="Q239" s="44">
        <v>2389282</v>
      </c>
      <c r="S239" s="44">
        <v>2410364</v>
      </c>
      <c r="U239" s="44">
        <v>858485</v>
      </c>
      <c r="W239" s="44">
        <v>990964</v>
      </c>
      <c r="Y239" s="44">
        <f t="shared" si="16"/>
        <v>4259813</v>
      </c>
      <c r="AB239" s="44">
        <f t="shared" si="19"/>
        <v>0</v>
      </c>
    </row>
    <row r="240" spans="1:28" ht="12.75" customHeight="1">
      <c r="A240" s="44" t="s">
        <v>270</v>
      </c>
      <c r="C240" s="44" t="s">
        <v>136</v>
      </c>
      <c r="E240" s="44">
        <f>+K240-G240-I240</f>
        <v>5274797</v>
      </c>
      <c r="G240" s="44">
        <v>1887737</v>
      </c>
      <c r="I240" s="44">
        <v>0</v>
      </c>
      <c r="K240" s="44">
        <v>7162534</v>
      </c>
      <c r="M240" s="44">
        <f>+Q240-O240</f>
        <v>898771</v>
      </c>
      <c r="O240" s="44">
        <v>446204</v>
      </c>
      <c r="Q240" s="44">
        <v>1344975</v>
      </c>
      <c r="S240" s="44">
        <v>1419430</v>
      </c>
      <c r="U240" s="44">
        <v>4340184</v>
      </c>
      <c r="W240" s="44">
        <v>57945</v>
      </c>
      <c r="Y240" s="44">
        <f>S240+U240+W240</f>
        <v>5817559</v>
      </c>
      <c r="AB240" s="44">
        <f>+K240-Q240-Y240</f>
        <v>0</v>
      </c>
    </row>
    <row r="241" spans="1:28" ht="12.75" customHeight="1">
      <c r="A241" s="44" t="s">
        <v>271</v>
      </c>
      <c r="C241" s="44" t="s">
        <v>66</v>
      </c>
      <c r="E241" s="44">
        <f t="shared" si="17"/>
        <v>7610915</v>
      </c>
      <c r="G241" s="44">
        <v>17596428</v>
      </c>
      <c r="I241" s="44">
        <v>0</v>
      </c>
      <c r="K241" s="44">
        <v>25207343</v>
      </c>
      <c r="M241" s="44">
        <f t="shared" si="18"/>
        <v>3319926</v>
      </c>
      <c r="O241" s="44">
        <v>4290052</v>
      </c>
      <c r="Q241" s="44">
        <v>7609978</v>
      </c>
      <c r="S241" s="44">
        <v>13561428</v>
      </c>
      <c r="U241" s="44">
        <v>1166865</v>
      </c>
      <c r="W241" s="44">
        <v>2869072</v>
      </c>
      <c r="Y241" s="44">
        <f t="shared" si="16"/>
        <v>17597365</v>
      </c>
      <c r="AB241" s="44">
        <f t="shared" si="19"/>
        <v>0</v>
      </c>
    </row>
    <row r="242" spans="1:28" ht="12.75" customHeight="1">
      <c r="A242" s="44" t="s">
        <v>272</v>
      </c>
      <c r="C242" s="44" t="s">
        <v>43</v>
      </c>
      <c r="E242" s="44">
        <f t="shared" si="17"/>
        <v>64778570</v>
      </c>
      <c r="G242" s="44">
        <v>201122159</v>
      </c>
      <c r="I242" s="44">
        <v>0</v>
      </c>
      <c r="K242" s="44">
        <v>265900729</v>
      </c>
      <c r="M242" s="44">
        <f t="shared" si="18"/>
        <v>17354149</v>
      </c>
      <c r="O242" s="44">
        <v>26007671</v>
      </c>
      <c r="Q242" s="44">
        <v>43361820</v>
      </c>
      <c r="S242" s="44">
        <v>175769547</v>
      </c>
      <c r="U242" s="44">
        <v>23179222</v>
      </c>
      <c r="W242" s="44">
        <v>23590140</v>
      </c>
      <c r="Y242" s="44">
        <f t="shared" si="16"/>
        <v>222538909</v>
      </c>
      <c r="AB242" s="44">
        <f t="shared" si="19"/>
        <v>0</v>
      </c>
    </row>
    <row r="243" spans="1:28" ht="12.75" customHeight="1">
      <c r="A243" s="44" t="s">
        <v>273</v>
      </c>
      <c r="C243" s="44" t="s">
        <v>27</v>
      </c>
      <c r="E243" s="44">
        <f t="shared" si="17"/>
        <v>89246299</v>
      </c>
      <c r="G243" s="44">
        <f>16588401+114908720</f>
        <v>131497121</v>
      </c>
      <c r="I243" s="44">
        <v>0</v>
      </c>
      <c r="K243" s="44">
        <v>220743420</v>
      </c>
      <c r="M243" s="44">
        <f t="shared" si="18"/>
        <v>16734543</v>
      </c>
      <c r="O243" s="44">
        <v>23922068</v>
      </c>
      <c r="Q243" s="44">
        <v>40656611</v>
      </c>
      <c r="S243" s="44">
        <v>113674284</v>
      </c>
      <c r="U243" s="44">
        <v>37147420</v>
      </c>
      <c r="W243" s="44">
        <v>29265105</v>
      </c>
      <c r="Y243" s="44">
        <f t="shared" si="16"/>
        <v>180086809</v>
      </c>
      <c r="AB243" s="44">
        <f t="shared" si="19"/>
        <v>0</v>
      </c>
    </row>
    <row r="244" spans="1:28" ht="12.75" customHeight="1">
      <c r="A244" s="44" t="s">
        <v>274</v>
      </c>
      <c r="C244" s="44" t="s">
        <v>43</v>
      </c>
      <c r="E244" s="44">
        <f t="shared" si="17"/>
        <v>14334654</v>
      </c>
      <c r="G244" s="44">
        <v>20069356</v>
      </c>
      <c r="I244" s="44">
        <v>0</v>
      </c>
      <c r="K244" s="44">
        <v>34404010</v>
      </c>
      <c r="M244" s="44">
        <f t="shared" si="18"/>
        <v>3137774</v>
      </c>
      <c r="O244" s="44">
        <v>2967113</v>
      </c>
      <c r="Q244" s="44">
        <v>6104887</v>
      </c>
      <c r="S244" s="44">
        <v>17515576</v>
      </c>
      <c r="U244" s="44">
        <v>5955643</v>
      </c>
      <c r="W244" s="44">
        <v>4827904</v>
      </c>
      <c r="Y244" s="44">
        <f t="shared" si="16"/>
        <v>28299123</v>
      </c>
      <c r="AB244" s="44">
        <f t="shared" si="19"/>
        <v>0</v>
      </c>
    </row>
    <row r="245" spans="1:28" ht="12.75" customHeight="1">
      <c r="A245" s="44" t="s">
        <v>275</v>
      </c>
      <c r="C245" s="44" t="s">
        <v>92</v>
      </c>
      <c r="E245" s="44">
        <f t="shared" si="17"/>
        <v>15935729</v>
      </c>
      <c r="G245" s="44">
        <v>82246482</v>
      </c>
      <c r="I245" s="44">
        <v>0</v>
      </c>
      <c r="K245" s="44">
        <v>98182211</v>
      </c>
      <c r="M245" s="44">
        <f t="shared" si="18"/>
        <v>3434554</v>
      </c>
      <c r="O245" s="44">
        <v>3655954</v>
      </c>
      <c r="Q245" s="44">
        <v>7090508</v>
      </c>
      <c r="S245" s="44">
        <v>79838892</v>
      </c>
      <c r="U245" s="44">
        <v>4844278</v>
      </c>
      <c r="W245" s="44">
        <v>6408533</v>
      </c>
      <c r="Y245" s="44">
        <f t="shared" si="16"/>
        <v>91091703</v>
      </c>
      <c r="AB245" s="44">
        <f t="shared" si="19"/>
        <v>0</v>
      </c>
    </row>
    <row r="246" spans="1:28" ht="12.75" customHeight="1">
      <c r="A246" s="44" t="s">
        <v>276</v>
      </c>
      <c r="C246" s="44" t="s">
        <v>38</v>
      </c>
      <c r="E246" s="44">
        <f t="shared" si="17"/>
        <v>8551149</v>
      </c>
      <c r="G246" s="44">
        <v>4605469</v>
      </c>
      <c r="I246" s="44">
        <v>0</v>
      </c>
      <c r="K246" s="44">
        <v>13156618</v>
      </c>
      <c r="M246" s="44">
        <f t="shared" si="18"/>
        <v>2529023</v>
      </c>
      <c r="O246" s="44">
        <v>511943</v>
      </c>
      <c r="Q246" s="44">
        <v>3040966</v>
      </c>
      <c r="S246" s="44">
        <v>2456312</v>
      </c>
      <c r="U246" s="44">
        <v>3418381</v>
      </c>
      <c r="W246" s="44">
        <v>4240959</v>
      </c>
      <c r="Y246" s="44">
        <f t="shared" si="16"/>
        <v>10115652</v>
      </c>
      <c r="AB246" s="44">
        <f t="shared" si="19"/>
        <v>0</v>
      </c>
    </row>
    <row r="247" spans="1:28" ht="12.75" customHeight="1">
      <c r="A247" s="44" t="s">
        <v>277</v>
      </c>
      <c r="C247" s="44" t="s">
        <v>92</v>
      </c>
      <c r="E247" s="44">
        <f t="shared" si="17"/>
        <v>32237400</v>
      </c>
      <c r="G247" s="44">
        <v>59775029</v>
      </c>
      <c r="I247" s="44">
        <v>0</v>
      </c>
      <c r="K247" s="44">
        <v>92012429</v>
      </c>
      <c r="M247" s="44">
        <f t="shared" si="18"/>
        <v>14124457</v>
      </c>
      <c r="O247" s="44">
        <v>16851819</v>
      </c>
      <c r="Q247" s="44">
        <v>30976276</v>
      </c>
      <c r="S247" s="44">
        <v>46994662</v>
      </c>
      <c r="U247" s="44">
        <v>6969709</v>
      </c>
      <c r="W247" s="44">
        <v>7071782</v>
      </c>
      <c r="Y247" s="44">
        <f t="shared" si="16"/>
        <v>61036153</v>
      </c>
      <c r="AB247" s="44">
        <f t="shared" si="19"/>
        <v>0</v>
      </c>
    </row>
    <row r="248" spans="1:28" ht="12.75" customHeight="1">
      <c r="A248" s="44" t="s">
        <v>278</v>
      </c>
      <c r="C248" s="44" t="s">
        <v>92</v>
      </c>
      <c r="E248" s="44">
        <f t="shared" si="17"/>
        <v>5169631</v>
      </c>
      <c r="G248" s="44">
        <v>10116023</v>
      </c>
      <c r="I248" s="44">
        <v>0</v>
      </c>
      <c r="K248" s="44">
        <v>15285654</v>
      </c>
      <c r="M248" s="44">
        <f t="shared" si="18"/>
        <v>3011011</v>
      </c>
      <c r="O248" s="44">
        <v>2892169</v>
      </c>
      <c r="Q248" s="44">
        <v>5903180</v>
      </c>
      <c r="S248" s="44">
        <v>7557277</v>
      </c>
      <c r="U248" s="44">
        <v>1421354</v>
      </c>
      <c r="W248" s="44">
        <v>403843</v>
      </c>
      <c r="Y248" s="44">
        <f t="shared" si="16"/>
        <v>9382474</v>
      </c>
      <c r="AB248" s="44">
        <f t="shared" si="19"/>
        <v>0</v>
      </c>
    </row>
    <row r="249" spans="1:28" ht="12.75" customHeight="1">
      <c r="A249" s="44" t="s">
        <v>279</v>
      </c>
      <c r="C249" s="44" t="s">
        <v>92</v>
      </c>
      <c r="E249" s="44">
        <f t="shared" si="17"/>
        <v>15361082</v>
      </c>
      <c r="G249" s="44">
        <v>32050150</v>
      </c>
      <c r="I249" s="44">
        <v>0</v>
      </c>
      <c r="K249" s="44">
        <v>47411232</v>
      </c>
      <c r="M249" s="44">
        <f t="shared" si="18"/>
        <v>9094724</v>
      </c>
      <c r="O249" s="44">
        <v>985559</v>
      </c>
      <c r="Q249" s="44">
        <v>10080283</v>
      </c>
      <c r="S249" s="44">
        <v>29647039</v>
      </c>
      <c r="U249" s="44">
        <v>5033271</v>
      </c>
      <c r="W249" s="44">
        <v>2650639</v>
      </c>
      <c r="Y249" s="44">
        <f t="shared" si="16"/>
        <v>37330949</v>
      </c>
      <c r="AB249" s="44">
        <f t="shared" si="19"/>
        <v>0</v>
      </c>
    </row>
    <row r="250" spans="1:28" ht="12.75" customHeight="1">
      <c r="A250" s="44" t="s">
        <v>280</v>
      </c>
      <c r="C250" s="44" t="s">
        <v>281</v>
      </c>
      <c r="E250" s="44">
        <f t="shared" si="17"/>
        <v>10424048</v>
      </c>
      <c r="G250" s="44">
        <v>17034615</v>
      </c>
      <c r="I250" s="44">
        <v>0</v>
      </c>
      <c r="K250" s="44">
        <v>27458663</v>
      </c>
      <c r="M250" s="44">
        <f t="shared" si="18"/>
        <v>4825655</v>
      </c>
      <c r="O250" s="44">
        <v>6631695</v>
      </c>
      <c r="Q250" s="44">
        <v>11457350</v>
      </c>
      <c r="S250" s="44">
        <v>7454615</v>
      </c>
      <c r="U250" s="44">
        <v>457519</v>
      </c>
      <c r="W250" s="44">
        <v>8089179</v>
      </c>
      <c r="Y250" s="44">
        <f t="shared" si="16"/>
        <v>16001313</v>
      </c>
      <c r="AB250" s="44">
        <f t="shared" si="19"/>
        <v>0</v>
      </c>
    </row>
    <row r="251" spans="1:28" ht="12.75" customHeight="1">
      <c r="A251" s="44" t="s">
        <v>282</v>
      </c>
      <c r="C251" s="44" t="s">
        <v>199</v>
      </c>
      <c r="E251" s="44">
        <f t="shared" si="17"/>
        <v>32334869</v>
      </c>
      <c r="G251" s="44">
        <v>38516150</v>
      </c>
      <c r="I251" s="44">
        <v>0</v>
      </c>
      <c r="K251" s="44">
        <v>70851019</v>
      </c>
      <c r="M251" s="44">
        <f t="shared" si="18"/>
        <v>5138755</v>
      </c>
      <c r="O251" s="44">
        <v>5488549</v>
      </c>
      <c r="Q251" s="44">
        <v>10627304</v>
      </c>
      <c r="S251" s="44">
        <v>31479714</v>
      </c>
      <c r="U251" s="44">
        <f>5878620+2498159+1948826+2844190</f>
        <v>13169795</v>
      </c>
      <c r="W251" s="44">
        <v>15574206</v>
      </c>
      <c r="Y251" s="44">
        <f t="shared" si="16"/>
        <v>60223715</v>
      </c>
      <c r="AB251" s="44">
        <f t="shared" si="19"/>
        <v>0</v>
      </c>
    </row>
    <row r="252" spans="1:28" ht="12.75" customHeight="1">
      <c r="A252" s="44" t="s">
        <v>283</v>
      </c>
      <c r="C252" s="44" t="s">
        <v>43</v>
      </c>
      <c r="E252" s="44">
        <f t="shared" si="17"/>
        <v>23597749</v>
      </c>
      <c r="G252" s="44">
        <v>37732576</v>
      </c>
      <c r="I252" s="44">
        <v>0</v>
      </c>
      <c r="K252" s="44">
        <v>61330325</v>
      </c>
      <c r="M252" s="44">
        <f t="shared" si="18"/>
        <v>6239001</v>
      </c>
      <c r="O252" s="44">
        <v>9517095</v>
      </c>
      <c r="Q252" s="44">
        <v>15756096</v>
      </c>
      <c r="S252" s="44">
        <v>28752576</v>
      </c>
      <c r="U252" s="44">
        <v>14468329</v>
      </c>
      <c r="W252" s="44">
        <v>2353324</v>
      </c>
      <c r="Y252" s="44">
        <f t="shared" si="16"/>
        <v>45574229</v>
      </c>
      <c r="AB252" s="44">
        <f t="shared" si="19"/>
        <v>0</v>
      </c>
    </row>
    <row r="253" spans="1:28" ht="12.75" customHeight="1">
      <c r="A253" s="44" t="s">
        <v>284</v>
      </c>
      <c r="C253" s="44" t="s">
        <v>45</v>
      </c>
      <c r="E253" s="44">
        <f t="shared" si="17"/>
        <v>13973299</v>
      </c>
      <c r="G253" s="44">
        <v>24172588</v>
      </c>
      <c r="I253" s="44">
        <v>0</v>
      </c>
      <c r="K253" s="44">
        <v>38145887</v>
      </c>
      <c r="M253" s="44">
        <f t="shared" si="18"/>
        <v>4192577</v>
      </c>
      <c r="O253" s="44">
        <v>8697169</v>
      </c>
      <c r="Q253" s="44">
        <v>12889746</v>
      </c>
      <c r="S253" s="44">
        <v>15722700</v>
      </c>
      <c r="U253" s="44">
        <v>695931</v>
      </c>
      <c r="W253" s="44">
        <v>8837510</v>
      </c>
      <c r="Y253" s="44">
        <f t="shared" si="16"/>
        <v>25256141</v>
      </c>
      <c r="AB253" s="44">
        <f t="shared" si="19"/>
        <v>0</v>
      </c>
    </row>
    <row r="254" spans="1:28" ht="12.75" customHeight="1">
      <c r="A254" s="44" t="s">
        <v>285</v>
      </c>
      <c r="C254" s="44" t="s">
        <v>30</v>
      </c>
      <c r="E254" s="44">
        <f t="shared" si="17"/>
        <v>13692723</v>
      </c>
      <c r="G254" s="44">
        <v>32374029</v>
      </c>
      <c r="I254" s="44">
        <v>0</v>
      </c>
      <c r="K254" s="44">
        <v>46066752</v>
      </c>
      <c r="M254" s="44">
        <f t="shared" si="18"/>
        <v>2676865</v>
      </c>
      <c r="O254" s="44">
        <v>3684647</v>
      </c>
      <c r="Q254" s="44">
        <v>6361512</v>
      </c>
      <c r="S254" s="44">
        <v>29662762</v>
      </c>
      <c r="U254" s="44">
        <v>5289948</v>
      </c>
      <c r="W254" s="44">
        <v>4752530</v>
      </c>
      <c r="Y254" s="44">
        <f t="shared" si="16"/>
        <v>39705240</v>
      </c>
      <c r="AB254" s="44">
        <f t="shared" si="19"/>
        <v>0</v>
      </c>
    </row>
    <row r="255" spans="1:28" ht="12.75" customHeight="1">
      <c r="A255" s="44" t="s">
        <v>286</v>
      </c>
      <c r="C255" s="44" t="s">
        <v>61</v>
      </c>
      <c r="E255" s="44">
        <f t="shared" si="17"/>
        <v>32731735</v>
      </c>
      <c r="G255" s="44">
        <v>94086708</v>
      </c>
      <c r="I255" s="44">
        <v>0</v>
      </c>
      <c r="K255" s="44">
        <v>126818443</v>
      </c>
      <c r="M255" s="44">
        <f t="shared" si="18"/>
        <v>25426268</v>
      </c>
      <c r="O255" s="44">
        <v>32751814</v>
      </c>
      <c r="Q255" s="44">
        <v>58178082</v>
      </c>
      <c r="S255" s="44">
        <v>68185569</v>
      </c>
      <c r="U255" s="44">
        <v>13480174</v>
      </c>
      <c r="W255" s="44">
        <v>-13025382</v>
      </c>
      <c r="Y255" s="44">
        <f t="shared" si="16"/>
        <v>68640361</v>
      </c>
      <c r="AB255" s="44">
        <f t="shared" si="19"/>
        <v>0</v>
      </c>
    </row>
    <row r="256" spans="1:28" ht="12.75" customHeight="1">
      <c r="A256" s="44" t="s">
        <v>287</v>
      </c>
      <c r="C256" s="44" t="s">
        <v>288</v>
      </c>
      <c r="E256" s="44">
        <f t="shared" si="17"/>
        <v>14293287</v>
      </c>
      <c r="G256" s="44">
        <v>18281220</v>
      </c>
      <c r="I256" s="44">
        <v>0</v>
      </c>
      <c r="K256" s="44">
        <v>32574507</v>
      </c>
      <c r="M256" s="44">
        <f t="shared" si="18"/>
        <v>5576226</v>
      </c>
      <c r="O256" s="44">
        <v>6961753</v>
      </c>
      <c r="Q256" s="44">
        <v>12537979</v>
      </c>
      <c r="S256" s="44">
        <v>11413607</v>
      </c>
      <c r="U256" s="44">
        <v>4575626</v>
      </c>
      <c r="W256" s="44">
        <v>4047295</v>
      </c>
      <c r="Y256" s="44">
        <f t="shared" si="16"/>
        <v>20036528</v>
      </c>
      <c r="AB256" s="44">
        <f t="shared" si="19"/>
        <v>0</v>
      </c>
    </row>
  </sheetData>
  <mergeCells count="3">
    <mergeCell ref="S5:W5"/>
    <mergeCell ref="M5:O5"/>
    <mergeCell ref="E5:I5"/>
  </mergeCells>
  <phoneticPr fontId="4" type="noConversion"/>
  <printOptions horizontalCentered="1"/>
  <pageMargins left="0.75" right="0.75" top="0.5" bottom="0.5" header="0" footer="0.25"/>
  <pageSetup scale="85" firstPageNumber="4" pageOrder="overThenDown" orientation="portrait" useFirstPageNumber="1" r:id="rId1"/>
  <headerFooter alignWithMargins="0">
    <oddFooter>&amp;C&amp;"Times New Roman,Regular"&amp;11&amp;P</oddFooter>
  </headerFooter>
  <rowBreaks count="3" manualBreakCount="3">
    <brk id="72" max="24" man="1"/>
    <brk id="133" max="24" man="1"/>
    <brk id="197" max="24" man="1"/>
  </rowBreaks>
  <colBreaks count="1" manualBreakCount="1">
    <brk id="12" min="8" max="25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U344"/>
  <sheetViews>
    <sheetView view="pageBreakPreview" zoomScaleNormal="100" zoomScaleSheetLayoutView="100" workbookViewId="0">
      <pane xSplit="3" ySplit="10" topLeftCell="AN11" activePane="bottomRight" state="frozen"/>
      <selection pane="topRight" activeCell="D1" sqref="D1"/>
      <selection pane="bottomLeft" activeCell="A11" sqref="A11"/>
      <selection pane="bottomRight" activeCell="BB8" sqref="BB8"/>
    </sheetView>
  </sheetViews>
  <sheetFormatPr defaultColWidth="0" defaultRowHeight="12.75" customHeight="1"/>
  <cols>
    <col min="1" max="1" width="13.7109375" style="5" customWidth="1"/>
    <col min="2" max="2" width="2.140625" customWidth="1"/>
    <col min="3" max="3" width="10.140625" style="5" customWidth="1"/>
    <col min="4" max="4" width="1.85546875" style="2" customWidth="1"/>
    <col min="5" max="5" width="11.7109375" style="5" customWidth="1"/>
    <col min="6" max="6" width="2" style="5" customWidth="1"/>
    <col min="7" max="7" width="11.7109375" style="5" customWidth="1"/>
    <col min="8" max="8" width="2" style="5" customWidth="1"/>
    <col min="9" max="9" width="11.7109375" style="5" customWidth="1"/>
    <col min="10" max="10" width="2" style="5" customWidth="1"/>
    <col min="11" max="11" width="11.7109375" style="5" customWidth="1"/>
    <col min="12" max="12" width="2" style="5" customWidth="1"/>
    <col min="13" max="13" width="11.7109375" style="5" customWidth="1"/>
    <col min="14" max="14" width="2.140625" style="5" customWidth="1"/>
    <col min="15" max="15" width="11.7109375" style="5" customWidth="1"/>
    <col min="16" max="16" width="2.7109375" style="5" customWidth="1"/>
    <col min="17" max="17" width="11.7109375" style="5" customWidth="1"/>
    <col min="18" max="18" width="1.7109375" style="5" customWidth="1"/>
    <col min="19" max="19" width="11.7109375" style="5" customWidth="1"/>
    <col min="20" max="20" width="1.7109375" style="5" customWidth="1"/>
    <col min="21" max="21" width="11.7109375" style="5" customWidth="1"/>
    <col min="22" max="22" width="1.7109375" style="5" customWidth="1"/>
    <col min="23" max="23" width="11.7109375" style="5" customWidth="1"/>
    <col min="24" max="24" width="1.7109375" customWidth="1"/>
    <col min="25" max="25" width="25" customWidth="1"/>
    <col min="26" max="26" width="12.28515625" style="5" customWidth="1"/>
    <col min="27" max="27" width="1.7109375" style="10" customWidth="1"/>
    <col min="28" max="28" width="10.28515625" style="5" customWidth="1"/>
    <col min="29" max="29" width="1.7109375" customWidth="1"/>
    <col min="30" max="30" width="11.7109375" style="5" customWidth="1"/>
    <col min="31" max="31" width="1.7109375" style="5" customWidth="1"/>
    <col min="32" max="32" width="11.7109375" style="5" customWidth="1"/>
    <col min="33" max="33" width="1.7109375" style="5" customWidth="1"/>
    <col min="34" max="34" width="11.7109375" style="5" customWidth="1"/>
    <col min="35" max="35" width="1.7109375" style="5" customWidth="1"/>
    <col min="36" max="36" width="11.7109375" style="5" customWidth="1"/>
    <col min="37" max="37" width="1.7109375" style="5" customWidth="1"/>
    <col min="38" max="38" width="11.7109375" style="5" customWidth="1"/>
    <col min="39" max="39" width="2.7109375" style="5" customWidth="1"/>
    <col min="40" max="40" width="11.42578125" customWidth="1"/>
    <col min="41" max="41" width="1.7109375" customWidth="1"/>
    <col min="42" max="42" width="11.28515625" customWidth="1"/>
    <col min="43" max="43" width="1.7109375" customWidth="1"/>
    <col min="44" max="44" width="10.140625" customWidth="1"/>
    <col min="45" max="45" width="1.7109375" customWidth="1"/>
    <col min="46" max="46" width="10.5703125" customWidth="1"/>
    <col min="47" max="47" width="1.7109375" customWidth="1"/>
    <col min="48" max="48" width="10.28515625" hidden="1" customWidth="1"/>
    <col min="49" max="49" width="1.7109375" hidden="1" customWidth="1"/>
    <col min="50" max="50" width="9.7109375" hidden="1" customWidth="1"/>
    <col min="51" max="51" width="1.7109375" hidden="1" customWidth="1"/>
    <col min="52" max="52" width="11.7109375" style="57" customWidth="1"/>
    <col min="53" max="53" width="18.28515625" customWidth="1"/>
    <col min="54" max="54" width="11.7109375" style="55" customWidth="1"/>
    <col min="55" max="55" width="1.42578125" style="55" customWidth="1"/>
    <col min="56" max="56" width="10" style="55" customWidth="1"/>
    <col min="57" max="57" width="1.42578125" style="55" customWidth="1"/>
    <col min="58" max="58" width="11.28515625" style="55" customWidth="1"/>
    <col min="59" max="59" width="1.42578125" style="55" customWidth="1"/>
    <col min="60" max="60" width="11.28515625" style="55" customWidth="1"/>
    <col min="61" max="61" width="1.42578125" style="55" customWidth="1"/>
    <col min="62" max="62" width="11.140625" style="55" customWidth="1"/>
    <col min="63" max="63" width="1.42578125" style="55" customWidth="1"/>
    <col min="64" max="64" width="11.28515625" style="55" customWidth="1"/>
    <col min="65" max="65" width="1.42578125" style="55" customWidth="1"/>
    <col min="66" max="66" width="11.140625" style="55" customWidth="1"/>
    <col min="67" max="67" width="1.7109375" style="36" customWidth="1"/>
    <col min="68" max="68" width="11.7109375" style="36" customWidth="1"/>
    <col min="69" max="69" width="1.7109375" style="36" customWidth="1"/>
    <col min="70" max="72" width="8.42578125" style="36" customWidth="1"/>
    <col min="73" max="73" width="8.42578125" style="83" customWidth="1"/>
    <col min="74" max="95" width="8.42578125" style="36" customWidth="1"/>
    <col min="96" max="228" width="8.42578125" style="5" hidden="1" customWidth="1"/>
    <col min="229" max="16384" width="8.42578125" style="61" hidden="1"/>
  </cols>
  <sheetData>
    <row r="1" spans="1:229" s="22" customFormat="1" ht="12.75" customHeight="1">
      <c r="A1" s="29" t="s">
        <v>391</v>
      </c>
      <c r="D1" s="2"/>
      <c r="Z1" s="29" t="s">
        <v>391</v>
      </c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/>
      <c r="BB1" s="74" t="s">
        <v>498</v>
      </c>
      <c r="BC1" s="75"/>
      <c r="BD1" s="75"/>
      <c r="BE1" s="35"/>
      <c r="BF1" s="35"/>
      <c r="BG1" s="35"/>
      <c r="BH1" s="35"/>
      <c r="BI1" s="35"/>
      <c r="BJ1" s="35"/>
      <c r="BK1" s="35"/>
      <c r="BL1" s="35"/>
      <c r="BM1" s="35"/>
      <c r="BN1" s="75"/>
      <c r="BO1" s="33"/>
      <c r="BS1" s="39"/>
      <c r="BT1" s="39"/>
      <c r="BU1" s="82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HU1" s="62"/>
    </row>
    <row r="2" spans="1:229" s="22" customFormat="1" ht="12.75" customHeight="1">
      <c r="A2" s="23" t="s">
        <v>473</v>
      </c>
      <c r="D2" s="2"/>
      <c r="Z2" s="23" t="s">
        <v>474</v>
      </c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/>
      <c r="BB2" s="76" t="s">
        <v>348</v>
      </c>
      <c r="BC2" s="75"/>
      <c r="BD2" s="75"/>
      <c r="BE2" s="35"/>
      <c r="BF2" s="35"/>
      <c r="BG2" s="35"/>
      <c r="BH2" s="35"/>
      <c r="BI2" s="35"/>
      <c r="BJ2" s="35"/>
      <c r="BK2" s="35"/>
      <c r="BL2" s="35"/>
      <c r="BM2" s="35"/>
      <c r="BN2" s="75"/>
      <c r="BO2" s="33"/>
      <c r="BS2" s="39"/>
      <c r="BT2" s="39"/>
      <c r="BU2" s="82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HU2" s="62"/>
    </row>
    <row r="3" spans="1:229" s="22" customFormat="1" ht="12.75" customHeight="1">
      <c r="A3" s="29" t="s">
        <v>488</v>
      </c>
      <c r="D3" s="2"/>
      <c r="Z3" s="29" t="s">
        <v>489</v>
      </c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/>
      <c r="BB3" s="74" t="s">
        <v>488</v>
      </c>
      <c r="BC3" s="75"/>
      <c r="BD3" s="75"/>
      <c r="BE3" s="35"/>
      <c r="BF3" s="35"/>
      <c r="BG3" s="35"/>
      <c r="BH3" s="35"/>
      <c r="BI3" s="35"/>
      <c r="BJ3" s="35"/>
      <c r="BK3" s="35"/>
      <c r="BL3" s="35"/>
      <c r="BM3" s="35"/>
      <c r="BN3" s="75"/>
      <c r="BO3" s="33"/>
      <c r="BS3" s="36"/>
      <c r="BT3" s="36"/>
      <c r="BU3" s="83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HU3" s="62"/>
    </row>
    <row r="4" spans="1:229" ht="12.75" customHeight="1">
      <c r="A4" s="22" t="s">
        <v>289</v>
      </c>
      <c r="Z4" s="22" t="s">
        <v>289</v>
      </c>
      <c r="AA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B4" s="75" t="s">
        <v>289</v>
      </c>
      <c r="BC4" s="47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3"/>
      <c r="BP4" s="5"/>
      <c r="BQ4" s="5"/>
      <c r="BR4" s="5"/>
    </row>
    <row r="5" spans="1:229" ht="12.75" hidden="1" customHeight="1"/>
    <row r="6" spans="1:229" ht="12.75" hidden="1" customHeight="1">
      <c r="A6" s="22"/>
      <c r="V6" s="67"/>
      <c r="W6" s="67"/>
      <c r="Z6" s="22"/>
      <c r="AA6" s="5"/>
      <c r="AN6" s="5"/>
      <c r="AO6" s="5"/>
      <c r="AP6" s="5"/>
      <c r="AQ6" s="5"/>
      <c r="AR6" s="5"/>
      <c r="AS6" s="5"/>
      <c r="AT6" s="5"/>
      <c r="AU6" s="5"/>
      <c r="AV6" s="61"/>
      <c r="AW6" s="61"/>
      <c r="AX6" s="61"/>
      <c r="AY6" s="5"/>
      <c r="AZ6" s="5"/>
      <c r="BB6" s="75"/>
      <c r="BC6" s="47"/>
      <c r="BD6" s="35"/>
      <c r="BE6" s="35"/>
      <c r="BF6" s="77"/>
      <c r="BG6" s="77"/>
      <c r="BH6" s="77"/>
      <c r="BI6" s="77"/>
      <c r="BJ6" s="77"/>
      <c r="BK6" s="77"/>
      <c r="BL6" s="77"/>
      <c r="BM6" s="77"/>
      <c r="BN6" s="35"/>
      <c r="BO6" s="33"/>
      <c r="BP6" s="5"/>
      <c r="BQ6" s="5"/>
      <c r="BR6" s="5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</row>
    <row r="7" spans="1:229" ht="12.75" customHeight="1">
      <c r="Q7" s="174" t="s">
        <v>2</v>
      </c>
      <c r="R7" s="174"/>
      <c r="S7" s="174"/>
      <c r="T7" s="174"/>
      <c r="U7" s="174"/>
      <c r="Z7" s="5" t="s">
        <v>485</v>
      </c>
      <c r="AV7" s="6" t="s">
        <v>411</v>
      </c>
      <c r="AW7" s="5"/>
      <c r="AX7" s="6" t="s">
        <v>412</v>
      </c>
      <c r="BB7" s="5" t="s">
        <v>485</v>
      </c>
    </row>
    <row r="8" spans="1:229" s="6" customFormat="1" ht="12.75" customHeight="1">
      <c r="D8" s="3"/>
      <c r="Q8" s="6" t="s">
        <v>7</v>
      </c>
      <c r="AV8" s="6" t="s">
        <v>349</v>
      </c>
      <c r="AX8" s="6" t="s">
        <v>349</v>
      </c>
      <c r="BA8"/>
      <c r="BB8" s="8"/>
      <c r="BC8" s="8"/>
      <c r="BD8" s="8"/>
      <c r="BE8" s="8"/>
      <c r="BF8" s="8" t="s">
        <v>296</v>
      </c>
      <c r="BG8" s="8"/>
      <c r="BH8" s="8" t="s">
        <v>350</v>
      </c>
      <c r="BI8" s="8"/>
      <c r="BJ8" s="8"/>
      <c r="BK8" s="8"/>
      <c r="BL8" s="8" t="s">
        <v>294</v>
      </c>
      <c r="BM8" s="8"/>
      <c r="BN8" s="8" t="s">
        <v>6</v>
      </c>
      <c r="BO8" s="33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HU8" s="63"/>
    </row>
    <row r="9" spans="1:229" s="6" customFormat="1" ht="12.75" customHeight="1">
      <c r="E9" s="6" t="s">
        <v>3</v>
      </c>
      <c r="G9" s="6" t="s">
        <v>351</v>
      </c>
      <c r="I9" s="6" t="s">
        <v>6</v>
      </c>
      <c r="K9" s="6" t="s">
        <v>3</v>
      </c>
      <c r="M9" s="6" t="s">
        <v>351</v>
      </c>
      <c r="O9" s="6" t="s">
        <v>6</v>
      </c>
      <c r="Q9" s="6" t="s">
        <v>4</v>
      </c>
      <c r="W9" s="8" t="s">
        <v>6</v>
      </c>
      <c r="AD9" s="6" t="s">
        <v>345</v>
      </c>
      <c r="AF9" s="6" t="s">
        <v>353</v>
      </c>
      <c r="AJ9" s="6" t="s">
        <v>345</v>
      </c>
      <c r="AL9" s="6" t="s">
        <v>354</v>
      </c>
      <c r="AR9" s="6" t="s">
        <v>4</v>
      </c>
      <c r="AT9" s="6" t="s">
        <v>368</v>
      </c>
      <c r="AV9" s="6" t="s">
        <v>413</v>
      </c>
      <c r="AX9" s="6" t="s">
        <v>413</v>
      </c>
      <c r="AZ9" s="6" t="s">
        <v>355</v>
      </c>
      <c r="BA9"/>
      <c r="BB9" s="8"/>
      <c r="BC9" s="8"/>
      <c r="BD9" s="8"/>
      <c r="BE9" s="8"/>
      <c r="BF9" s="8" t="s">
        <v>356</v>
      </c>
      <c r="BG9" s="8"/>
      <c r="BH9" s="8" t="s">
        <v>302</v>
      </c>
      <c r="BI9" s="8"/>
      <c r="BJ9" s="8"/>
      <c r="BK9" s="8"/>
      <c r="BL9" s="8" t="s">
        <v>352</v>
      </c>
      <c r="BM9" s="8"/>
      <c r="BN9" s="8" t="s">
        <v>352</v>
      </c>
      <c r="BO9" s="33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HU9" s="63"/>
    </row>
    <row r="10" spans="1:229" s="8" customFormat="1" ht="12.75" customHeight="1">
      <c r="A10" s="7" t="s">
        <v>8</v>
      </c>
      <c r="C10" s="7" t="s">
        <v>9</v>
      </c>
      <c r="E10" s="7" t="s">
        <v>0</v>
      </c>
      <c r="G10" s="7" t="s">
        <v>0</v>
      </c>
      <c r="I10" s="7" t="s">
        <v>0</v>
      </c>
      <c r="K10" s="7" t="s">
        <v>1</v>
      </c>
      <c r="M10" s="7" t="s">
        <v>1</v>
      </c>
      <c r="O10" s="7" t="s">
        <v>1</v>
      </c>
      <c r="Q10" s="7" t="s">
        <v>0</v>
      </c>
      <c r="S10" s="7" t="s">
        <v>10</v>
      </c>
      <c r="U10" s="7" t="s">
        <v>11</v>
      </c>
      <c r="W10" s="7" t="s">
        <v>2</v>
      </c>
      <c r="Z10" s="7" t="s">
        <v>8</v>
      </c>
      <c r="AB10" s="7" t="s">
        <v>9</v>
      </c>
      <c r="AD10" s="78" t="s">
        <v>462</v>
      </c>
      <c r="AE10" s="78"/>
      <c r="AF10" s="78" t="s">
        <v>357</v>
      </c>
      <c r="AH10" s="78" t="s">
        <v>357</v>
      </c>
      <c r="AJ10" s="78" t="s">
        <v>358</v>
      </c>
      <c r="AL10" s="78" t="s">
        <v>414</v>
      </c>
      <c r="AN10" s="78" t="s">
        <v>359</v>
      </c>
      <c r="AP10" s="78" t="s">
        <v>360</v>
      </c>
      <c r="AR10" s="78" t="s">
        <v>361</v>
      </c>
      <c r="AT10" s="78" t="s">
        <v>2</v>
      </c>
      <c r="AV10" s="7" t="s">
        <v>415</v>
      </c>
      <c r="AX10" s="7" t="s">
        <v>415</v>
      </c>
      <c r="AZ10" s="78" t="s">
        <v>4</v>
      </c>
      <c r="BA10" s="51"/>
      <c r="BB10" s="7" t="s">
        <v>8</v>
      </c>
      <c r="BD10" s="7" t="s">
        <v>9</v>
      </c>
      <c r="BF10" s="78" t="s">
        <v>362</v>
      </c>
      <c r="BH10" s="78" t="s">
        <v>362</v>
      </c>
      <c r="BJ10" s="78" t="s">
        <v>363</v>
      </c>
      <c r="BL10" s="78" t="s">
        <v>364</v>
      </c>
      <c r="BN10" s="7" t="s">
        <v>364</v>
      </c>
      <c r="BO10" s="54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</row>
    <row r="11" spans="1:229" s="8" customFormat="1" ht="12.75" customHeight="1">
      <c r="BA11" s="51"/>
      <c r="BO11" s="54"/>
      <c r="BS11" s="55"/>
      <c r="BT11" s="55"/>
      <c r="BU11" s="84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</row>
    <row r="12" spans="1:229" s="64" customFormat="1" ht="12.75" hidden="1" customHeight="1">
      <c r="A12" s="35" t="s">
        <v>12</v>
      </c>
      <c r="B12" s="51"/>
      <c r="C12" s="35" t="s">
        <v>13</v>
      </c>
      <c r="D12" s="44"/>
      <c r="E12" s="79">
        <f t="shared" ref="E12:E79" si="0">I12-G12</f>
        <v>18932194</v>
      </c>
      <c r="F12" s="79"/>
      <c r="G12" s="79">
        <v>145243791</v>
      </c>
      <c r="H12" s="79"/>
      <c r="I12" s="79">
        <v>164175985</v>
      </c>
      <c r="J12" s="79"/>
      <c r="K12" s="79">
        <f t="shared" ref="K12:K79" si="1">O12-M12</f>
        <v>13040093</v>
      </c>
      <c r="L12" s="79"/>
      <c r="M12" s="79">
        <v>61229397</v>
      </c>
      <c r="N12" s="79"/>
      <c r="O12" s="79">
        <v>74269490</v>
      </c>
      <c r="P12" s="79"/>
      <c r="Q12" s="79">
        <v>78976875</v>
      </c>
      <c r="R12" s="79"/>
      <c r="S12" s="79">
        <v>5135956</v>
      </c>
      <c r="T12" s="79"/>
      <c r="U12" s="79">
        <v>5793664</v>
      </c>
      <c r="V12" s="79"/>
      <c r="W12" s="79">
        <f t="shared" ref="W12:W79" si="2">SUM(Q12:U12)</f>
        <v>89906495</v>
      </c>
      <c r="Z12" s="35" t="s">
        <v>12</v>
      </c>
      <c r="AA12" s="53"/>
      <c r="AB12" s="35" t="s">
        <v>13</v>
      </c>
      <c r="AC12" s="51"/>
      <c r="AD12" s="79"/>
      <c r="AE12" s="79"/>
      <c r="AF12" s="79"/>
      <c r="AG12" s="79"/>
      <c r="AH12" s="79"/>
      <c r="AI12" s="79"/>
      <c r="AJ12" s="94">
        <f t="shared" ref="AJ12:AJ43" si="3">+AD12-AF12-AH12</f>
        <v>0</v>
      </c>
      <c r="AK12" s="94"/>
      <c r="AL12" s="94"/>
      <c r="AM12" s="94"/>
      <c r="AN12" s="79"/>
      <c r="AO12" s="79"/>
      <c r="AP12" s="79"/>
      <c r="AQ12" s="79"/>
      <c r="AR12" s="79"/>
      <c r="AS12" s="79"/>
      <c r="AT12" s="94">
        <f t="shared" ref="AT12:AT43" si="4">+AJ12+AL12+AN12-AP12+AR12</f>
        <v>0</v>
      </c>
      <c r="AU12" s="94"/>
      <c r="AV12" s="79">
        <v>0</v>
      </c>
      <c r="AW12" s="79"/>
      <c r="AX12" s="79">
        <v>0</v>
      </c>
      <c r="AY12" s="79"/>
      <c r="AZ12" s="79">
        <f t="shared" ref="AZ12:AZ43" si="5">E12-K12</f>
        <v>5892101</v>
      </c>
      <c r="BA12" s="66"/>
      <c r="BB12" s="35" t="s">
        <v>12</v>
      </c>
      <c r="BC12" s="35"/>
      <c r="BD12" s="35" t="s">
        <v>13</v>
      </c>
      <c r="BE12" s="53"/>
      <c r="BF12" s="79">
        <v>56753524</v>
      </c>
      <c r="BG12" s="79"/>
      <c r="BH12" s="79">
        <v>0</v>
      </c>
      <c r="BI12" s="79"/>
      <c r="BJ12" s="79">
        <v>0</v>
      </c>
      <c r="BK12" s="79"/>
      <c r="BL12" s="79">
        <v>4475873</v>
      </c>
      <c r="BM12" s="79"/>
      <c r="BN12" s="79">
        <f t="shared" ref="BN12:BN79" si="6">SUM(BF12:BL12)</f>
        <v>61229397</v>
      </c>
      <c r="BO12" s="91"/>
      <c r="BS12" s="90"/>
      <c r="BT12" s="90"/>
      <c r="BU12" s="95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</row>
    <row r="13" spans="1:229" s="64" customFormat="1" ht="12.75" customHeight="1">
      <c r="A13" s="64" t="s">
        <v>14</v>
      </c>
      <c r="B13" s="66"/>
      <c r="C13" s="64" t="s">
        <v>15</v>
      </c>
      <c r="D13" s="46"/>
      <c r="E13" s="79">
        <f t="shared" si="0"/>
        <v>19658513</v>
      </c>
      <c r="F13" s="79"/>
      <c r="G13" s="79">
        <v>1359730</v>
      </c>
      <c r="H13" s="79"/>
      <c r="I13" s="79">
        <v>21018243</v>
      </c>
      <c r="J13" s="79"/>
      <c r="K13" s="79">
        <f t="shared" si="1"/>
        <v>1199226</v>
      </c>
      <c r="L13" s="79"/>
      <c r="M13" s="79">
        <v>13416894</v>
      </c>
      <c r="N13" s="79"/>
      <c r="O13" s="79">
        <v>14616120</v>
      </c>
      <c r="P13" s="79"/>
      <c r="Q13" s="79">
        <v>47491</v>
      </c>
      <c r="R13" s="79"/>
      <c r="S13" s="79">
        <f>1600554+520984</f>
        <v>2121538</v>
      </c>
      <c r="T13" s="79"/>
      <c r="U13" s="79">
        <v>4233094</v>
      </c>
      <c r="V13" s="79"/>
      <c r="W13" s="79">
        <f t="shared" si="2"/>
        <v>6402123</v>
      </c>
      <c r="X13" s="66"/>
      <c r="Y13" s="66"/>
      <c r="Z13" s="64" t="s">
        <v>14</v>
      </c>
      <c r="AA13" s="79"/>
      <c r="AB13" s="64" t="s">
        <v>15</v>
      </c>
      <c r="AC13" s="66"/>
      <c r="AD13" s="79">
        <v>4377711</v>
      </c>
      <c r="AE13" s="79"/>
      <c r="AF13" s="79">
        <f>3562908-583807</f>
        <v>2979101</v>
      </c>
      <c r="AG13" s="79"/>
      <c r="AH13" s="79">
        <v>583807</v>
      </c>
      <c r="AI13" s="79"/>
      <c r="AJ13" s="94">
        <f t="shared" si="3"/>
        <v>814803</v>
      </c>
      <c r="AK13" s="94"/>
      <c r="AL13" s="79">
        <v>-261912</v>
      </c>
      <c r="AM13" s="94"/>
      <c r="AN13" s="79">
        <v>0</v>
      </c>
      <c r="AO13" s="79"/>
      <c r="AP13" s="79">
        <v>0</v>
      </c>
      <c r="AQ13" s="79"/>
      <c r="AR13" s="79">
        <v>0</v>
      </c>
      <c r="AS13" s="79"/>
      <c r="AT13" s="94">
        <f t="shared" si="4"/>
        <v>552891</v>
      </c>
      <c r="AU13" s="94"/>
      <c r="AV13" s="79">
        <v>0</v>
      </c>
      <c r="AW13" s="79"/>
      <c r="AX13" s="79">
        <v>0</v>
      </c>
      <c r="AY13" s="79"/>
      <c r="AZ13" s="79">
        <f t="shared" si="5"/>
        <v>18459287</v>
      </c>
      <c r="BA13" s="66"/>
      <c r="BB13" s="64" t="s">
        <v>14</v>
      </c>
      <c r="BD13" s="64" t="s">
        <v>15</v>
      </c>
      <c r="BE13" s="79"/>
      <c r="BF13" s="79">
        <v>0</v>
      </c>
      <c r="BG13" s="79"/>
      <c r="BH13" s="79">
        <v>13306454</v>
      </c>
      <c r="BI13" s="79"/>
      <c r="BJ13" s="79">
        <v>0</v>
      </c>
      <c r="BK13" s="79"/>
      <c r="BL13" s="79">
        <v>110440</v>
      </c>
      <c r="BM13" s="79"/>
      <c r="BN13" s="79">
        <f t="shared" si="6"/>
        <v>13416894</v>
      </c>
      <c r="BO13" s="91"/>
      <c r="BS13" s="90"/>
      <c r="BT13" s="90"/>
      <c r="BU13" s="95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</row>
    <row r="14" spans="1:229" s="35" customFormat="1" ht="12.75" customHeight="1">
      <c r="A14" s="35" t="s">
        <v>16</v>
      </c>
      <c r="B14" s="51"/>
      <c r="C14" s="35" t="s">
        <v>17</v>
      </c>
      <c r="D14" s="44"/>
      <c r="E14" s="53">
        <v>1709581</v>
      </c>
      <c r="F14" s="53"/>
      <c r="G14" s="53">
        <v>4447605</v>
      </c>
      <c r="H14" s="53"/>
      <c r="I14" s="53">
        <v>6157186</v>
      </c>
      <c r="J14" s="53"/>
      <c r="K14" s="53">
        <f t="shared" si="1"/>
        <v>198811</v>
      </c>
      <c r="L14" s="53"/>
      <c r="M14" s="53">
        <v>1436346</v>
      </c>
      <c r="N14" s="53"/>
      <c r="O14" s="53">
        <v>1635157</v>
      </c>
      <c r="P14" s="53"/>
      <c r="Q14" s="53">
        <v>2870865</v>
      </c>
      <c r="R14" s="53"/>
      <c r="S14" s="53">
        <v>0</v>
      </c>
      <c r="T14" s="53"/>
      <c r="U14" s="53">
        <v>1651164</v>
      </c>
      <c r="V14" s="53"/>
      <c r="W14" s="53">
        <f t="shared" si="2"/>
        <v>4522029</v>
      </c>
      <c r="X14" s="51"/>
      <c r="Y14" s="51"/>
      <c r="Z14" s="35" t="s">
        <v>16</v>
      </c>
      <c r="AA14" s="53"/>
      <c r="AB14" s="35" t="s">
        <v>17</v>
      </c>
      <c r="AC14" s="51"/>
      <c r="AD14" s="53">
        <v>1870021</v>
      </c>
      <c r="AE14" s="53"/>
      <c r="AF14" s="53">
        <f>1726553-157654</f>
        <v>1568899</v>
      </c>
      <c r="AG14" s="53"/>
      <c r="AH14" s="53">
        <v>157654</v>
      </c>
      <c r="AI14" s="53"/>
      <c r="AJ14" s="45">
        <f t="shared" si="3"/>
        <v>143468</v>
      </c>
      <c r="AK14" s="45"/>
      <c r="AL14" s="53">
        <v>-69201</v>
      </c>
      <c r="AM14" s="45"/>
      <c r="AN14" s="53">
        <v>0</v>
      </c>
      <c r="AO14" s="53"/>
      <c r="AP14" s="53">
        <v>0</v>
      </c>
      <c r="AQ14" s="53"/>
      <c r="AR14" s="53">
        <v>0</v>
      </c>
      <c r="AS14" s="53"/>
      <c r="AT14" s="45">
        <f t="shared" si="4"/>
        <v>74267</v>
      </c>
      <c r="AU14" s="45"/>
      <c r="AV14" s="53">
        <v>0</v>
      </c>
      <c r="AW14" s="53"/>
      <c r="AX14" s="53">
        <v>0</v>
      </c>
      <c r="AY14" s="53"/>
      <c r="AZ14" s="53">
        <f t="shared" si="5"/>
        <v>1510770</v>
      </c>
      <c r="BA14" s="51"/>
      <c r="BB14" s="35" t="s">
        <v>16</v>
      </c>
      <c r="BD14" s="35" t="s">
        <v>17</v>
      </c>
      <c r="BE14" s="53"/>
      <c r="BF14" s="53">
        <v>1430000</v>
      </c>
      <c r="BG14" s="53"/>
      <c r="BH14" s="53">
        <v>0</v>
      </c>
      <c r="BI14" s="53"/>
      <c r="BJ14" s="53">
        <v>0</v>
      </c>
      <c r="BK14" s="53"/>
      <c r="BL14" s="53">
        <v>6346</v>
      </c>
      <c r="BM14" s="53"/>
      <c r="BN14" s="53">
        <f t="shared" si="6"/>
        <v>1436346</v>
      </c>
      <c r="BO14" s="54"/>
      <c r="BS14" s="55"/>
      <c r="BT14" s="55"/>
      <c r="BU14" s="84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</row>
    <row r="15" spans="1:229" s="35" customFormat="1" ht="12.75" customHeight="1">
      <c r="A15" s="35" t="s">
        <v>18</v>
      </c>
      <c r="B15" s="51"/>
      <c r="C15" s="35" t="s">
        <v>18</v>
      </c>
      <c r="D15" s="44"/>
      <c r="E15" s="53">
        <f t="shared" si="0"/>
        <v>4811627</v>
      </c>
      <c r="F15" s="53"/>
      <c r="G15" s="53">
        <v>13345532</v>
      </c>
      <c r="H15" s="53"/>
      <c r="I15" s="53">
        <v>18157159</v>
      </c>
      <c r="J15" s="53"/>
      <c r="K15" s="53">
        <f t="shared" si="1"/>
        <v>2762331</v>
      </c>
      <c r="L15" s="53"/>
      <c r="M15" s="53">
        <v>5338449</v>
      </c>
      <c r="N15" s="53"/>
      <c r="O15" s="53">
        <v>8100780</v>
      </c>
      <c r="P15" s="53"/>
      <c r="Q15" s="53">
        <v>5502369</v>
      </c>
      <c r="R15" s="53"/>
      <c r="S15" s="53">
        <v>0</v>
      </c>
      <c r="T15" s="53"/>
      <c r="U15" s="53">
        <v>4554010</v>
      </c>
      <c r="V15" s="53"/>
      <c r="W15" s="53">
        <f t="shared" si="2"/>
        <v>10056379</v>
      </c>
      <c r="X15" s="51"/>
      <c r="Y15" s="51"/>
      <c r="Z15" s="35" t="s">
        <v>18</v>
      </c>
      <c r="AA15" s="53"/>
      <c r="AB15" s="35" t="s">
        <v>18</v>
      </c>
      <c r="AC15" s="51"/>
      <c r="AD15" s="53">
        <v>3520855</v>
      </c>
      <c r="AE15" s="53"/>
      <c r="AF15" s="53">
        <f>2614692-350859</f>
        <v>2263833</v>
      </c>
      <c r="AG15" s="53"/>
      <c r="AH15" s="53">
        <v>350859</v>
      </c>
      <c r="AI15" s="53"/>
      <c r="AJ15" s="45">
        <f t="shared" si="3"/>
        <v>906163</v>
      </c>
      <c r="AK15" s="45"/>
      <c r="AL15" s="53">
        <v>-238650</v>
      </c>
      <c r="AM15" s="45"/>
      <c r="AN15" s="53">
        <v>0</v>
      </c>
      <c r="AO15" s="53"/>
      <c r="AP15" s="53">
        <v>0</v>
      </c>
      <c r="AQ15" s="53"/>
      <c r="AR15" s="53">
        <v>89340</v>
      </c>
      <c r="AS15" s="53"/>
      <c r="AT15" s="45">
        <f t="shared" si="4"/>
        <v>756853</v>
      </c>
      <c r="AU15" s="45"/>
      <c r="AV15" s="53">
        <v>0</v>
      </c>
      <c r="AW15" s="53"/>
      <c r="AX15" s="53">
        <v>0</v>
      </c>
      <c r="AY15" s="53"/>
      <c r="AZ15" s="53">
        <f t="shared" si="5"/>
        <v>2049296</v>
      </c>
      <c r="BA15" s="51"/>
      <c r="BB15" s="35" t="s">
        <v>18</v>
      </c>
      <c r="BD15" s="35" t="s">
        <v>18</v>
      </c>
      <c r="BE15" s="53"/>
      <c r="BF15" s="53">
        <v>5279000</v>
      </c>
      <c r="BG15" s="53"/>
      <c r="BH15" s="53">
        <v>0</v>
      </c>
      <c r="BI15" s="53"/>
      <c r="BJ15" s="53">
        <v>4369</v>
      </c>
      <c r="BK15" s="53"/>
      <c r="BL15" s="53">
        <v>55080</v>
      </c>
      <c r="BM15" s="53"/>
      <c r="BN15" s="53">
        <f t="shared" si="6"/>
        <v>5338449</v>
      </c>
      <c r="BO15" s="54"/>
      <c r="BS15" s="55"/>
      <c r="BT15" s="55"/>
      <c r="BU15" s="84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</row>
    <row r="16" spans="1:229" s="142" customFormat="1" ht="12.75" hidden="1" customHeight="1">
      <c r="A16" s="142" t="s">
        <v>19</v>
      </c>
      <c r="B16" s="140"/>
      <c r="C16" s="142" t="s">
        <v>19</v>
      </c>
      <c r="D16" s="137"/>
      <c r="E16" s="156">
        <f t="shared" si="0"/>
        <v>0</v>
      </c>
      <c r="F16" s="156"/>
      <c r="G16" s="156">
        <v>0</v>
      </c>
      <c r="H16" s="156"/>
      <c r="I16" s="156">
        <v>0</v>
      </c>
      <c r="J16" s="156"/>
      <c r="K16" s="156">
        <f t="shared" si="1"/>
        <v>0</v>
      </c>
      <c r="L16" s="156"/>
      <c r="M16" s="156">
        <v>0</v>
      </c>
      <c r="N16" s="156"/>
      <c r="O16" s="156">
        <v>0</v>
      </c>
      <c r="P16" s="156"/>
      <c r="Q16" s="156">
        <v>0</v>
      </c>
      <c r="R16" s="156"/>
      <c r="S16" s="156">
        <v>0</v>
      </c>
      <c r="T16" s="156"/>
      <c r="U16" s="156">
        <v>0</v>
      </c>
      <c r="V16" s="156"/>
      <c r="W16" s="156">
        <f t="shared" si="2"/>
        <v>0</v>
      </c>
      <c r="X16" s="140"/>
      <c r="Y16" s="140"/>
      <c r="Z16" s="142" t="s">
        <v>19</v>
      </c>
      <c r="AA16" s="156"/>
      <c r="AB16" s="142" t="s">
        <v>19</v>
      </c>
      <c r="AC16" s="140"/>
      <c r="AD16" s="156">
        <v>0</v>
      </c>
      <c r="AE16" s="156"/>
      <c r="AF16" s="156">
        <v>0</v>
      </c>
      <c r="AG16" s="156"/>
      <c r="AH16" s="156">
        <v>0</v>
      </c>
      <c r="AI16" s="156"/>
      <c r="AJ16" s="143">
        <f t="shared" si="3"/>
        <v>0</v>
      </c>
      <c r="AK16" s="143"/>
      <c r="AL16" s="156">
        <v>0</v>
      </c>
      <c r="AM16" s="143"/>
      <c r="AN16" s="156">
        <v>0</v>
      </c>
      <c r="AO16" s="156"/>
      <c r="AP16" s="156">
        <v>0</v>
      </c>
      <c r="AQ16" s="156"/>
      <c r="AR16" s="156">
        <v>0</v>
      </c>
      <c r="AS16" s="156"/>
      <c r="AT16" s="143">
        <f t="shared" si="4"/>
        <v>0</v>
      </c>
      <c r="AU16" s="143"/>
      <c r="AV16" s="156">
        <v>0</v>
      </c>
      <c r="AW16" s="156"/>
      <c r="AX16" s="156">
        <v>0</v>
      </c>
      <c r="AY16" s="156"/>
      <c r="AZ16" s="156">
        <f t="shared" si="5"/>
        <v>0</v>
      </c>
      <c r="BA16" s="140"/>
      <c r="BB16" s="142" t="s">
        <v>19</v>
      </c>
      <c r="BD16" s="142" t="s">
        <v>19</v>
      </c>
      <c r="BE16" s="156"/>
      <c r="BF16" s="156">
        <v>0</v>
      </c>
      <c r="BG16" s="156"/>
      <c r="BH16" s="156">
        <v>0</v>
      </c>
      <c r="BI16" s="156"/>
      <c r="BJ16" s="156">
        <v>0</v>
      </c>
      <c r="BK16" s="156"/>
      <c r="BL16" s="156">
        <v>0</v>
      </c>
      <c r="BM16" s="156"/>
      <c r="BN16" s="156">
        <f t="shared" si="6"/>
        <v>0</v>
      </c>
      <c r="BO16" s="158"/>
      <c r="BS16" s="159"/>
      <c r="BT16" s="159"/>
      <c r="BU16" s="160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</row>
    <row r="17" spans="1:95" s="35" customFormat="1" ht="12.75" customHeight="1">
      <c r="A17" s="35" t="s">
        <v>20</v>
      </c>
      <c r="B17" s="51"/>
      <c r="C17" s="35" t="s">
        <v>20</v>
      </c>
      <c r="D17" s="44"/>
      <c r="E17" s="53">
        <f t="shared" si="0"/>
        <v>943343</v>
      </c>
      <c r="F17" s="53"/>
      <c r="G17" s="53">
        <f>36360+7047614</f>
        <v>7083974</v>
      </c>
      <c r="H17" s="53"/>
      <c r="I17" s="53">
        <v>8027317</v>
      </c>
      <c r="J17" s="53"/>
      <c r="K17" s="53">
        <f t="shared" si="1"/>
        <v>819345</v>
      </c>
      <c r="L17" s="53"/>
      <c r="M17" s="53">
        <v>43516</v>
      </c>
      <c r="N17" s="53"/>
      <c r="O17" s="53">
        <v>862861</v>
      </c>
      <c r="P17" s="53"/>
      <c r="Q17" s="53">
        <v>6528974</v>
      </c>
      <c r="R17" s="53"/>
      <c r="S17" s="53">
        <v>0</v>
      </c>
      <c r="T17" s="53"/>
      <c r="U17" s="53">
        <v>635482</v>
      </c>
      <c r="V17" s="53"/>
      <c r="W17" s="53">
        <f t="shared" si="2"/>
        <v>7164456</v>
      </c>
      <c r="Z17" s="35" t="s">
        <v>20</v>
      </c>
      <c r="AA17" s="53"/>
      <c r="AB17" s="35" t="s">
        <v>20</v>
      </c>
      <c r="AC17" s="51"/>
      <c r="AD17" s="53">
        <v>2857562</v>
      </c>
      <c r="AE17" s="53"/>
      <c r="AF17" s="53">
        <f>2728494-258092</f>
        <v>2470402</v>
      </c>
      <c r="AG17" s="53"/>
      <c r="AH17" s="53">
        <v>258092</v>
      </c>
      <c r="AI17" s="53"/>
      <c r="AJ17" s="45">
        <f t="shared" si="3"/>
        <v>129068</v>
      </c>
      <c r="AK17" s="45"/>
      <c r="AL17" s="53">
        <v>811</v>
      </c>
      <c r="AM17" s="45"/>
      <c r="AN17" s="53">
        <v>0</v>
      </c>
      <c r="AO17" s="53"/>
      <c r="AP17" s="53">
        <v>248467</v>
      </c>
      <c r="AQ17" s="53"/>
      <c r="AR17" s="53">
        <v>10364</v>
      </c>
      <c r="AS17" s="53"/>
      <c r="AT17" s="45">
        <f t="shared" si="4"/>
        <v>-108224</v>
      </c>
      <c r="AU17" s="45"/>
      <c r="AV17" s="53">
        <v>0</v>
      </c>
      <c r="AW17" s="53"/>
      <c r="AX17" s="53">
        <v>0</v>
      </c>
      <c r="AY17" s="53"/>
      <c r="AZ17" s="53">
        <f t="shared" si="5"/>
        <v>123998</v>
      </c>
      <c r="BA17" s="51"/>
      <c r="BB17" s="35" t="s">
        <v>20</v>
      </c>
      <c r="BD17" s="35" t="s">
        <v>20</v>
      </c>
      <c r="BE17" s="53"/>
      <c r="BF17" s="53">
        <v>0</v>
      </c>
      <c r="BG17" s="53"/>
      <c r="BH17" s="53">
        <v>0</v>
      </c>
      <c r="BI17" s="53"/>
      <c r="BJ17" s="53">
        <v>0</v>
      </c>
      <c r="BK17" s="53"/>
      <c r="BL17" s="53">
        <v>43516</v>
      </c>
      <c r="BM17" s="53"/>
      <c r="BN17" s="53">
        <f t="shared" si="6"/>
        <v>43516</v>
      </c>
      <c r="BO17" s="54"/>
      <c r="BS17" s="55"/>
      <c r="BT17" s="55"/>
      <c r="BU17" s="84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</row>
    <row r="18" spans="1:95" s="35" customFormat="1" ht="12.75" customHeight="1">
      <c r="A18" s="35" t="s">
        <v>21</v>
      </c>
      <c r="B18" s="51"/>
      <c r="C18" s="35" t="s">
        <v>22</v>
      </c>
      <c r="D18" s="44"/>
      <c r="E18" s="53">
        <f t="shared" si="0"/>
        <v>3748751</v>
      </c>
      <c r="F18" s="53"/>
      <c r="G18" s="53">
        <v>8049890</v>
      </c>
      <c r="H18" s="53"/>
      <c r="I18" s="53">
        <v>11798641</v>
      </c>
      <c r="J18" s="53"/>
      <c r="K18" s="53">
        <f t="shared" si="1"/>
        <v>172068</v>
      </c>
      <c r="L18" s="53"/>
      <c r="M18" s="53">
        <v>165580</v>
      </c>
      <c r="N18" s="53"/>
      <c r="O18" s="53">
        <v>337648</v>
      </c>
      <c r="P18" s="53"/>
      <c r="Q18" s="53">
        <v>7889890</v>
      </c>
      <c r="R18" s="53"/>
      <c r="S18" s="53">
        <v>0</v>
      </c>
      <c r="T18" s="53"/>
      <c r="U18" s="53">
        <v>3571103</v>
      </c>
      <c r="V18" s="53"/>
      <c r="W18" s="53">
        <f t="shared" si="2"/>
        <v>11460993</v>
      </c>
      <c r="X18" s="51"/>
      <c r="Y18" s="51"/>
      <c r="Z18" s="35" t="s">
        <v>21</v>
      </c>
      <c r="AA18" s="53"/>
      <c r="AB18" s="35" t="s">
        <v>22</v>
      </c>
      <c r="AC18" s="51"/>
      <c r="AD18" s="53">
        <v>2729020</v>
      </c>
      <c r="AE18" s="53"/>
      <c r="AF18" s="53">
        <f>2834004-236402</f>
        <v>2597602</v>
      </c>
      <c r="AG18" s="53"/>
      <c r="AH18" s="53">
        <v>236402</v>
      </c>
      <c r="AI18" s="53"/>
      <c r="AJ18" s="45">
        <f t="shared" si="3"/>
        <v>-104984</v>
      </c>
      <c r="AK18" s="45"/>
      <c r="AL18" s="53">
        <v>141408</v>
      </c>
      <c r="AM18" s="45"/>
      <c r="AN18" s="53">
        <v>0</v>
      </c>
      <c r="AO18" s="53"/>
      <c r="AP18" s="53">
        <v>223395</v>
      </c>
      <c r="AQ18" s="53"/>
      <c r="AR18" s="53">
        <v>817300</v>
      </c>
      <c r="AS18" s="53"/>
      <c r="AT18" s="45">
        <f t="shared" si="4"/>
        <v>630329</v>
      </c>
      <c r="AU18" s="45"/>
      <c r="AV18" s="53">
        <v>0</v>
      </c>
      <c r="AW18" s="53"/>
      <c r="AX18" s="53">
        <v>0</v>
      </c>
      <c r="AY18" s="53"/>
      <c r="AZ18" s="53">
        <f t="shared" si="5"/>
        <v>3576683</v>
      </c>
      <c r="BA18" s="51"/>
      <c r="BB18" s="35" t="s">
        <v>21</v>
      </c>
      <c r="BD18" s="35" t="s">
        <v>22</v>
      </c>
      <c r="BE18" s="53"/>
      <c r="BF18" s="53">
        <v>0</v>
      </c>
      <c r="BG18" s="53"/>
      <c r="BH18" s="53">
        <v>0</v>
      </c>
      <c r="BI18" s="53"/>
      <c r="BJ18" s="53">
        <v>150000</v>
      </c>
      <c r="BK18" s="53"/>
      <c r="BL18" s="53">
        <v>15580</v>
      </c>
      <c r="BM18" s="53"/>
      <c r="BN18" s="53">
        <f t="shared" si="6"/>
        <v>165580</v>
      </c>
      <c r="BO18" s="54"/>
      <c r="BS18" s="55"/>
      <c r="BT18" s="55"/>
      <c r="BU18" s="84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</row>
    <row r="19" spans="1:95" s="35" customFormat="1" ht="12.75" customHeight="1">
      <c r="A19" s="35" t="s">
        <v>23</v>
      </c>
      <c r="B19" s="51"/>
      <c r="C19" s="35" t="s">
        <v>17</v>
      </c>
      <c r="D19" s="44"/>
      <c r="E19" s="53">
        <f t="shared" si="0"/>
        <v>3633789</v>
      </c>
      <c r="F19" s="53"/>
      <c r="G19" s="53">
        <v>12679975</v>
      </c>
      <c r="H19" s="53"/>
      <c r="I19" s="53">
        <v>16313764</v>
      </c>
      <c r="J19" s="53"/>
      <c r="K19" s="53">
        <f t="shared" si="1"/>
        <v>276173</v>
      </c>
      <c r="L19" s="53"/>
      <c r="M19" s="53">
        <v>1248645</v>
      </c>
      <c r="N19" s="53"/>
      <c r="O19" s="53">
        <v>1524818</v>
      </c>
      <c r="P19" s="53"/>
      <c r="Q19" s="53">
        <v>9452080</v>
      </c>
      <c r="R19" s="53"/>
      <c r="S19" s="53">
        <v>0</v>
      </c>
      <c r="T19" s="53"/>
      <c r="U19" s="53">
        <v>5336866</v>
      </c>
      <c r="V19" s="53"/>
      <c r="W19" s="53">
        <f t="shared" si="2"/>
        <v>14788946</v>
      </c>
      <c r="X19" s="51"/>
      <c r="Y19" s="51"/>
      <c r="Z19" s="35" t="s">
        <v>23</v>
      </c>
      <c r="AA19" s="53"/>
      <c r="AB19" s="35" t="s">
        <v>17</v>
      </c>
      <c r="AC19" s="51"/>
      <c r="AD19" s="53">
        <v>2373346</v>
      </c>
      <c r="AE19" s="53"/>
      <c r="AF19" s="53">
        <f>2614735-416986</f>
        <v>2197749</v>
      </c>
      <c r="AG19" s="53"/>
      <c r="AH19" s="53">
        <v>416986</v>
      </c>
      <c r="AI19" s="53"/>
      <c r="AJ19" s="45">
        <f t="shared" si="3"/>
        <v>-241389</v>
      </c>
      <c r="AK19" s="45"/>
      <c r="AL19" s="53">
        <v>55109</v>
      </c>
      <c r="AM19" s="45"/>
      <c r="AN19" s="53">
        <v>230000</v>
      </c>
      <c r="AO19" s="53"/>
      <c r="AP19" s="53">
        <v>0</v>
      </c>
      <c r="AQ19" s="53"/>
      <c r="AR19" s="53">
        <v>99438</v>
      </c>
      <c r="AS19" s="53"/>
      <c r="AT19" s="45">
        <f t="shared" si="4"/>
        <v>143158</v>
      </c>
      <c r="AU19" s="45"/>
      <c r="AV19" s="53">
        <v>0</v>
      </c>
      <c r="AW19" s="53"/>
      <c r="AX19" s="53">
        <v>0</v>
      </c>
      <c r="AY19" s="53"/>
      <c r="AZ19" s="53">
        <f t="shared" si="5"/>
        <v>3357616</v>
      </c>
      <c r="BA19" s="51"/>
      <c r="BB19" s="35" t="s">
        <v>23</v>
      </c>
      <c r="BD19" s="35" t="s">
        <v>17</v>
      </c>
      <c r="BE19" s="53"/>
      <c r="BF19" s="53">
        <v>0</v>
      </c>
      <c r="BG19" s="53"/>
      <c r="BH19" s="53">
        <v>0</v>
      </c>
      <c r="BI19" s="53"/>
      <c r="BJ19" s="53">
        <v>0</v>
      </c>
      <c r="BK19" s="53"/>
      <c r="BL19" s="53">
        <v>1248645</v>
      </c>
      <c r="BM19" s="53"/>
      <c r="BN19" s="53">
        <f t="shared" si="6"/>
        <v>1248645</v>
      </c>
      <c r="BO19" s="54"/>
      <c r="BS19" s="55"/>
      <c r="BT19" s="55"/>
      <c r="BU19" s="84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</row>
    <row r="20" spans="1:95" s="142" customFormat="1" ht="12.75" hidden="1" customHeight="1">
      <c r="A20" s="142" t="s">
        <v>24</v>
      </c>
      <c r="B20" s="140"/>
      <c r="C20" s="142" t="s">
        <v>17</v>
      </c>
      <c r="D20" s="137"/>
      <c r="E20" s="156">
        <f t="shared" si="0"/>
        <v>0</v>
      </c>
      <c r="F20" s="156"/>
      <c r="G20" s="156"/>
      <c r="H20" s="156"/>
      <c r="I20" s="156"/>
      <c r="J20" s="156"/>
      <c r="K20" s="156">
        <f t="shared" si="1"/>
        <v>0</v>
      </c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>
        <f t="shared" si="2"/>
        <v>0</v>
      </c>
      <c r="X20" s="140"/>
      <c r="Y20" s="140"/>
      <c r="Z20" s="142" t="s">
        <v>24</v>
      </c>
      <c r="AA20" s="156"/>
      <c r="AB20" s="142" t="s">
        <v>17</v>
      </c>
      <c r="AC20" s="140"/>
      <c r="AD20" s="156"/>
      <c r="AE20" s="156"/>
      <c r="AF20" s="156"/>
      <c r="AG20" s="156"/>
      <c r="AH20" s="156"/>
      <c r="AI20" s="156"/>
      <c r="AJ20" s="143">
        <f t="shared" si="3"/>
        <v>0</v>
      </c>
      <c r="AK20" s="143"/>
      <c r="AL20" s="156"/>
      <c r="AM20" s="143"/>
      <c r="AN20" s="156"/>
      <c r="AO20" s="156"/>
      <c r="AP20" s="156"/>
      <c r="AQ20" s="156"/>
      <c r="AR20" s="156"/>
      <c r="AS20" s="156"/>
      <c r="AT20" s="143">
        <f t="shared" si="4"/>
        <v>0</v>
      </c>
      <c r="AU20" s="143"/>
      <c r="AV20" s="156">
        <v>0</v>
      </c>
      <c r="AW20" s="156"/>
      <c r="AX20" s="156">
        <v>0</v>
      </c>
      <c r="AY20" s="156"/>
      <c r="AZ20" s="156">
        <f t="shared" si="5"/>
        <v>0</v>
      </c>
      <c r="BA20" s="140"/>
      <c r="BB20" s="142" t="s">
        <v>24</v>
      </c>
      <c r="BD20" s="142" t="s">
        <v>17</v>
      </c>
      <c r="BE20" s="156"/>
      <c r="BF20" s="156"/>
      <c r="BG20" s="156"/>
      <c r="BH20" s="156"/>
      <c r="BI20" s="156"/>
      <c r="BJ20" s="156"/>
      <c r="BK20" s="156"/>
      <c r="BL20" s="156"/>
      <c r="BM20" s="156"/>
      <c r="BN20" s="156">
        <f t="shared" si="6"/>
        <v>0</v>
      </c>
      <c r="BO20" s="158"/>
      <c r="BS20" s="159"/>
      <c r="BT20" s="159"/>
      <c r="BU20" s="160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159"/>
      <c r="CO20" s="159"/>
      <c r="CP20" s="159"/>
      <c r="CQ20" s="159"/>
    </row>
    <row r="21" spans="1:95" s="35" customFormat="1" ht="12.75" customHeight="1">
      <c r="A21" s="35" t="s">
        <v>25</v>
      </c>
      <c r="C21" s="35" t="s">
        <v>13</v>
      </c>
      <c r="D21" s="44"/>
      <c r="E21" s="53">
        <f t="shared" si="0"/>
        <v>9548693</v>
      </c>
      <c r="F21" s="53"/>
      <c r="G21" s="53">
        <v>14620712</v>
      </c>
      <c r="H21" s="53"/>
      <c r="I21" s="53">
        <v>24169405</v>
      </c>
      <c r="J21" s="53"/>
      <c r="K21" s="53">
        <f t="shared" si="1"/>
        <v>1849369</v>
      </c>
      <c r="L21" s="53"/>
      <c r="M21" s="53">
        <v>11973936</v>
      </c>
      <c r="N21" s="53"/>
      <c r="O21" s="53">
        <v>13823305</v>
      </c>
      <c r="P21" s="53"/>
      <c r="Q21" s="53">
        <v>6970822</v>
      </c>
      <c r="R21" s="53"/>
      <c r="S21" s="53">
        <v>0</v>
      </c>
      <c r="T21" s="53"/>
      <c r="U21" s="53">
        <v>3375278</v>
      </c>
      <c r="V21" s="53"/>
      <c r="W21" s="53">
        <f t="shared" si="2"/>
        <v>10346100</v>
      </c>
      <c r="X21" s="51"/>
      <c r="Y21" s="51"/>
      <c r="Z21" s="35" t="s">
        <v>25</v>
      </c>
      <c r="AA21" s="53"/>
      <c r="AB21" s="35" t="s">
        <v>13</v>
      </c>
      <c r="AD21" s="53">
        <v>4246190</v>
      </c>
      <c r="AE21" s="53"/>
      <c r="AF21" s="53">
        <f>3620875-533684</f>
        <v>3087191</v>
      </c>
      <c r="AG21" s="53"/>
      <c r="AH21" s="53">
        <v>533684</v>
      </c>
      <c r="AI21" s="53"/>
      <c r="AJ21" s="45">
        <f t="shared" si="3"/>
        <v>625315</v>
      </c>
      <c r="AK21" s="45"/>
      <c r="AL21" s="53">
        <v>-141000</v>
      </c>
      <c r="AM21" s="45"/>
      <c r="AN21" s="53">
        <v>0</v>
      </c>
      <c r="AO21" s="53"/>
      <c r="AP21" s="53">
        <v>0</v>
      </c>
      <c r="AQ21" s="53"/>
      <c r="AR21" s="53">
        <v>0</v>
      </c>
      <c r="AS21" s="53"/>
      <c r="AT21" s="45">
        <f t="shared" si="4"/>
        <v>484315</v>
      </c>
      <c r="AU21" s="45"/>
      <c r="AV21" s="53">
        <v>0</v>
      </c>
      <c r="AW21" s="53"/>
      <c r="AX21" s="53">
        <v>0</v>
      </c>
      <c r="AY21" s="53"/>
      <c r="AZ21" s="53">
        <f t="shared" si="5"/>
        <v>7699324</v>
      </c>
      <c r="BA21" s="51"/>
      <c r="BB21" s="35" t="s">
        <v>25</v>
      </c>
      <c r="BD21" s="35" t="s">
        <v>13</v>
      </c>
      <c r="BE21" s="53"/>
      <c r="BF21" s="53">
        <v>1654480</v>
      </c>
      <c r="BG21" s="53"/>
      <c r="BH21" s="53">
        <v>8671318</v>
      </c>
      <c r="BI21" s="53"/>
      <c r="BJ21" s="53">
        <v>0</v>
      </c>
      <c r="BK21" s="53"/>
      <c r="BL21" s="53">
        <f>1390000+9606+248532</f>
        <v>1648138</v>
      </c>
      <c r="BM21" s="53"/>
      <c r="BN21" s="53">
        <f t="shared" si="6"/>
        <v>11973936</v>
      </c>
      <c r="BO21" s="54"/>
      <c r="BS21" s="55"/>
      <c r="BT21" s="55"/>
      <c r="BU21" s="84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</row>
    <row r="22" spans="1:95" s="142" customFormat="1" ht="12.75" hidden="1" customHeight="1">
      <c r="A22" s="142" t="s">
        <v>26</v>
      </c>
      <c r="B22" s="140"/>
      <c r="C22" s="142" t="s">
        <v>27</v>
      </c>
      <c r="D22" s="137"/>
      <c r="E22" s="156">
        <f t="shared" si="0"/>
        <v>0</v>
      </c>
      <c r="F22" s="156"/>
      <c r="G22" s="156">
        <v>0</v>
      </c>
      <c r="H22" s="156"/>
      <c r="I22" s="156">
        <v>0</v>
      </c>
      <c r="J22" s="156"/>
      <c r="K22" s="156">
        <f t="shared" si="1"/>
        <v>0</v>
      </c>
      <c r="L22" s="156"/>
      <c r="M22" s="156">
        <v>0</v>
      </c>
      <c r="N22" s="156"/>
      <c r="O22" s="156">
        <v>0</v>
      </c>
      <c r="P22" s="156"/>
      <c r="Q22" s="156">
        <v>0</v>
      </c>
      <c r="R22" s="156"/>
      <c r="S22" s="156">
        <v>0</v>
      </c>
      <c r="T22" s="156"/>
      <c r="U22" s="156">
        <v>0</v>
      </c>
      <c r="V22" s="156"/>
      <c r="W22" s="156">
        <f t="shared" si="2"/>
        <v>0</v>
      </c>
      <c r="X22" s="140"/>
      <c r="Y22" s="140"/>
      <c r="Z22" s="142" t="s">
        <v>26</v>
      </c>
      <c r="AA22" s="156"/>
      <c r="AB22" s="142" t="s">
        <v>27</v>
      </c>
      <c r="AC22" s="140"/>
      <c r="AD22" s="156">
        <v>0</v>
      </c>
      <c r="AE22" s="156"/>
      <c r="AF22" s="156">
        <v>0</v>
      </c>
      <c r="AG22" s="156"/>
      <c r="AH22" s="156">
        <v>0</v>
      </c>
      <c r="AI22" s="156"/>
      <c r="AJ22" s="143">
        <f t="shared" si="3"/>
        <v>0</v>
      </c>
      <c r="AK22" s="143"/>
      <c r="AL22" s="156">
        <v>0</v>
      </c>
      <c r="AM22" s="143"/>
      <c r="AN22" s="156">
        <v>0</v>
      </c>
      <c r="AO22" s="156"/>
      <c r="AP22" s="156">
        <v>0</v>
      </c>
      <c r="AQ22" s="156"/>
      <c r="AR22" s="156">
        <v>0</v>
      </c>
      <c r="AS22" s="156"/>
      <c r="AT22" s="143">
        <f t="shared" si="4"/>
        <v>0</v>
      </c>
      <c r="AU22" s="143"/>
      <c r="AV22" s="156">
        <v>0</v>
      </c>
      <c r="AW22" s="156"/>
      <c r="AX22" s="156">
        <v>0</v>
      </c>
      <c r="AY22" s="156"/>
      <c r="AZ22" s="156">
        <f t="shared" si="5"/>
        <v>0</v>
      </c>
      <c r="BA22" s="140"/>
      <c r="BB22" s="142" t="s">
        <v>26</v>
      </c>
      <c r="BD22" s="142" t="s">
        <v>27</v>
      </c>
      <c r="BE22" s="156"/>
      <c r="BF22" s="156">
        <v>0</v>
      </c>
      <c r="BG22" s="156"/>
      <c r="BH22" s="156">
        <v>0</v>
      </c>
      <c r="BI22" s="156"/>
      <c r="BJ22" s="156">
        <v>0</v>
      </c>
      <c r="BK22" s="156"/>
      <c r="BL22" s="156">
        <v>0</v>
      </c>
      <c r="BM22" s="156"/>
      <c r="BN22" s="156">
        <f t="shared" si="6"/>
        <v>0</v>
      </c>
      <c r="BO22" s="158"/>
      <c r="BS22" s="159"/>
      <c r="BT22" s="159"/>
      <c r="BU22" s="160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</row>
    <row r="23" spans="1:95" s="142" customFormat="1" ht="12.75" hidden="1" customHeight="1">
      <c r="A23" s="142" t="s">
        <v>28</v>
      </c>
      <c r="B23" s="140"/>
      <c r="C23" s="142" t="s">
        <v>27</v>
      </c>
      <c r="D23" s="137"/>
      <c r="E23" s="156">
        <f t="shared" si="0"/>
        <v>0</v>
      </c>
      <c r="F23" s="156"/>
      <c r="G23" s="156">
        <v>0</v>
      </c>
      <c r="H23" s="156"/>
      <c r="I23" s="156">
        <v>0</v>
      </c>
      <c r="J23" s="156"/>
      <c r="K23" s="156">
        <f t="shared" si="1"/>
        <v>0</v>
      </c>
      <c r="L23" s="156"/>
      <c r="M23" s="156">
        <v>0</v>
      </c>
      <c r="N23" s="156"/>
      <c r="O23" s="156">
        <v>0</v>
      </c>
      <c r="P23" s="156"/>
      <c r="Q23" s="156">
        <v>0</v>
      </c>
      <c r="R23" s="156"/>
      <c r="S23" s="156">
        <v>0</v>
      </c>
      <c r="T23" s="156"/>
      <c r="U23" s="156">
        <v>0</v>
      </c>
      <c r="V23" s="156"/>
      <c r="W23" s="156">
        <f t="shared" si="2"/>
        <v>0</v>
      </c>
      <c r="X23" s="140"/>
      <c r="Y23" s="140"/>
      <c r="Z23" s="142" t="s">
        <v>28</v>
      </c>
      <c r="AA23" s="156"/>
      <c r="AB23" s="142" t="s">
        <v>27</v>
      </c>
      <c r="AC23" s="140"/>
      <c r="AD23" s="156">
        <v>0</v>
      </c>
      <c r="AE23" s="156"/>
      <c r="AF23" s="156">
        <v>0</v>
      </c>
      <c r="AG23" s="156"/>
      <c r="AH23" s="156">
        <v>0</v>
      </c>
      <c r="AI23" s="156"/>
      <c r="AJ23" s="143">
        <f t="shared" si="3"/>
        <v>0</v>
      </c>
      <c r="AK23" s="143"/>
      <c r="AL23" s="156">
        <v>0</v>
      </c>
      <c r="AM23" s="143"/>
      <c r="AN23" s="156">
        <v>0</v>
      </c>
      <c r="AO23" s="156"/>
      <c r="AP23" s="156">
        <v>0</v>
      </c>
      <c r="AQ23" s="156"/>
      <c r="AR23" s="156">
        <v>0</v>
      </c>
      <c r="AS23" s="156"/>
      <c r="AT23" s="143">
        <f t="shared" si="4"/>
        <v>0</v>
      </c>
      <c r="AU23" s="143"/>
      <c r="AV23" s="156">
        <v>0</v>
      </c>
      <c r="AW23" s="156"/>
      <c r="AX23" s="156">
        <v>0</v>
      </c>
      <c r="AY23" s="156"/>
      <c r="AZ23" s="156">
        <f t="shared" si="5"/>
        <v>0</v>
      </c>
      <c r="BA23" s="140"/>
      <c r="BB23" s="142" t="s">
        <v>28</v>
      </c>
      <c r="BD23" s="142" t="s">
        <v>27</v>
      </c>
      <c r="BE23" s="156"/>
      <c r="BF23" s="156">
        <v>0</v>
      </c>
      <c r="BG23" s="156"/>
      <c r="BH23" s="156">
        <v>0</v>
      </c>
      <c r="BI23" s="156"/>
      <c r="BJ23" s="156">
        <v>0</v>
      </c>
      <c r="BK23" s="156"/>
      <c r="BL23" s="156">
        <v>0</v>
      </c>
      <c r="BM23" s="156"/>
      <c r="BN23" s="156">
        <f t="shared" si="6"/>
        <v>0</v>
      </c>
      <c r="BO23" s="158"/>
      <c r="BS23" s="159"/>
      <c r="BT23" s="159"/>
      <c r="BU23" s="160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</row>
    <row r="24" spans="1:95" s="142" customFormat="1" ht="12.75" hidden="1" customHeight="1">
      <c r="A24" s="142" t="s">
        <v>29</v>
      </c>
      <c r="B24" s="140"/>
      <c r="C24" s="142" t="s">
        <v>30</v>
      </c>
      <c r="D24" s="137"/>
      <c r="E24" s="156">
        <f t="shared" si="0"/>
        <v>0</v>
      </c>
      <c r="F24" s="156"/>
      <c r="G24" s="156"/>
      <c r="H24" s="156"/>
      <c r="I24" s="156"/>
      <c r="J24" s="156"/>
      <c r="K24" s="156">
        <f t="shared" si="1"/>
        <v>0</v>
      </c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>
        <f t="shared" si="2"/>
        <v>0</v>
      </c>
      <c r="X24" s="140"/>
      <c r="Y24" s="140"/>
      <c r="Z24" s="142" t="s">
        <v>29</v>
      </c>
      <c r="AA24" s="156"/>
      <c r="AB24" s="142" t="s">
        <v>30</v>
      </c>
      <c r="AC24" s="140"/>
      <c r="AD24" s="156"/>
      <c r="AE24" s="156"/>
      <c r="AF24" s="156"/>
      <c r="AG24" s="156"/>
      <c r="AH24" s="156"/>
      <c r="AI24" s="156"/>
      <c r="AJ24" s="143">
        <f t="shared" si="3"/>
        <v>0</v>
      </c>
      <c r="AK24" s="143"/>
      <c r="AL24" s="156"/>
      <c r="AM24" s="143"/>
      <c r="AN24" s="156"/>
      <c r="AO24" s="156"/>
      <c r="AP24" s="156"/>
      <c r="AQ24" s="156"/>
      <c r="AR24" s="156"/>
      <c r="AS24" s="156"/>
      <c r="AT24" s="143">
        <f t="shared" si="4"/>
        <v>0</v>
      </c>
      <c r="AU24" s="143"/>
      <c r="AV24" s="156">
        <v>0</v>
      </c>
      <c r="AW24" s="156"/>
      <c r="AX24" s="156">
        <v>0</v>
      </c>
      <c r="AY24" s="156"/>
      <c r="AZ24" s="156">
        <f t="shared" si="5"/>
        <v>0</v>
      </c>
      <c r="BA24" s="140"/>
      <c r="BB24" s="142" t="s">
        <v>29</v>
      </c>
      <c r="BD24" s="142" t="s">
        <v>30</v>
      </c>
      <c r="BE24" s="156"/>
      <c r="BF24" s="156"/>
      <c r="BG24" s="156"/>
      <c r="BH24" s="156"/>
      <c r="BI24" s="156"/>
      <c r="BJ24" s="156"/>
      <c r="BK24" s="156"/>
      <c r="BL24" s="156"/>
      <c r="BM24" s="156"/>
      <c r="BN24" s="156">
        <f t="shared" si="6"/>
        <v>0</v>
      </c>
      <c r="BO24" s="158"/>
      <c r="BS24" s="159"/>
      <c r="BT24" s="159"/>
      <c r="BU24" s="160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</row>
    <row r="25" spans="1:95" s="35" customFormat="1" ht="12.75" customHeight="1">
      <c r="A25" s="35" t="s">
        <v>31</v>
      </c>
      <c r="B25" s="51"/>
      <c r="C25" s="35" t="s">
        <v>27</v>
      </c>
      <c r="D25" s="44"/>
      <c r="E25" s="53">
        <f t="shared" si="0"/>
        <v>2455124</v>
      </c>
      <c r="F25" s="53"/>
      <c r="G25" s="53">
        <v>3904799</v>
      </c>
      <c r="H25" s="53"/>
      <c r="I25" s="53">
        <v>6359923</v>
      </c>
      <c r="J25" s="53"/>
      <c r="K25" s="53">
        <f t="shared" si="1"/>
        <v>677094</v>
      </c>
      <c r="L25" s="53"/>
      <c r="M25" s="53">
        <v>1745226</v>
      </c>
      <c r="N25" s="53"/>
      <c r="O25" s="53">
        <v>2422320</v>
      </c>
      <c r="P25" s="53"/>
      <c r="Q25" s="53">
        <v>2110352</v>
      </c>
      <c r="R25" s="53"/>
      <c r="S25" s="53">
        <v>0</v>
      </c>
      <c r="T25" s="53"/>
      <c r="U25" s="53">
        <v>1827251</v>
      </c>
      <c r="V25" s="53"/>
      <c r="W25" s="53">
        <f t="shared" si="2"/>
        <v>3937603</v>
      </c>
      <c r="Z25" s="35" t="s">
        <v>31</v>
      </c>
      <c r="AA25" s="53"/>
      <c r="AB25" s="35" t="s">
        <v>27</v>
      </c>
      <c r="AC25" s="51"/>
      <c r="AD25" s="53">
        <v>3551763</v>
      </c>
      <c r="AE25" s="53"/>
      <c r="AF25" s="53">
        <f>3366299-70455</f>
        <v>3295844</v>
      </c>
      <c r="AG25" s="53"/>
      <c r="AH25" s="53">
        <v>70455</v>
      </c>
      <c r="AI25" s="53"/>
      <c r="AJ25" s="45">
        <f t="shared" si="3"/>
        <v>185464</v>
      </c>
      <c r="AK25" s="45"/>
      <c r="AL25" s="53">
        <v>-10938</v>
      </c>
      <c r="AM25" s="45"/>
      <c r="AN25" s="53">
        <v>0</v>
      </c>
      <c r="AO25" s="53"/>
      <c r="AP25" s="53">
        <v>0</v>
      </c>
      <c r="AQ25" s="53"/>
      <c r="AR25" s="53">
        <v>331940</v>
      </c>
      <c r="AS25" s="53"/>
      <c r="AT25" s="45">
        <f t="shared" si="4"/>
        <v>506466</v>
      </c>
      <c r="AU25" s="45"/>
      <c r="AV25" s="53">
        <v>0</v>
      </c>
      <c r="AW25" s="53"/>
      <c r="AX25" s="53">
        <v>0</v>
      </c>
      <c r="AY25" s="53"/>
      <c r="AZ25" s="53">
        <f t="shared" si="5"/>
        <v>1778030</v>
      </c>
      <c r="BA25" s="51"/>
      <c r="BB25" s="35" t="s">
        <v>31</v>
      </c>
      <c r="BD25" s="35" t="s">
        <v>27</v>
      </c>
      <c r="BE25" s="53"/>
      <c r="BF25" s="53">
        <v>1560430</v>
      </c>
      <c r="BG25" s="53"/>
      <c r="BH25" s="53">
        <v>0</v>
      </c>
      <c r="BI25" s="53"/>
      <c r="BJ25" s="53">
        <v>150774</v>
      </c>
      <c r="BK25" s="53"/>
      <c r="BL25" s="53">
        <v>34022</v>
      </c>
      <c r="BM25" s="53"/>
      <c r="BN25" s="53">
        <f t="shared" si="6"/>
        <v>1745226</v>
      </c>
      <c r="BO25" s="54"/>
      <c r="BS25" s="55"/>
      <c r="BT25" s="55"/>
      <c r="BU25" s="84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</row>
    <row r="26" spans="1:95" s="142" customFormat="1" ht="12.75" hidden="1" customHeight="1">
      <c r="A26" s="142" t="s">
        <v>32</v>
      </c>
      <c r="B26" s="140"/>
      <c r="C26" s="142" t="s">
        <v>27</v>
      </c>
      <c r="D26" s="137"/>
      <c r="E26" s="156">
        <f t="shared" si="0"/>
        <v>0</v>
      </c>
      <c r="F26" s="156"/>
      <c r="G26" s="156">
        <v>0</v>
      </c>
      <c r="H26" s="156"/>
      <c r="I26" s="156">
        <v>0</v>
      </c>
      <c r="J26" s="156"/>
      <c r="K26" s="156">
        <f t="shared" si="1"/>
        <v>0</v>
      </c>
      <c r="L26" s="156"/>
      <c r="M26" s="156">
        <v>0</v>
      </c>
      <c r="N26" s="156"/>
      <c r="O26" s="156">
        <v>0</v>
      </c>
      <c r="P26" s="156"/>
      <c r="Q26" s="156">
        <v>0</v>
      </c>
      <c r="R26" s="156"/>
      <c r="S26" s="156">
        <v>0</v>
      </c>
      <c r="T26" s="156"/>
      <c r="U26" s="156">
        <v>0</v>
      </c>
      <c r="V26" s="156"/>
      <c r="W26" s="156">
        <f t="shared" si="2"/>
        <v>0</v>
      </c>
      <c r="X26" s="140"/>
      <c r="Y26" s="140"/>
      <c r="Z26" s="142" t="s">
        <v>32</v>
      </c>
      <c r="AA26" s="156"/>
      <c r="AB26" s="142" t="s">
        <v>27</v>
      </c>
      <c r="AC26" s="140"/>
      <c r="AD26" s="156">
        <v>0</v>
      </c>
      <c r="AE26" s="156"/>
      <c r="AF26" s="156">
        <v>0</v>
      </c>
      <c r="AG26" s="156"/>
      <c r="AH26" s="156">
        <v>0</v>
      </c>
      <c r="AI26" s="156"/>
      <c r="AJ26" s="143">
        <f t="shared" si="3"/>
        <v>0</v>
      </c>
      <c r="AK26" s="143"/>
      <c r="AL26" s="156">
        <v>0</v>
      </c>
      <c r="AM26" s="143"/>
      <c r="AN26" s="156">
        <v>0</v>
      </c>
      <c r="AO26" s="156"/>
      <c r="AP26" s="156">
        <v>0</v>
      </c>
      <c r="AQ26" s="156"/>
      <c r="AR26" s="156">
        <v>0</v>
      </c>
      <c r="AS26" s="156"/>
      <c r="AT26" s="143">
        <f t="shared" si="4"/>
        <v>0</v>
      </c>
      <c r="AU26" s="143"/>
      <c r="AV26" s="156">
        <v>0</v>
      </c>
      <c r="AW26" s="156"/>
      <c r="AX26" s="156">
        <v>0</v>
      </c>
      <c r="AY26" s="156"/>
      <c r="AZ26" s="156">
        <f t="shared" si="5"/>
        <v>0</v>
      </c>
      <c r="BA26" s="140"/>
      <c r="BB26" s="142" t="s">
        <v>32</v>
      </c>
      <c r="BD26" s="142" t="s">
        <v>27</v>
      </c>
      <c r="BE26" s="156"/>
      <c r="BF26" s="156">
        <v>0</v>
      </c>
      <c r="BG26" s="156"/>
      <c r="BH26" s="156">
        <v>0</v>
      </c>
      <c r="BI26" s="156"/>
      <c r="BJ26" s="156">
        <v>0</v>
      </c>
      <c r="BK26" s="156"/>
      <c r="BL26" s="156">
        <v>0</v>
      </c>
      <c r="BM26" s="156"/>
      <c r="BN26" s="156">
        <f t="shared" si="6"/>
        <v>0</v>
      </c>
      <c r="BO26" s="158"/>
      <c r="BS26" s="159"/>
      <c r="BT26" s="159"/>
      <c r="BU26" s="160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</row>
    <row r="27" spans="1:95" s="121" customFormat="1" ht="12.75" hidden="1" customHeight="1">
      <c r="A27" s="121" t="s">
        <v>34</v>
      </c>
      <c r="B27" s="126"/>
      <c r="C27" s="121" t="s">
        <v>30</v>
      </c>
      <c r="D27" s="122"/>
      <c r="E27" s="133">
        <f t="shared" si="0"/>
        <v>0</v>
      </c>
      <c r="F27" s="133"/>
      <c r="G27" s="133">
        <v>0</v>
      </c>
      <c r="H27" s="133"/>
      <c r="I27" s="133">
        <v>0</v>
      </c>
      <c r="J27" s="133"/>
      <c r="K27" s="133">
        <f t="shared" si="1"/>
        <v>0</v>
      </c>
      <c r="L27" s="133"/>
      <c r="M27" s="133">
        <v>0</v>
      </c>
      <c r="N27" s="133"/>
      <c r="O27" s="133">
        <v>0</v>
      </c>
      <c r="P27" s="133"/>
      <c r="Q27" s="133">
        <v>0</v>
      </c>
      <c r="R27" s="133"/>
      <c r="S27" s="133">
        <v>0</v>
      </c>
      <c r="T27" s="133"/>
      <c r="U27" s="133">
        <v>0</v>
      </c>
      <c r="V27" s="133"/>
      <c r="W27" s="133">
        <f t="shared" si="2"/>
        <v>0</v>
      </c>
      <c r="X27" s="126"/>
      <c r="Y27" s="126"/>
      <c r="Z27" s="121" t="s">
        <v>34</v>
      </c>
      <c r="AA27" s="133"/>
      <c r="AB27" s="121" t="s">
        <v>30</v>
      </c>
      <c r="AD27" s="133">
        <v>0</v>
      </c>
      <c r="AE27" s="133"/>
      <c r="AF27" s="133">
        <v>0</v>
      </c>
      <c r="AG27" s="133"/>
      <c r="AH27" s="133">
        <v>0</v>
      </c>
      <c r="AI27" s="133"/>
      <c r="AJ27" s="125">
        <f t="shared" si="3"/>
        <v>0</v>
      </c>
      <c r="AK27" s="125"/>
      <c r="AL27" s="133">
        <v>0</v>
      </c>
      <c r="AM27" s="125"/>
      <c r="AN27" s="133">
        <v>0</v>
      </c>
      <c r="AO27" s="133"/>
      <c r="AP27" s="133">
        <v>0</v>
      </c>
      <c r="AQ27" s="133"/>
      <c r="AR27" s="133">
        <v>0</v>
      </c>
      <c r="AS27" s="133"/>
      <c r="AT27" s="125">
        <f t="shared" si="4"/>
        <v>0</v>
      </c>
      <c r="AU27" s="125"/>
      <c r="AV27" s="133">
        <v>0</v>
      </c>
      <c r="AW27" s="133"/>
      <c r="AX27" s="133">
        <v>0</v>
      </c>
      <c r="AY27" s="133"/>
      <c r="AZ27" s="133">
        <f t="shared" si="5"/>
        <v>0</v>
      </c>
      <c r="BA27" s="126"/>
      <c r="BB27" s="121" t="s">
        <v>34</v>
      </c>
      <c r="BD27" s="121" t="s">
        <v>30</v>
      </c>
      <c r="BE27" s="133"/>
      <c r="BF27" s="133">
        <v>0</v>
      </c>
      <c r="BG27" s="133"/>
      <c r="BH27" s="133">
        <v>0</v>
      </c>
      <c r="BI27" s="133"/>
      <c r="BJ27" s="133">
        <v>0</v>
      </c>
      <c r="BK27" s="133"/>
      <c r="BL27" s="133">
        <v>0</v>
      </c>
      <c r="BM27" s="133"/>
      <c r="BN27" s="133">
        <f t="shared" si="6"/>
        <v>0</v>
      </c>
      <c r="BO27" s="134"/>
      <c r="BS27" s="135"/>
      <c r="BT27" s="135"/>
      <c r="BU27" s="136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</row>
    <row r="28" spans="1:95" s="35" customFormat="1" ht="12.75" customHeight="1">
      <c r="A28" s="35" t="s">
        <v>35</v>
      </c>
      <c r="B28" s="51"/>
      <c r="C28" s="35" t="s">
        <v>36</v>
      </c>
      <c r="D28" s="44"/>
      <c r="E28" s="53">
        <f t="shared" si="0"/>
        <v>1311645</v>
      </c>
      <c r="F28" s="53"/>
      <c r="G28" s="53">
        <f>8832475+719204</f>
        <v>9551679</v>
      </c>
      <c r="H28" s="53"/>
      <c r="I28" s="53">
        <v>10863324</v>
      </c>
      <c r="J28" s="53"/>
      <c r="K28" s="53">
        <f t="shared" si="1"/>
        <v>280125</v>
      </c>
      <c r="L28" s="53"/>
      <c r="M28" s="53">
        <f>11749+1590000+110970</f>
        <v>1712719</v>
      </c>
      <c r="N28" s="53"/>
      <c r="O28" s="53">
        <v>1992844</v>
      </c>
      <c r="P28" s="53"/>
      <c r="Q28" s="53">
        <v>7764218</v>
      </c>
      <c r="R28" s="53"/>
      <c r="S28" s="53">
        <v>317124</v>
      </c>
      <c r="T28" s="53"/>
      <c r="U28" s="53">
        <v>789138</v>
      </c>
      <c r="V28" s="53"/>
      <c r="W28" s="53">
        <f t="shared" si="2"/>
        <v>8870480</v>
      </c>
      <c r="X28" s="51"/>
      <c r="Y28" s="51"/>
      <c r="Z28" s="35" t="s">
        <v>35</v>
      </c>
      <c r="AA28" s="53"/>
      <c r="AB28" s="35" t="s">
        <v>36</v>
      </c>
      <c r="AC28" s="51"/>
      <c r="AD28" s="53">
        <v>1856292</v>
      </c>
      <c r="AE28" s="53"/>
      <c r="AF28" s="53">
        <f>1563255-261582</f>
        <v>1301673</v>
      </c>
      <c r="AG28" s="53"/>
      <c r="AH28" s="53">
        <v>261582</v>
      </c>
      <c r="AI28" s="53"/>
      <c r="AJ28" s="45">
        <f t="shared" si="3"/>
        <v>293037</v>
      </c>
      <c r="AK28" s="45"/>
      <c r="AL28" s="53">
        <v>-68086</v>
      </c>
      <c r="AM28" s="45"/>
      <c r="AN28" s="53">
        <v>0</v>
      </c>
      <c r="AO28" s="53"/>
      <c r="AP28" s="53">
        <v>0</v>
      </c>
      <c r="AQ28" s="53"/>
      <c r="AR28" s="53">
        <v>0</v>
      </c>
      <c r="AS28" s="53"/>
      <c r="AT28" s="45">
        <f t="shared" si="4"/>
        <v>224951</v>
      </c>
      <c r="AU28" s="45"/>
      <c r="AV28" s="53">
        <v>0</v>
      </c>
      <c r="AW28" s="53"/>
      <c r="AX28" s="53">
        <v>0</v>
      </c>
      <c r="AY28" s="53"/>
      <c r="AZ28" s="53">
        <f t="shared" si="5"/>
        <v>1031520</v>
      </c>
      <c r="BA28" s="51"/>
      <c r="BB28" s="35" t="s">
        <v>35</v>
      </c>
      <c r="BD28" s="35" t="s">
        <v>36</v>
      </c>
      <c r="BE28" s="53"/>
      <c r="BF28" s="53">
        <v>1590000</v>
      </c>
      <c r="BG28" s="53"/>
      <c r="BH28" s="53">
        <v>0</v>
      </c>
      <c r="BI28" s="53"/>
      <c r="BJ28" s="53">
        <v>0</v>
      </c>
      <c r="BK28" s="53"/>
      <c r="BL28" s="53">
        <f>11749+110970</f>
        <v>122719</v>
      </c>
      <c r="BM28" s="53"/>
      <c r="BN28" s="53">
        <f t="shared" si="6"/>
        <v>1712719</v>
      </c>
      <c r="BO28" s="54"/>
      <c r="BS28" s="55"/>
      <c r="BT28" s="55"/>
      <c r="BU28" s="84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</row>
    <row r="29" spans="1:95" s="35" customFormat="1" ht="12.75" customHeight="1">
      <c r="A29" s="35" t="s">
        <v>37</v>
      </c>
      <c r="B29" s="51"/>
      <c r="C29" s="35" t="s">
        <v>38</v>
      </c>
      <c r="D29" s="44"/>
      <c r="E29" s="53">
        <f t="shared" si="0"/>
        <v>919320</v>
      </c>
      <c r="F29" s="53"/>
      <c r="G29" s="53">
        <f>3474890+9776858</f>
        <v>13251748</v>
      </c>
      <c r="H29" s="53"/>
      <c r="I29" s="53">
        <v>14171068</v>
      </c>
      <c r="J29" s="53"/>
      <c r="K29" s="53">
        <f t="shared" si="1"/>
        <v>272940</v>
      </c>
      <c r="L29" s="53"/>
      <c r="M29" s="53">
        <v>107279</v>
      </c>
      <c r="N29" s="53"/>
      <c r="O29" s="53">
        <v>380219</v>
      </c>
      <c r="P29" s="53"/>
      <c r="Q29" s="53">
        <v>13251748</v>
      </c>
      <c r="R29" s="53"/>
      <c r="S29" s="53">
        <v>0</v>
      </c>
      <c r="T29" s="53"/>
      <c r="U29" s="53">
        <v>539101</v>
      </c>
      <c r="V29" s="53"/>
      <c r="W29" s="53">
        <f t="shared" si="2"/>
        <v>13790849</v>
      </c>
      <c r="X29" s="51"/>
      <c r="Y29" s="51"/>
      <c r="Z29" s="35" t="s">
        <v>37</v>
      </c>
      <c r="AA29" s="53"/>
      <c r="AB29" s="35" t="s">
        <v>38</v>
      </c>
      <c r="AC29" s="51"/>
      <c r="AD29" s="53">
        <v>2013610</v>
      </c>
      <c r="AE29" s="53"/>
      <c r="AF29" s="53">
        <f>1938793-355488</f>
        <v>1583305</v>
      </c>
      <c r="AG29" s="53"/>
      <c r="AH29" s="53">
        <v>355488</v>
      </c>
      <c r="AI29" s="53"/>
      <c r="AJ29" s="45">
        <f t="shared" si="3"/>
        <v>74817</v>
      </c>
      <c r="AK29" s="45"/>
      <c r="AL29" s="53">
        <v>5070</v>
      </c>
      <c r="AM29" s="45"/>
      <c r="AN29" s="53">
        <v>0</v>
      </c>
      <c r="AO29" s="53"/>
      <c r="AP29" s="53">
        <v>0</v>
      </c>
      <c r="AQ29" s="53"/>
      <c r="AR29" s="53">
        <v>0</v>
      </c>
      <c r="AS29" s="53"/>
      <c r="AT29" s="45">
        <f t="shared" si="4"/>
        <v>79887</v>
      </c>
      <c r="AU29" s="45"/>
      <c r="AV29" s="53">
        <v>0</v>
      </c>
      <c r="AW29" s="53"/>
      <c r="AX29" s="53">
        <v>0</v>
      </c>
      <c r="AY29" s="53"/>
      <c r="AZ29" s="53">
        <f t="shared" si="5"/>
        <v>646380</v>
      </c>
      <c r="BA29" s="51"/>
      <c r="BB29" s="35" t="s">
        <v>37</v>
      </c>
      <c r="BD29" s="35" t="s">
        <v>38</v>
      </c>
      <c r="BE29" s="53"/>
      <c r="BF29" s="53">
        <v>0</v>
      </c>
      <c r="BG29" s="53"/>
      <c r="BH29" s="53">
        <v>0</v>
      </c>
      <c r="BI29" s="53"/>
      <c r="BJ29" s="53">
        <v>0</v>
      </c>
      <c r="BK29" s="53"/>
      <c r="BL29" s="53">
        <v>107279</v>
      </c>
      <c r="BM29" s="53"/>
      <c r="BN29" s="53">
        <f t="shared" si="6"/>
        <v>107279</v>
      </c>
      <c r="BO29" s="54"/>
      <c r="BS29" s="55"/>
      <c r="BT29" s="55"/>
      <c r="BU29" s="84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</row>
    <row r="30" spans="1:95" s="35" customFormat="1" ht="12.75" customHeight="1">
      <c r="A30" s="35" t="s">
        <v>39</v>
      </c>
      <c r="B30" s="51"/>
      <c r="C30" s="35" t="s">
        <v>40</v>
      </c>
      <c r="D30" s="44"/>
      <c r="E30" s="53">
        <f t="shared" si="0"/>
        <v>728449</v>
      </c>
      <c r="F30" s="53"/>
      <c r="G30" s="53">
        <v>6916942</v>
      </c>
      <c r="H30" s="53"/>
      <c r="I30" s="53">
        <v>7645391</v>
      </c>
      <c r="J30" s="53"/>
      <c r="K30" s="53">
        <f t="shared" si="1"/>
        <v>538546</v>
      </c>
      <c r="L30" s="53"/>
      <c r="M30" s="53">
        <v>3526983</v>
      </c>
      <c r="N30" s="53"/>
      <c r="O30" s="53">
        <v>4065529</v>
      </c>
      <c r="P30" s="53"/>
      <c r="Q30" s="53">
        <v>3368610</v>
      </c>
      <c r="R30" s="53"/>
      <c r="S30" s="53">
        <v>0</v>
      </c>
      <c r="T30" s="53"/>
      <c r="U30" s="53">
        <v>211252</v>
      </c>
      <c r="V30" s="53"/>
      <c r="W30" s="53">
        <f t="shared" si="2"/>
        <v>3579862</v>
      </c>
      <c r="X30" s="51"/>
      <c r="Y30" s="51"/>
      <c r="Z30" s="35" t="s">
        <v>39</v>
      </c>
      <c r="AA30" s="53"/>
      <c r="AB30" s="35" t="s">
        <v>40</v>
      </c>
      <c r="AC30" s="51"/>
      <c r="AD30" s="53">
        <v>804332</v>
      </c>
      <c r="AE30" s="53"/>
      <c r="AF30" s="53">
        <f>616154-104187</f>
        <v>511967</v>
      </c>
      <c r="AG30" s="53"/>
      <c r="AH30" s="53">
        <v>104187</v>
      </c>
      <c r="AI30" s="53"/>
      <c r="AJ30" s="45">
        <f t="shared" si="3"/>
        <v>188178</v>
      </c>
      <c r="AK30" s="45"/>
      <c r="AL30" s="53">
        <v>-21400</v>
      </c>
      <c r="AM30" s="45"/>
      <c r="AN30" s="53">
        <v>0</v>
      </c>
      <c r="AO30" s="53"/>
      <c r="AP30" s="53">
        <v>0</v>
      </c>
      <c r="AQ30" s="53"/>
      <c r="AR30" s="53">
        <v>12450</v>
      </c>
      <c r="AS30" s="53"/>
      <c r="AT30" s="45">
        <f t="shared" si="4"/>
        <v>179228</v>
      </c>
      <c r="AU30" s="45"/>
      <c r="AV30" s="53">
        <v>0</v>
      </c>
      <c r="AW30" s="53"/>
      <c r="AX30" s="53">
        <v>0</v>
      </c>
      <c r="AY30" s="53"/>
      <c r="AZ30" s="53">
        <f t="shared" si="5"/>
        <v>189903</v>
      </c>
      <c r="BA30" s="51"/>
      <c r="BB30" s="35" t="s">
        <v>39</v>
      </c>
      <c r="BD30" s="35" t="s">
        <v>40</v>
      </c>
      <c r="BE30" s="53"/>
      <c r="BF30" s="53">
        <v>0</v>
      </c>
      <c r="BG30" s="53"/>
      <c r="BH30" s="53">
        <v>0</v>
      </c>
      <c r="BI30" s="53"/>
      <c r="BJ30" s="53">
        <f>57477+448971</f>
        <v>506448</v>
      </c>
      <c r="BK30" s="53"/>
      <c r="BL30" s="53">
        <f>148337+2868716+3482</f>
        <v>3020535</v>
      </c>
      <c r="BM30" s="53"/>
      <c r="BN30" s="53">
        <f t="shared" si="6"/>
        <v>3526983</v>
      </c>
      <c r="BO30" s="54"/>
      <c r="BS30" s="55"/>
      <c r="BT30" s="55"/>
      <c r="BU30" s="84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</row>
    <row r="31" spans="1:95" s="35" customFormat="1" ht="12.75" customHeight="1">
      <c r="A31" s="35" t="s">
        <v>41</v>
      </c>
      <c r="B31" s="51"/>
      <c r="C31" s="35" t="s">
        <v>27</v>
      </c>
      <c r="D31" s="44"/>
      <c r="E31" s="53">
        <f t="shared" si="0"/>
        <v>2384976</v>
      </c>
      <c r="F31" s="53"/>
      <c r="G31" s="53">
        <v>17075857</v>
      </c>
      <c r="H31" s="53"/>
      <c r="I31" s="53">
        <v>19460833</v>
      </c>
      <c r="J31" s="53"/>
      <c r="K31" s="53">
        <f t="shared" si="1"/>
        <v>1412938</v>
      </c>
      <c r="L31" s="53"/>
      <c r="M31" s="53">
        <v>3277100</v>
      </c>
      <c r="N31" s="53"/>
      <c r="O31" s="53">
        <v>4690038</v>
      </c>
      <c r="P31" s="53"/>
      <c r="Q31" s="53">
        <v>13511212</v>
      </c>
      <c r="R31" s="53"/>
      <c r="S31" s="53">
        <v>0</v>
      </c>
      <c r="T31" s="53"/>
      <c r="U31" s="53">
        <v>1259583</v>
      </c>
      <c r="V31" s="53"/>
      <c r="W31" s="53">
        <f t="shared" si="2"/>
        <v>14770795</v>
      </c>
      <c r="X31" s="51"/>
      <c r="Y31" s="51"/>
      <c r="Z31" s="35" t="s">
        <v>41</v>
      </c>
      <c r="AA31" s="53"/>
      <c r="AB31" s="35" t="s">
        <v>27</v>
      </c>
      <c r="AC31" s="51"/>
      <c r="AD31" s="53">
        <v>2983272</v>
      </c>
      <c r="AE31" s="53"/>
      <c r="AF31" s="53">
        <f>2922595-572674</f>
        <v>2349921</v>
      </c>
      <c r="AG31" s="53"/>
      <c r="AH31" s="53">
        <v>572674</v>
      </c>
      <c r="AI31" s="53"/>
      <c r="AJ31" s="45">
        <f t="shared" si="3"/>
        <v>60677</v>
      </c>
      <c r="AK31" s="45"/>
      <c r="AL31" s="53">
        <v>6787</v>
      </c>
      <c r="AM31" s="45"/>
      <c r="AN31" s="53">
        <v>10000</v>
      </c>
      <c r="AO31" s="53"/>
      <c r="AP31" s="53">
        <v>0</v>
      </c>
      <c r="AQ31" s="53"/>
      <c r="AR31" s="53">
        <v>1459661</v>
      </c>
      <c r="AS31" s="53"/>
      <c r="AT31" s="45">
        <f t="shared" si="4"/>
        <v>1537125</v>
      </c>
      <c r="AU31" s="45"/>
      <c r="AV31" s="53">
        <v>0</v>
      </c>
      <c r="AW31" s="53"/>
      <c r="AX31" s="53">
        <v>0</v>
      </c>
      <c r="AY31" s="53"/>
      <c r="AZ31" s="53">
        <f t="shared" si="5"/>
        <v>972038</v>
      </c>
      <c r="BA31" s="51"/>
      <c r="BB31" s="35" t="s">
        <v>41</v>
      </c>
      <c r="BD31" s="35" t="s">
        <v>27</v>
      </c>
      <c r="BE31" s="53"/>
      <c r="BF31" s="53">
        <v>0</v>
      </c>
      <c r="BG31" s="53"/>
      <c r="BH31" s="53">
        <v>0</v>
      </c>
      <c r="BI31" s="53"/>
      <c r="BJ31" s="53">
        <v>3084395</v>
      </c>
      <c r="BK31" s="53"/>
      <c r="BL31" s="53">
        <f>117231+75474</f>
        <v>192705</v>
      </c>
      <c r="BM31" s="53"/>
      <c r="BN31" s="53">
        <f t="shared" si="6"/>
        <v>3277100</v>
      </c>
      <c r="BO31" s="54"/>
      <c r="BS31" s="55"/>
      <c r="BT31" s="55"/>
      <c r="BU31" s="84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</row>
    <row r="32" spans="1:95" s="35" customFormat="1" ht="12.75" customHeight="1">
      <c r="A32" s="35" t="s">
        <v>42</v>
      </c>
      <c r="B32" s="51"/>
      <c r="C32" s="35" t="s">
        <v>43</v>
      </c>
      <c r="D32" s="44"/>
      <c r="E32" s="53">
        <f t="shared" si="0"/>
        <v>937299</v>
      </c>
      <c r="F32" s="53"/>
      <c r="G32" s="53">
        <v>2367896</v>
      </c>
      <c r="H32" s="53"/>
      <c r="I32" s="53">
        <v>3305195</v>
      </c>
      <c r="J32" s="53"/>
      <c r="K32" s="53">
        <f t="shared" si="1"/>
        <v>777428</v>
      </c>
      <c r="L32" s="53"/>
      <c r="M32" s="53">
        <v>767299</v>
      </c>
      <c r="N32" s="53"/>
      <c r="O32" s="53">
        <v>1544727</v>
      </c>
      <c r="P32" s="53"/>
      <c r="Q32" s="53">
        <v>1302896</v>
      </c>
      <c r="R32" s="53"/>
      <c r="S32" s="53">
        <v>0</v>
      </c>
      <c r="T32" s="53"/>
      <c r="U32" s="53">
        <v>457572</v>
      </c>
      <c r="V32" s="53"/>
      <c r="W32" s="53">
        <f t="shared" si="2"/>
        <v>1760468</v>
      </c>
      <c r="X32" s="51"/>
      <c r="Y32" s="51"/>
      <c r="Z32" s="35" t="s">
        <v>42</v>
      </c>
      <c r="AA32" s="53"/>
      <c r="AB32" s="35" t="s">
        <v>43</v>
      </c>
      <c r="AC32" s="51"/>
      <c r="AD32" s="53">
        <v>1494388</v>
      </c>
      <c r="AE32" s="53"/>
      <c r="AF32" s="53">
        <f>1278464-144406</f>
        <v>1134058</v>
      </c>
      <c r="AG32" s="53"/>
      <c r="AH32" s="53">
        <v>144406</v>
      </c>
      <c r="AI32" s="53"/>
      <c r="AJ32" s="45">
        <f t="shared" si="3"/>
        <v>215924</v>
      </c>
      <c r="AK32" s="45"/>
      <c r="AL32" s="53">
        <v>-39753</v>
      </c>
      <c r="AM32" s="45"/>
      <c r="AN32" s="53">
        <v>0</v>
      </c>
      <c r="AO32" s="53"/>
      <c r="AP32" s="53">
        <v>0</v>
      </c>
      <c r="AQ32" s="53"/>
      <c r="AR32" s="53">
        <v>0</v>
      </c>
      <c r="AS32" s="53"/>
      <c r="AT32" s="45">
        <f t="shared" si="4"/>
        <v>176171</v>
      </c>
      <c r="AU32" s="45"/>
      <c r="AV32" s="53">
        <v>0</v>
      </c>
      <c r="AW32" s="53"/>
      <c r="AX32" s="53">
        <v>0</v>
      </c>
      <c r="AY32" s="53"/>
      <c r="AZ32" s="53">
        <f t="shared" si="5"/>
        <v>159871</v>
      </c>
      <c r="BA32" s="51"/>
      <c r="BB32" s="35" t="s">
        <v>42</v>
      </c>
      <c r="BD32" s="35" t="s">
        <v>43</v>
      </c>
      <c r="BE32" s="53"/>
      <c r="BF32" s="53">
        <v>790000</v>
      </c>
      <c r="BG32" s="53"/>
      <c r="BH32" s="53">
        <v>0</v>
      </c>
      <c r="BI32" s="53"/>
      <c r="BJ32" s="53">
        <v>474500</v>
      </c>
      <c r="BK32" s="53"/>
      <c r="BL32" s="53">
        <v>45444</v>
      </c>
      <c r="BM32" s="53"/>
      <c r="BN32" s="53">
        <f t="shared" si="6"/>
        <v>1309944</v>
      </c>
      <c r="BO32" s="54"/>
      <c r="BS32" s="55"/>
      <c r="BT32" s="55"/>
      <c r="BU32" s="84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</row>
    <row r="33" spans="1:95" s="142" customFormat="1" ht="12.75" hidden="1" customHeight="1">
      <c r="A33" s="142" t="s">
        <v>44</v>
      </c>
      <c r="B33" s="140"/>
      <c r="C33" s="142" t="s">
        <v>45</v>
      </c>
      <c r="D33" s="137"/>
      <c r="E33" s="156">
        <f t="shared" si="0"/>
        <v>0</v>
      </c>
      <c r="F33" s="156"/>
      <c r="G33" s="156">
        <v>0</v>
      </c>
      <c r="H33" s="156"/>
      <c r="I33" s="156">
        <v>0</v>
      </c>
      <c r="J33" s="156"/>
      <c r="K33" s="156">
        <f t="shared" si="1"/>
        <v>0</v>
      </c>
      <c r="L33" s="156"/>
      <c r="M33" s="156">
        <v>0</v>
      </c>
      <c r="N33" s="156"/>
      <c r="O33" s="156">
        <v>0</v>
      </c>
      <c r="P33" s="156"/>
      <c r="Q33" s="156">
        <v>0</v>
      </c>
      <c r="R33" s="156"/>
      <c r="S33" s="156">
        <v>0</v>
      </c>
      <c r="T33" s="156"/>
      <c r="U33" s="156">
        <v>0</v>
      </c>
      <c r="V33" s="156"/>
      <c r="W33" s="156">
        <f t="shared" si="2"/>
        <v>0</v>
      </c>
      <c r="X33" s="140"/>
      <c r="Y33" s="140"/>
      <c r="Z33" s="142" t="s">
        <v>44</v>
      </c>
      <c r="AA33" s="156"/>
      <c r="AB33" s="142" t="s">
        <v>45</v>
      </c>
      <c r="AC33" s="140"/>
      <c r="AD33" s="156">
        <v>0</v>
      </c>
      <c r="AE33" s="156"/>
      <c r="AF33" s="156">
        <v>0</v>
      </c>
      <c r="AG33" s="156"/>
      <c r="AH33" s="156">
        <v>0</v>
      </c>
      <c r="AI33" s="156"/>
      <c r="AJ33" s="143">
        <f t="shared" si="3"/>
        <v>0</v>
      </c>
      <c r="AK33" s="143"/>
      <c r="AL33" s="156">
        <v>0</v>
      </c>
      <c r="AM33" s="143"/>
      <c r="AN33" s="156">
        <v>0</v>
      </c>
      <c r="AO33" s="156"/>
      <c r="AP33" s="156">
        <v>0</v>
      </c>
      <c r="AQ33" s="156"/>
      <c r="AR33" s="156">
        <v>0</v>
      </c>
      <c r="AS33" s="156"/>
      <c r="AT33" s="143">
        <f t="shared" si="4"/>
        <v>0</v>
      </c>
      <c r="AU33" s="143"/>
      <c r="AV33" s="156">
        <v>0</v>
      </c>
      <c r="AW33" s="156"/>
      <c r="AX33" s="156">
        <v>0</v>
      </c>
      <c r="AY33" s="156"/>
      <c r="AZ33" s="156">
        <f t="shared" si="5"/>
        <v>0</v>
      </c>
      <c r="BA33" s="140"/>
      <c r="BB33" s="142" t="s">
        <v>44</v>
      </c>
      <c r="BD33" s="142" t="s">
        <v>45</v>
      </c>
      <c r="BE33" s="156"/>
      <c r="BF33" s="156">
        <v>0</v>
      </c>
      <c r="BG33" s="156"/>
      <c r="BH33" s="156">
        <v>0</v>
      </c>
      <c r="BI33" s="156"/>
      <c r="BJ33" s="156">
        <v>0</v>
      </c>
      <c r="BK33" s="156"/>
      <c r="BL33" s="156">
        <v>0</v>
      </c>
      <c r="BM33" s="156"/>
      <c r="BN33" s="156">
        <f t="shared" si="6"/>
        <v>0</v>
      </c>
      <c r="BO33" s="158"/>
      <c r="BS33" s="159"/>
      <c r="BT33" s="159"/>
      <c r="BU33" s="160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</row>
    <row r="34" spans="1:95" s="35" customFormat="1" ht="12.75" customHeight="1">
      <c r="A34" s="35" t="s">
        <v>46</v>
      </c>
      <c r="B34" s="51"/>
      <c r="C34" s="35" t="s">
        <v>47</v>
      </c>
      <c r="D34" s="44"/>
      <c r="E34" s="53">
        <f>I34-G34</f>
        <v>5572750</v>
      </c>
      <c r="F34" s="53"/>
      <c r="G34" s="53">
        <v>27920154</v>
      </c>
      <c r="H34" s="53"/>
      <c r="I34" s="53">
        <v>33492904</v>
      </c>
      <c r="J34" s="53"/>
      <c r="K34" s="53">
        <f>O34-M34</f>
        <v>467255</v>
      </c>
      <c r="L34" s="53"/>
      <c r="M34" s="53">
        <v>1309200</v>
      </c>
      <c r="N34" s="53"/>
      <c r="O34" s="53">
        <v>1776455</v>
      </c>
      <c r="P34" s="53"/>
      <c r="Q34" s="53">
        <v>26693428</v>
      </c>
      <c r="R34" s="53"/>
      <c r="S34" s="53">
        <v>0</v>
      </c>
      <c r="T34" s="53"/>
      <c r="U34" s="53">
        <v>5023021</v>
      </c>
      <c r="V34" s="53"/>
      <c r="W34" s="53">
        <f>SUM(Q34:U34)</f>
        <v>31716449</v>
      </c>
      <c r="X34" s="51"/>
      <c r="Y34" s="51"/>
      <c r="Z34" s="35" t="s">
        <v>46</v>
      </c>
      <c r="AA34" s="53"/>
      <c r="AB34" s="35" t="s">
        <v>47</v>
      </c>
      <c r="AC34" s="51"/>
      <c r="AD34" s="53">
        <v>3662246</v>
      </c>
      <c r="AE34" s="53"/>
      <c r="AF34" s="53">
        <f>4149725-911019</f>
        <v>3238706</v>
      </c>
      <c r="AG34" s="53"/>
      <c r="AH34" s="53">
        <v>911019</v>
      </c>
      <c r="AI34" s="53"/>
      <c r="AJ34" s="45">
        <f>+AD34-AF34-AH34</f>
        <v>-487479</v>
      </c>
      <c r="AK34" s="45"/>
      <c r="AL34" s="53">
        <v>183468</v>
      </c>
      <c r="AM34" s="45"/>
      <c r="AN34" s="53">
        <v>0</v>
      </c>
      <c r="AO34" s="53"/>
      <c r="AP34" s="53">
        <v>0</v>
      </c>
      <c r="AQ34" s="53"/>
      <c r="AR34" s="53">
        <v>251591</v>
      </c>
      <c r="AS34" s="53"/>
      <c r="AT34" s="45">
        <f>+AJ34+AL34+AN34-AP34+AR34</f>
        <v>-52420</v>
      </c>
      <c r="AU34" s="45"/>
      <c r="AV34" s="53">
        <v>0</v>
      </c>
      <c r="AW34" s="53"/>
      <c r="AX34" s="53">
        <v>0</v>
      </c>
      <c r="AY34" s="53"/>
      <c r="AZ34" s="53">
        <f>E34-K34</f>
        <v>5105495</v>
      </c>
      <c r="BA34" s="51"/>
      <c r="BB34" s="35" t="s">
        <v>46</v>
      </c>
      <c r="BD34" s="35" t="s">
        <v>47</v>
      </c>
      <c r="BE34" s="53"/>
      <c r="BF34" s="53">
        <v>969802</v>
      </c>
      <c r="BG34" s="53"/>
      <c r="BH34" s="53">
        <v>0</v>
      </c>
      <c r="BI34" s="53"/>
      <c r="BJ34" s="53">
        <v>0</v>
      </c>
      <c r="BK34" s="53"/>
      <c r="BL34" s="53">
        <f>180518+158880</f>
        <v>339398</v>
      </c>
      <c r="BM34" s="53"/>
      <c r="BN34" s="53">
        <f t="shared" si="6"/>
        <v>1309200</v>
      </c>
      <c r="BO34" s="54"/>
      <c r="BS34" s="55"/>
      <c r="BT34" s="55"/>
      <c r="BU34" s="84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</row>
    <row r="35" spans="1:95" s="142" customFormat="1" ht="12.75" hidden="1" customHeight="1">
      <c r="A35" s="142" t="s">
        <v>48</v>
      </c>
      <c r="B35" s="140"/>
      <c r="C35" s="142" t="s">
        <v>27</v>
      </c>
      <c r="D35" s="137"/>
      <c r="E35" s="156">
        <f t="shared" si="0"/>
        <v>0</v>
      </c>
      <c r="F35" s="156"/>
      <c r="G35" s="156">
        <v>0</v>
      </c>
      <c r="H35" s="156"/>
      <c r="I35" s="156">
        <v>0</v>
      </c>
      <c r="J35" s="156"/>
      <c r="K35" s="156">
        <f t="shared" si="1"/>
        <v>0</v>
      </c>
      <c r="L35" s="156"/>
      <c r="M35" s="156">
        <v>0</v>
      </c>
      <c r="N35" s="156"/>
      <c r="O35" s="156">
        <v>0</v>
      </c>
      <c r="P35" s="156"/>
      <c r="Q35" s="156">
        <v>0</v>
      </c>
      <c r="R35" s="156"/>
      <c r="S35" s="156">
        <v>0</v>
      </c>
      <c r="T35" s="156"/>
      <c r="U35" s="156">
        <v>0</v>
      </c>
      <c r="V35" s="156"/>
      <c r="W35" s="156">
        <f t="shared" si="2"/>
        <v>0</v>
      </c>
      <c r="X35" s="140"/>
      <c r="Y35" s="140"/>
      <c r="Z35" s="142" t="s">
        <v>48</v>
      </c>
      <c r="AA35" s="156"/>
      <c r="AB35" s="142" t="s">
        <v>27</v>
      </c>
      <c r="AC35" s="140"/>
      <c r="AD35" s="156">
        <v>0</v>
      </c>
      <c r="AE35" s="156"/>
      <c r="AF35" s="156">
        <v>0</v>
      </c>
      <c r="AG35" s="156"/>
      <c r="AH35" s="156">
        <v>0</v>
      </c>
      <c r="AI35" s="156"/>
      <c r="AJ35" s="143">
        <f t="shared" si="3"/>
        <v>0</v>
      </c>
      <c r="AK35" s="143"/>
      <c r="AL35" s="156">
        <v>0</v>
      </c>
      <c r="AM35" s="143"/>
      <c r="AN35" s="156">
        <v>0</v>
      </c>
      <c r="AO35" s="156"/>
      <c r="AP35" s="156">
        <v>0</v>
      </c>
      <c r="AQ35" s="156"/>
      <c r="AR35" s="156">
        <v>0</v>
      </c>
      <c r="AS35" s="156"/>
      <c r="AT35" s="143">
        <f t="shared" si="4"/>
        <v>0</v>
      </c>
      <c r="AU35" s="143"/>
      <c r="AV35" s="156">
        <v>0</v>
      </c>
      <c r="AW35" s="156"/>
      <c r="AX35" s="156">
        <v>0</v>
      </c>
      <c r="AY35" s="156"/>
      <c r="AZ35" s="156">
        <f t="shared" si="5"/>
        <v>0</v>
      </c>
      <c r="BA35" s="140"/>
      <c r="BB35" s="142" t="s">
        <v>48</v>
      </c>
      <c r="BD35" s="142" t="s">
        <v>27</v>
      </c>
      <c r="BE35" s="156"/>
      <c r="BF35" s="156">
        <v>0</v>
      </c>
      <c r="BG35" s="156"/>
      <c r="BH35" s="156">
        <v>0</v>
      </c>
      <c r="BI35" s="156"/>
      <c r="BJ35" s="156">
        <v>0</v>
      </c>
      <c r="BK35" s="156"/>
      <c r="BL35" s="156">
        <v>0</v>
      </c>
      <c r="BM35" s="156"/>
      <c r="BN35" s="156">
        <f t="shared" si="6"/>
        <v>0</v>
      </c>
      <c r="BO35" s="158"/>
      <c r="BS35" s="159"/>
      <c r="BT35" s="159"/>
      <c r="BU35" s="160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</row>
    <row r="36" spans="1:95" s="142" customFormat="1" ht="12.75" hidden="1" customHeight="1">
      <c r="A36" s="142" t="s">
        <v>49</v>
      </c>
      <c r="B36" s="140"/>
      <c r="C36" s="142" t="s">
        <v>27</v>
      </c>
      <c r="D36" s="137"/>
      <c r="E36" s="156">
        <f t="shared" si="0"/>
        <v>0</v>
      </c>
      <c r="F36" s="156"/>
      <c r="G36" s="156">
        <v>0</v>
      </c>
      <c r="H36" s="156"/>
      <c r="I36" s="156">
        <v>0</v>
      </c>
      <c r="J36" s="156"/>
      <c r="K36" s="156">
        <f t="shared" si="1"/>
        <v>0</v>
      </c>
      <c r="L36" s="156"/>
      <c r="M36" s="156">
        <v>0</v>
      </c>
      <c r="N36" s="156"/>
      <c r="O36" s="156">
        <v>0</v>
      </c>
      <c r="P36" s="156"/>
      <c r="Q36" s="156">
        <v>0</v>
      </c>
      <c r="R36" s="156"/>
      <c r="S36" s="156">
        <v>0</v>
      </c>
      <c r="T36" s="156"/>
      <c r="U36" s="156">
        <v>0</v>
      </c>
      <c r="V36" s="156"/>
      <c r="W36" s="156">
        <f t="shared" si="2"/>
        <v>0</v>
      </c>
      <c r="X36" s="140"/>
      <c r="Y36" s="140"/>
      <c r="Z36" s="142" t="s">
        <v>49</v>
      </c>
      <c r="AA36" s="156"/>
      <c r="AB36" s="142" t="s">
        <v>27</v>
      </c>
      <c r="AC36" s="140"/>
      <c r="AD36" s="156">
        <v>0</v>
      </c>
      <c r="AE36" s="156"/>
      <c r="AF36" s="156">
        <v>0</v>
      </c>
      <c r="AG36" s="156"/>
      <c r="AH36" s="156">
        <v>0</v>
      </c>
      <c r="AI36" s="156"/>
      <c r="AJ36" s="143">
        <v>0</v>
      </c>
      <c r="AK36" s="143"/>
      <c r="AL36" s="156">
        <v>0</v>
      </c>
      <c r="AM36" s="143"/>
      <c r="AN36" s="156">
        <v>0</v>
      </c>
      <c r="AO36" s="156"/>
      <c r="AP36" s="156">
        <v>0</v>
      </c>
      <c r="AQ36" s="156"/>
      <c r="AR36" s="156">
        <v>0</v>
      </c>
      <c r="AS36" s="156"/>
      <c r="AT36" s="143">
        <f t="shared" si="4"/>
        <v>0</v>
      </c>
      <c r="AU36" s="143"/>
      <c r="AV36" s="156">
        <v>0</v>
      </c>
      <c r="AW36" s="156"/>
      <c r="AX36" s="156">
        <v>0</v>
      </c>
      <c r="AY36" s="156"/>
      <c r="AZ36" s="156">
        <f t="shared" si="5"/>
        <v>0</v>
      </c>
      <c r="BA36" s="140"/>
      <c r="BB36" s="142" t="s">
        <v>49</v>
      </c>
      <c r="BD36" s="142" t="s">
        <v>27</v>
      </c>
      <c r="BE36" s="156"/>
      <c r="BF36" s="156">
        <v>0</v>
      </c>
      <c r="BG36" s="156"/>
      <c r="BH36" s="156">
        <v>0</v>
      </c>
      <c r="BI36" s="156"/>
      <c r="BJ36" s="156">
        <v>0</v>
      </c>
      <c r="BK36" s="156"/>
      <c r="BL36" s="156">
        <v>0</v>
      </c>
      <c r="BM36" s="156"/>
      <c r="BN36" s="156">
        <f t="shared" si="6"/>
        <v>0</v>
      </c>
      <c r="BO36" s="158"/>
      <c r="BS36" s="159"/>
      <c r="BT36" s="159"/>
      <c r="BU36" s="160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</row>
    <row r="37" spans="1:95" s="142" customFormat="1" ht="12.75" hidden="1" customHeight="1">
      <c r="A37" s="142" t="s">
        <v>50</v>
      </c>
      <c r="B37" s="140"/>
      <c r="C37" s="142" t="s">
        <v>27</v>
      </c>
      <c r="D37" s="137"/>
      <c r="E37" s="156">
        <f t="shared" si="0"/>
        <v>0</v>
      </c>
      <c r="F37" s="156"/>
      <c r="G37" s="156">
        <v>0</v>
      </c>
      <c r="H37" s="156"/>
      <c r="I37" s="156">
        <v>0</v>
      </c>
      <c r="J37" s="156"/>
      <c r="K37" s="156">
        <f t="shared" si="1"/>
        <v>0</v>
      </c>
      <c r="L37" s="156"/>
      <c r="M37" s="156">
        <v>0</v>
      </c>
      <c r="N37" s="156"/>
      <c r="O37" s="156">
        <v>0</v>
      </c>
      <c r="P37" s="156"/>
      <c r="Q37" s="156">
        <v>0</v>
      </c>
      <c r="R37" s="156"/>
      <c r="S37" s="156">
        <v>0</v>
      </c>
      <c r="T37" s="156"/>
      <c r="U37" s="156">
        <v>0</v>
      </c>
      <c r="V37" s="156"/>
      <c r="W37" s="156">
        <f t="shared" si="2"/>
        <v>0</v>
      </c>
      <c r="X37" s="140"/>
      <c r="Y37" s="140"/>
      <c r="Z37" s="142" t="s">
        <v>50</v>
      </c>
      <c r="AA37" s="156"/>
      <c r="AB37" s="142" t="s">
        <v>27</v>
      </c>
      <c r="AC37" s="140"/>
      <c r="AD37" s="156">
        <v>0</v>
      </c>
      <c r="AE37" s="156"/>
      <c r="AF37" s="156">
        <v>0</v>
      </c>
      <c r="AG37" s="156"/>
      <c r="AH37" s="156">
        <v>0</v>
      </c>
      <c r="AI37" s="156"/>
      <c r="AJ37" s="143">
        <f t="shared" si="3"/>
        <v>0</v>
      </c>
      <c r="AK37" s="143"/>
      <c r="AL37" s="156">
        <v>0</v>
      </c>
      <c r="AM37" s="143"/>
      <c r="AN37" s="156">
        <v>0</v>
      </c>
      <c r="AO37" s="156"/>
      <c r="AP37" s="156">
        <v>0</v>
      </c>
      <c r="AQ37" s="156"/>
      <c r="AR37" s="156">
        <v>0</v>
      </c>
      <c r="AS37" s="156"/>
      <c r="AT37" s="143">
        <f t="shared" si="4"/>
        <v>0</v>
      </c>
      <c r="AU37" s="143"/>
      <c r="AV37" s="156">
        <v>0</v>
      </c>
      <c r="AW37" s="156"/>
      <c r="AX37" s="156">
        <v>0</v>
      </c>
      <c r="AY37" s="156"/>
      <c r="AZ37" s="156">
        <f t="shared" si="5"/>
        <v>0</v>
      </c>
      <c r="BA37" s="140"/>
      <c r="BB37" s="142" t="s">
        <v>50</v>
      </c>
      <c r="BD37" s="142" t="s">
        <v>27</v>
      </c>
      <c r="BE37" s="156"/>
      <c r="BF37" s="156">
        <v>0</v>
      </c>
      <c r="BG37" s="156"/>
      <c r="BH37" s="156">
        <v>0</v>
      </c>
      <c r="BI37" s="156"/>
      <c r="BJ37" s="156">
        <v>0</v>
      </c>
      <c r="BK37" s="156"/>
      <c r="BL37" s="156">
        <v>0</v>
      </c>
      <c r="BM37" s="156"/>
      <c r="BN37" s="156">
        <f t="shared" si="6"/>
        <v>0</v>
      </c>
      <c r="BO37" s="158"/>
      <c r="BS37" s="159"/>
      <c r="BT37" s="159"/>
      <c r="BU37" s="160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</row>
    <row r="38" spans="1:95" s="35" customFormat="1" ht="12.75" customHeight="1">
      <c r="A38" s="35" t="s">
        <v>463</v>
      </c>
      <c r="B38" s="51"/>
      <c r="C38" s="35" t="s">
        <v>66</v>
      </c>
      <c r="D38" s="44"/>
      <c r="E38" s="53">
        <f t="shared" si="0"/>
        <v>523654</v>
      </c>
      <c r="F38" s="53"/>
      <c r="G38" s="53">
        <v>505500</v>
      </c>
      <c r="H38" s="53"/>
      <c r="I38" s="53">
        <v>1029154</v>
      </c>
      <c r="J38" s="53"/>
      <c r="K38" s="53">
        <f t="shared" si="1"/>
        <v>43019</v>
      </c>
      <c r="L38" s="53"/>
      <c r="M38" s="53">
        <v>173069</v>
      </c>
      <c r="N38" s="53"/>
      <c r="O38" s="53">
        <v>216088</v>
      </c>
      <c r="P38" s="53"/>
      <c r="Q38" s="53">
        <v>306567</v>
      </c>
      <c r="R38" s="53"/>
      <c r="S38" s="53">
        <v>0</v>
      </c>
      <c r="T38" s="53"/>
      <c r="U38" s="53">
        <v>506499</v>
      </c>
      <c r="V38" s="53"/>
      <c r="W38" s="53">
        <f t="shared" si="2"/>
        <v>813066</v>
      </c>
      <c r="X38" s="51"/>
      <c r="Y38" s="51"/>
      <c r="Z38" s="35" t="s">
        <v>463</v>
      </c>
      <c r="AA38" s="53"/>
      <c r="AB38" s="35" t="s">
        <v>66</v>
      </c>
      <c r="AC38" s="51"/>
      <c r="AD38" s="53">
        <v>982722</v>
      </c>
      <c r="AE38" s="53"/>
      <c r="AF38" s="53">
        <f>716678-49585</f>
        <v>667093</v>
      </c>
      <c r="AG38" s="53"/>
      <c r="AH38" s="53">
        <v>49585</v>
      </c>
      <c r="AI38" s="53"/>
      <c r="AJ38" s="45">
        <f t="shared" si="3"/>
        <v>266044</v>
      </c>
      <c r="AK38" s="45"/>
      <c r="AL38" s="53">
        <v>-10993</v>
      </c>
      <c r="AM38" s="45"/>
      <c r="AN38" s="53">
        <v>0</v>
      </c>
      <c r="AO38" s="53"/>
      <c r="AP38" s="53">
        <v>0</v>
      </c>
      <c r="AQ38" s="53"/>
      <c r="AR38" s="53">
        <v>0</v>
      </c>
      <c r="AS38" s="53"/>
      <c r="AT38" s="45">
        <f t="shared" si="4"/>
        <v>255051</v>
      </c>
      <c r="AU38" s="45"/>
      <c r="AV38" s="53">
        <v>0</v>
      </c>
      <c r="AW38" s="53"/>
      <c r="AX38" s="53">
        <v>0</v>
      </c>
      <c r="AY38" s="53"/>
      <c r="AZ38" s="53">
        <f t="shared" si="5"/>
        <v>480635</v>
      </c>
      <c r="BA38" s="51"/>
      <c r="BB38" s="35" t="s">
        <v>463</v>
      </c>
      <c r="BD38" s="35" t="s">
        <v>66</v>
      </c>
      <c r="BE38" s="53"/>
      <c r="BF38" s="53">
        <v>0</v>
      </c>
      <c r="BG38" s="53"/>
      <c r="BH38" s="53">
        <v>0</v>
      </c>
      <c r="BI38" s="53"/>
      <c r="BJ38" s="53">
        <v>169732</v>
      </c>
      <c r="BK38" s="53"/>
      <c r="BL38" s="53">
        <v>3337</v>
      </c>
      <c r="BM38" s="53"/>
      <c r="BN38" s="53">
        <f t="shared" si="6"/>
        <v>173069</v>
      </c>
      <c r="BO38" s="54"/>
      <c r="BP38" s="55"/>
      <c r="BS38" s="55"/>
      <c r="BT38" s="55"/>
      <c r="BU38" s="84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</row>
    <row r="39" spans="1:95" s="142" customFormat="1" ht="12.75" hidden="1" customHeight="1">
      <c r="A39" s="142" t="s">
        <v>463</v>
      </c>
      <c r="B39" s="140"/>
      <c r="C39" s="142" t="s">
        <v>66</v>
      </c>
      <c r="D39" s="137"/>
      <c r="E39" s="156">
        <f t="shared" si="0"/>
        <v>0</v>
      </c>
      <c r="F39" s="156"/>
      <c r="G39" s="156">
        <v>0</v>
      </c>
      <c r="H39" s="156"/>
      <c r="I39" s="156">
        <v>0</v>
      </c>
      <c r="J39" s="156"/>
      <c r="K39" s="156">
        <f t="shared" si="1"/>
        <v>0</v>
      </c>
      <c r="L39" s="156"/>
      <c r="M39" s="156">
        <v>0</v>
      </c>
      <c r="N39" s="156"/>
      <c r="O39" s="156">
        <v>0</v>
      </c>
      <c r="P39" s="156"/>
      <c r="Q39" s="156">
        <v>0</v>
      </c>
      <c r="R39" s="156"/>
      <c r="S39" s="156">
        <v>0</v>
      </c>
      <c r="T39" s="156"/>
      <c r="U39" s="156">
        <v>0</v>
      </c>
      <c r="V39" s="156"/>
      <c r="W39" s="156">
        <f t="shared" si="2"/>
        <v>0</v>
      </c>
      <c r="X39" s="140"/>
      <c r="Y39" s="140"/>
      <c r="Z39" s="142" t="s">
        <v>463</v>
      </c>
      <c r="AA39" s="156"/>
      <c r="AB39" s="142" t="s">
        <v>66</v>
      </c>
      <c r="AC39" s="140"/>
      <c r="AD39" s="156">
        <v>0</v>
      </c>
      <c r="AE39" s="156"/>
      <c r="AF39" s="156">
        <v>0</v>
      </c>
      <c r="AG39" s="156"/>
      <c r="AH39" s="156">
        <v>0</v>
      </c>
      <c r="AI39" s="156"/>
      <c r="AJ39" s="143">
        <f t="shared" si="3"/>
        <v>0</v>
      </c>
      <c r="AK39" s="143"/>
      <c r="AL39" s="156">
        <v>0</v>
      </c>
      <c r="AM39" s="143"/>
      <c r="AN39" s="156">
        <v>0</v>
      </c>
      <c r="AO39" s="156"/>
      <c r="AP39" s="156">
        <v>0</v>
      </c>
      <c r="AQ39" s="156"/>
      <c r="AR39" s="156">
        <v>0</v>
      </c>
      <c r="AS39" s="156"/>
      <c r="AT39" s="143">
        <f t="shared" si="4"/>
        <v>0</v>
      </c>
      <c r="AU39" s="143"/>
      <c r="AV39" s="156">
        <v>0</v>
      </c>
      <c r="AW39" s="156"/>
      <c r="AX39" s="156">
        <v>0</v>
      </c>
      <c r="AY39" s="156"/>
      <c r="AZ39" s="156">
        <f t="shared" si="5"/>
        <v>0</v>
      </c>
      <c r="BA39" s="140"/>
      <c r="BB39" s="142" t="s">
        <v>463</v>
      </c>
      <c r="BD39" s="142" t="s">
        <v>66</v>
      </c>
      <c r="BE39" s="156"/>
      <c r="BF39" s="156">
        <v>0</v>
      </c>
      <c r="BG39" s="156"/>
      <c r="BH39" s="156">
        <v>0</v>
      </c>
      <c r="BI39" s="156"/>
      <c r="BJ39" s="156">
        <v>0</v>
      </c>
      <c r="BK39" s="156"/>
      <c r="BL39" s="156">
        <v>0</v>
      </c>
      <c r="BM39" s="156"/>
      <c r="BN39" s="156">
        <f t="shared" si="6"/>
        <v>0</v>
      </c>
      <c r="BO39" s="158"/>
      <c r="BP39" s="159"/>
      <c r="BS39" s="159"/>
      <c r="BT39" s="159"/>
      <c r="BU39" s="160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</row>
    <row r="40" spans="1:95" s="142" customFormat="1" ht="12.75" hidden="1" customHeight="1">
      <c r="A40" s="142" t="s">
        <v>52</v>
      </c>
      <c r="B40" s="140"/>
      <c r="C40" s="142" t="s">
        <v>53</v>
      </c>
      <c r="D40" s="137"/>
      <c r="E40" s="156">
        <f t="shared" si="0"/>
        <v>0</v>
      </c>
      <c r="F40" s="156"/>
      <c r="G40" s="156">
        <v>0</v>
      </c>
      <c r="H40" s="156"/>
      <c r="I40" s="156">
        <v>0</v>
      </c>
      <c r="J40" s="156"/>
      <c r="K40" s="156">
        <f t="shared" si="1"/>
        <v>0</v>
      </c>
      <c r="L40" s="156"/>
      <c r="M40" s="156">
        <v>0</v>
      </c>
      <c r="N40" s="156"/>
      <c r="O40" s="156">
        <v>0</v>
      </c>
      <c r="P40" s="156"/>
      <c r="Q40" s="156">
        <v>0</v>
      </c>
      <c r="R40" s="156"/>
      <c r="S40" s="156">
        <v>0</v>
      </c>
      <c r="T40" s="156"/>
      <c r="U40" s="156">
        <v>0</v>
      </c>
      <c r="V40" s="156"/>
      <c r="W40" s="156">
        <f t="shared" si="2"/>
        <v>0</v>
      </c>
      <c r="X40" s="140"/>
      <c r="Y40" s="140"/>
      <c r="Z40" s="142" t="s">
        <v>52</v>
      </c>
      <c r="AA40" s="156"/>
      <c r="AB40" s="142" t="s">
        <v>53</v>
      </c>
      <c r="AC40" s="140"/>
      <c r="AD40" s="156">
        <v>0</v>
      </c>
      <c r="AE40" s="156"/>
      <c r="AF40" s="156">
        <v>0</v>
      </c>
      <c r="AG40" s="156"/>
      <c r="AH40" s="156">
        <v>0</v>
      </c>
      <c r="AI40" s="156"/>
      <c r="AJ40" s="143">
        <f t="shared" si="3"/>
        <v>0</v>
      </c>
      <c r="AK40" s="143"/>
      <c r="AL40" s="156">
        <v>0</v>
      </c>
      <c r="AM40" s="143"/>
      <c r="AN40" s="156">
        <v>0</v>
      </c>
      <c r="AO40" s="156"/>
      <c r="AP40" s="156">
        <v>0</v>
      </c>
      <c r="AQ40" s="156"/>
      <c r="AR40" s="156">
        <v>0</v>
      </c>
      <c r="AS40" s="156"/>
      <c r="AT40" s="143">
        <f t="shared" si="4"/>
        <v>0</v>
      </c>
      <c r="AU40" s="143"/>
      <c r="AV40" s="156">
        <v>0</v>
      </c>
      <c r="AW40" s="156"/>
      <c r="AX40" s="156">
        <v>0</v>
      </c>
      <c r="AY40" s="156"/>
      <c r="AZ40" s="156">
        <f t="shared" si="5"/>
        <v>0</v>
      </c>
      <c r="BA40" s="140"/>
      <c r="BB40" s="142" t="s">
        <v>52</v>
      </c>
      <c r="BD40" s="142" t="s">
        <v>53</v>
      </c>
      <c r="BE40" s="156"/>
      <c r="BF40" s="156">
        <v>0</v>
      </c>
      <c r="BG40" s="156"/>
      <c r="BH40" s="156">
        <v>0</v>
      </c>
      <c r="BI40" s="156"/>
      <c r="BJ40" s="156">
        <v>0</v>
      </c>
      <c r="BK40" s="156"/>
      <c r="BL40" s="156">
        <v>0</v>
      </c>
      <c r="BM40" s="156"/>
      <c r="BN40" s="156">
        <f t="shared" si="6"/>
        <v>0</v>
      </c>
      <c r="BO40" s="158"/>
      <c r="BS40" s="159"/>
      <c r="BT40" s="159"/>
      <c r="BU40" s="160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</row>
    <row r="41" spans="1:95" s="35" customFormat="1" ht="12.75" customHeight="1">
      <c r="A41" s="35" t="s">
        <v>54</v>
      </c>
      <c r="B41" s="51"/>
      <c r="C41" s="35" t="s">
        <v>55</v>
      </c>
      <c r="D41" s="44"/>
      <c r="E41" s="53">
        <f t="shared" si="0"/>
        <v>1125554</v>
      </c>
      <c r="F41" s="53"/>
      <c r="G41" s="53">
        <v>4454360</v>
      </c>
      <c r="H41" s="53"/>
      <c r="I41" s="53">
        <v>5579914</v>
      </c>
      <c r="J41" s="53"/>
      <c r="K41" s="53">
        <f t="shared" si="1"/>
        <v>121792</v>
      </c>
      <c r="L41" s="53"/>
      <c r="M41" s="53">
        <v>107528</v>
      </c>
      <c r="N41" s="53"/>
      <c r="O41" s="53">
        <v>229320</v>
      </c>
      <c r="P41" s="53"/>
      <c r="Q41" s="53">
        <v>4454360</v>
      </c>
      <c r="R41" s="53"/>
      <c r="S41" s="53">
        <v>0</v>
      </c>
      <c r="T41" s="53"/>
      <c r="U41" s="53">
        <v>896234</v>
      </c>
      <c r="V41" s="53"/>
      <c r="W41" s="53">
        <f t="shared" si="2"/>
        <v>5350594</v>
      </c>
      <c r="Z41" s="35" t="s">
        <v>54</v>
      </c>
      <c r="AA41" s="53"/>
      <c r="AB41" s="35" t="s">
        <v>55</v>
      </c>
      <c r="AC41" s="51"/>
      <c r="AD41" s="53">
        <v>1680501</v>
      </c>
      <c r="AE41" s="53"/>
      <c r="AF41" s="53">
        <f>1496675-207002</f>
        <v>1289673</v>
      </c>
      <c r="AG41" s="53"/>
      <c r="AH41" s="53">
        <v>207002</v>
      </c>
      <c r="AI41" s="53"/>
      <c r="AJ41" s="45">
        <f t="shared" si="3"/>
        <v>183826</v>
      </c>
      <c r="AK41" s="45"/>
      <c r="AL41" s="53">
        <v>43335</v>
      </c>
      <c r="AM41" s="45"/>
      <c r="AN41" s="53">
        <v>0</v>
      </c>
      <c r="AO41" s="53"/>
      <c r="AP41" s="53">
        <v>0</v>
      </c>
      <c r="AQ41" s="53"/>
      <c r="AR41" s="53">
        <v>0</v>
      </c>
      <c r="AS41" s="53"/>
      <c r="AT41" s="45">
        <f t="shared" si="4"/>
        <v>227161</v>
      </c>
      <c r="AU41" s="45"/>
      <c r="AV41" s="53">
        <v>0</v>
      </c>
      <c r="AW41" s="53"/>
      <c r="AX41" s="53">
        <v>0</v>
      </c>
      <c r="AY41" s="53"/>
      <c r="AZ41" s="53">
        <f t="shared" si="5"/>
        <v>1003762</v>
      </c>
      <c r="BA41" s="51"/>
      <c r="BB41" s="35" t="s">
        <v>54</v>
      </c>
      <c r="BD41" s="35" t="s">
        <v>55</v>
      </c>
      <c r="BE41" s="53"/>
      <c r="BF41" s="53">
        <v>0</v>
      </c>
      <c r="BG41" s="53"/>
      <c r="BH41" s="53">
        <v>0</v>
      </c>
      <c r="BI41" s="53"/>
      <c r="BJ41" s="53">
        <v>0</v>
      </c>
      <c r="BK41" s="53"/>
      <c r="BL41" s="53">
        <v>107528</v>
      </c>
      <c r="BM41" s="53"/>
      <c r="BN41" s="53">
        <f t="shared" si="6"/>
        <v>107528</v>
      </c>
      <c r="BO41" s="54"/>
      <c r="BS41" s="55"/>
      <c r="BT41" s="55"/>
      <c r="BU41" s="84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</row>
    <row r="42" spans="1:95" s="35" customFormat="1" ht="12.75" customHeight="1">
      <c r="A42" s="35" t="s">
        <v>56</v>
      </c>
      <c r="B42" s="51"/>
      <c r="C42" s="35" t="s">
        <v>57</v>
      </c>
      <c r="D42" s="44"/>
      <c r="E42" s="53">
        <f t="shared" si="0"/>
        <v>1375342</v>
      </c>
      <c r="F42" s="53"/>
      <c r="G42" s="53">
        <v>8281534</v>
      </c>
      <c r="H42" s="53"/>
      <c r="I42" s="53">
        <v>9656876</v>
      </c>
      <c r="J42" s="53"/>
      <c r="K42" s="53">
        <f t="shared" si="1"/>
        <v>490002</v>
      </c>
      <c r="L42" s="53"/>
      <c r="M42" s="53">
        <v>1479698</v>
      </c>
      <c r="N42" s="53"/>
      <c r="O42" s="53">
        <v>1969700</v>
      </c>
      <c r="P42" s="53"/>
      <c r="Q42" s="53">
        <v>6674159</v>
      </c>
      <c r="R42" s="53"/>
      <c r="S42" s="53">
        <v>0</v>
      </c>
      <c r="T42" s="53"/>
      <c r="U42" s="53">
        <v>1013017</v>
      </c>
      <c r="V42" s="53"/>
      <c r="W42" s="53">
        <f t="shared" si="2"/>
        <v>7687176</v>
      </c>
      <c r="X42" s="51"/>
      <c r="Y42" s="51"/>
      <c r="Z42" s="35" t="s">
        <v>56</v>
      </c>
      <c r="AA42" s="53"/>
      <c r="AB42" s="35" t="s">
        <v>57</v>
      </c>
      <c r="AC42" s="51"/>
      <c r="AD42" s="53">
        <v>2054135</v>
      </c>
      <c r="AE42" s="53"/>
      <c r="AF42" s="53">
        <f>2052293-362255</f>
        <v>1690038</v>
      </c>
      <c r="AG42" s="53"/>
      <c r="AH42" s="53">
        <v>362255</v>
      </c>
      <c r="AI42" s="53"/>
      <c r="AJ42" s="45">
        <f t="shared" si="3"/>
        <v>1842</v>
      </c>
      <c r="AK42" s="45"/>
      <c r="AL42" s="53">
        <v>-85576</v>
      </c>
      <c r="AM42" s="45"/>
      <c r="AN42" s="53">
        <v>0</v>
      </c>
      <c r="AO42" s="53"/>
      <c r="AP42" s="53">
        <v>0</v>
      </c>
      <c r="AQ42" s="53"/>
      <c r="AR42" s="53">
        <v>0</v>
      </c>
      <c r="AS42" s="53"/>
      <c r="AT42" s="45">
        <f t="shared" si="4"/>
        <v>-83734</v>
      </c>
      <c r="AU42" s="45"/>
      <c r="AV42" s="53">
        <v>0</v>
      </c>
      <c r="AW42" s="53"/>
      <c r="AX42" s="53">
        <v>0</v>
      </c>
      <c r="AY42" s="53"/>
      <c r="AZ42" s="53">
        <f t="shared" si="5"/>
        <v>885340</v>
      </c>
      <c r="BA42" s="51"/>
      <c r="BB42" s="35" t="s">
        <v>56</v>
      </c>
      <c r="BD42" s="35" t="s">
        <v>57</v>
      </c>
      <c r="BE42" s="53"/>
      <c r="BF42" s="53">
        <v>770000</v>
      </c>
      <c r="BG42" s="53"/>
      <c r="BH42" s="53">
        <v>0</v>
      </c>
      <c r="BI42" s="53"/>
      <c r="BJ42" s="53">
        <f>327111+136854</f>
        <v>463965</v>
      </c>
      <c r="BK42" s="53"/>
      <c r="BL42" s="53">
        <f>152297+93436</f>
        <v>245733</v>
      </c>
      <c r="BM42" s="53"/>
      <c r="BN42" s="53">
        <f t="shared" si="6"/>
        <v>1479698</v>
      </c>
      <c r="BO42" s="54"/>
      <c r="BP42" s="55"/>
      <c r="BS42" s="55"/>
      <c r="BT42" s="55"/>
      <c r="BU42" s="84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</row>
    <row r="43" spans="1:95" s="35" customFormat="1" ht="12.75" customHeight="1">
      <c r="A43" s="35" t="s">
        <v>58</v>
      </c>
      <c r="B43" s="51"/>
      <c r="C43" s="35" t="s">
        <v>59</v>
      </c>
      <c r="D43" s="44"/>
      <c r="E43" s="53">
        <f t="shared" si="0"/>
        <v>3484424</v>
      </c>
      <c r="F43" s="53"/>
      <c r="G43" s="53">
        <v>7901637</v>
      </c>
      <c r="H43" s="53"/>
      <c r="I43" s="53">
        <v>11386061</v>
      </c>
      <c r="J43" s="53"/>
      <c r="K43" s="53">
        <f t="shared" si="1"/>
        <v>777293</v>
      </c>
      <c r="L43" s="53"/>
      <c r="M43" s="53">
        <v>4033076</v>
      </c>
      <c r="N43" s="53"/>
      <c r="O43" s="53">
        <v>4810369</v>
      </c>
      <c r="P43" s="53"/>
      <c r="Q43" s="53">
        <v>3382537</v>
      </c>
      <c r="R43" s="53"/>
      <c r="S43" s="53">
        <v>0</v>
      </c>
      <c r="T43" s="53"/>
      <c r="U43" s="53">
        <v>3193155</v>
      </c>
      <c r="V43" s="53"/>
      <c r="W43" s="53">
        <f t="shared" si="2"/>
        <v>6575692</v>
      </c>
      <c r="X43" s="51"/>
      <c r="Y43" s="51"/>
      <c r="Z43" s="35" t="s">
        <v>58</v>
      </c>
      <c r="AA43" s="53"/>
      <c r="AB43" s="35" t="s">
        <v>59</v>
      </c>
      <c r="AC43" s="51"/>
      <c r="AD43" s="53">
        <v>2804101</v>
      </c>
      <c r="AE43" s="53"/>
      <c r="AF43" s="53">
        <f>2086565-404883</f>
        <v>1681682</v>
      </c>
      <c r="AG43" s="53"/>
      <c r="AH43" s="53">
        <v>404883</v>
      </c>
      <c r="AI43" s="53"/>
      <c r="AJ43" s="45">
        <f t="shared" si="3"/>
        <v>717536</v>
      </c>
      <c r="AK43" s="45"/>
      <c r="AL43" s="53">
        <v>-180077</v>
      </c>
      <c r="AM43" s="45"/>
      <c r="AN43" s="53">
        <v>0</v>
      </c>
      <c r="AO43" s="53"/>
      <c r="AP43" s="53">
        <v>0</v>
      </c>
      <c r="AQ43" s="53"/>
      <c r="AR43" s="53">
        <v>0</v>
      </c>
      <c r="AS43" s="53"/>
      <c r="AT43" s="45">
        <f t="shared" si="4"/>
        <v>537459</v>
      </c>
      <c r="AU43" s="45"/>
      <c r="AV43" s="53">
        <v>0</v>
      </c>
      <c r="AW43" s="53"/>
      <c r="AX43" s="53">
        <v>0</v>
      </c>
      <c r="AY43" s="53"/>
      <c r="AZ43" s="53">
        <f t="shared" si="5"/>
        <v>2707131</v>
      </c>
      <c r="BA43" s="51"/>
      <c r="BB43" s="35" t="s">
        <v>58</v>
      </c>
      <c r="BD43" s="35" t="s">
        <v>59</v>
      </c>
      <c r="BE43" s="53"/>
      <c r="BF43" s="53">
        <v>0</v>
      </c>
      <c r="BG43" s="53"/>
      <c r="BH43" s="53">
        <v>1580000</v>
      </c>
      <c r="BI43" s="53"/>
      <c r="BJ43" s="53">
        <f>119897+2223777</f>
        <v>2343674</v>
      </c>
      <c r="BK43" s="53"/>
      <c r="BL43" s="53">
        <f>87795+21607</f>
        <v>109402</v>
      </c>
      <c r="BM43" s="53"/>
      <c r="BN43" s="53">
        <f t="shared" si="6"/>
        <v>4033076</v>
      </c>
      <c r="BO43" s="54"/>
      <c r="BS43" s="55"/>
      <c r="BT43" s="55"/>
      <c r="BU43" s="84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</row>
    <row r="44" spans="1:95" s="142" customFormat="1" ht="12.75" hidden="1" customHeight="1">
      <c r="A44" s="137" t="s">
        <v>477</v>
      </c>
      <c r="B44" s="140"/>
      <c r="C44" s="142" t="s">
        <v>15</v>
      </c>
      <c r="D44" s="137"/>
      <c r="E44" s="156">
        <f>I44-G44</f>
        <v>0</v>
      </c>
      <c r="F44" s="156"/>
      <c r="G44" s="156"/>
      <c r="H44" s="156"/>
      <c r="I44" s="156"/>
      <c r="J44" s="156"/>
      <c r="K44" s="156">
        <f>O44-M44</f>
        <v>0</v>
      </c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>
        <f>SUM(Q44:U44)</f>
        <v>0</v>
      </c>
      <c r="X44" s="140"/>
      <c r="Y44" s="140"/>
      <c r="Z44" s="137" t="s">
        <v>62</v>
      </c>
      <c r="AA44" s="156"/>
      <c r="AB44" s="142" t="s">
        <v>15</v>
      </c>
      <c r="AC44" s="140"/>
      <c r="AD44" s="156"/>
      <c r="AE44" s="156"/>
      <c r="AF44" s="156"/>
      <c r="AG44" s="156"/>
      <c r="AH44" s="156"/>
      <c r="AI44" s="156"/>
      <c r="AJ44" s="143">
        <f t="shared" ref="AJ44:AJ81" si="7">+AD44-AF44-AH44</f>
        <v>0</v>
      </c>
      <c r="AK44" s="143"/>
      <c r="AL44" s="156"/>
      <c r="AM44" s="143"/>
      <c r="AN44" s="156"/>
      <c r="AO44" s="156"/>
      <c r="AP44" s="156"/>
      <c r="AQ44" s="156"/>
      <c r="AR44" s="156"/>
      <c r="AS44" s="156"/>
      <c r="AT44" s="143">
        <f t="shared" ref="AT44:AT81" si="8">+AJ44+AL44+AN44-AP44+AR44</f>
        <v>0</v>
      </c>
      <c r="AU44" s="143"/>
      <c r="AV44" s="156">
        <v>0</v>
      </c>
      <c r="AW44" s="156"/>
      <c r="AX44" s="156">
        <v>0</v>
      </c>
      <c r="AY44" s="156"/>
      <c r="AZ44" s="156">
        <f t="shared" ref="AZ44:AZ81" si="9">E44-K44</f>
        <v>0</v>
      </c>
      <c r="BA44" s="140"/>
      <c r="BB44" s="137" t="s">
        <v>62</v>
      </c>
      <c r="BD44" s="142" t="s">
        <v>15</v>
      </c>
      <c r="BE44" s="156"/>
      <c r="BF44" s="156"/>
      <c r="BG44" s="156"/>
      <c r="BH44" s="156"/>
      <c r="BI44" s="156"/>
      <c r="BJ44" s="156"/>
      <c r="BK44" s="156"/>
      <c r="BL44" s="156"/>
      <c r="BM44" s="156"/>
      <c r="BN44" s="156">
        <f>SUM(BF44:BL44)</f>
        <v>0</v>
      </c>
      <c r="BO44" s="158"/>
      <c r="BS44" s="159"/>
      <c r="BT44" s="159"/>
      <c r="BU44" s="160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</row>
    <row r="45" spans="1:95" s="142" customFormat="1" ht="12.75" hidden="1" customHeight="1">
      <c r="A45" s="142" t="s">
        <v>60</v>
      </c>
      <c r="C45" s="142" t="s">
        <v>61</v>
      </c>
      <c r="D45" s="137"/>
      <c r="E45" s="156">
        <f t="shared" si="0"/>
        <v>0</v>
      </c>
      <c r="F45" s="156"/>
      <c r="G45" s="156"/>
      <c r="H45" s="156"/>
      <c r="I45" s="156"/>
      <c r="J45" s="156"/>
      <c r="K45" s="156">
        <f t="shared" si="1"/>
        <v>0</v>
      </c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>
        <f t="shared" si="2"/>
        <v>0</v>
      </c>
      <c r="X45" s="140"/>
      <c r="Y45" s="140"/>
      <c r="Z45" s="142" t="s">
        <v>60</v>
      </c>
      <c r="AA45" s="156"/>
      <c r="AB45" s="142" t="s">
        <v>61</v>
      </c>
      <c r="AD45" s="156"/>
      <c r="AE45" s="156"/>
      <c r="AF45" s="156"/>
      <c r="AG45" s="156"/>
      <c r="AH45" s="156"/>
      <c r="AI45" s="156"/>
      <c r="AJ45" s="143">
        <f t="shared" si="7"/>
        <v>0</v>
      </c>
      <c r="AK45" s="143"/>
      <c r="AL45" s="156"/>
      <c r="AM45" s="143"/>
      <c r="AN45" s="156"/>
      <c r="AO45" s="156"/>
      <c r="AP45" s="156"/>
      <c r="AQ45" s="156"/>
      <c r="AR45" s="156"/>
      <c r="AS45" s="156"/>
      <c r="AT45" s="143">
        <f t="shared" si="8"/>
        <v>0</v>
      </c>
      <c r="AU45" s="143"/>
      <c r="AV45" s="156">
        <v>0</v>
      </c>
      <c r="AW45" s="156"/>
      <c r="AX45" s="156">
        <v>0</v>
      </c>
      <c r="AY45" s="156"/>
      <c r="AZ45" s="156">
        <f t="shared" si="9"/>
        <v>0</v>
      </c>
      <c r="BA45" s="140"/>
      <c r="BB45" s="142" t="s">
        <v>60</v>
      </c>
      <c r="BD45" s="142" t="s">
        <v>61</v>
      </c>
      <c r="BE45" s="156"/>
      <c r="BF45" s="156"/>
      <c r="BG45" s="156"/>
      <c r="BH45" s="156"/>
      <c r="BI45" s="156"/>
      <c r="BJ45" s="156"/>
      <c r="BK45" s="156"/>
      <c r="BL45" s="156"/>
      <c r="BM45" s="156"/>
      <c r="BN45" s="156">
        <f t="shared" si="6"/>
        <v>0</v>
      </c>
      <c r="BO45" s="158"/>
      <c r="BS45" s="159"/>
      <c r="BT45" s="159"/>
      <c r="BU45" s="160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</row>
    <row r="46" spans="1:95" s="35" customFormat="1" ht="12.75" customHeight="1">
      <c r="A46" s="44" t="s">
        <v>62</v>
      </c>
      <c r="B46" s="51"/>
      <c r="C46" s="35" t="s">
        <v>15</v>
      </c>
      <c r="D46" s="44"/>
      <c r="E46" s="53">
        <f t="shared" si="0"/>
        <v>12628724</v>
      </c>
      <c r="F46" s="53"/>
      <c r="G46" s="53">
        <v>39415584</v>
      </c>
      <c r="H46" s="53"/>
      <c r="I46" s="53">
        <v>52044308</v>
      </c>
      <c r="J46" s="53"/>
      <c r="K46" s="53">
        <f t="shared" si="1"/>
        <v>2772068</v>
      </c>
      <c r="L46" s="53"/>
      <c r="M46" s="53">
        <v>12456569</v>
      </c>
      <c r="N46" s="53"/>
      <c r="O46" s="53">
        <v>15228637</v>
      </c>
      <c r="P46" s="53"/>
      <c r="Q46" s="53">
        <v>25197277</v>
      </c>
      <c r="R46" s="53"/>
      <c r="S46" s="53">
        <v>0</v>
      </c>
      <c r="T46" s="53"/>
      <c r="U46" s="53">
        <v>11618394</v>
      </c>
      <c r="V46" s="53"/>
      <c r="W46" s="53">
        <f t="shared" si="2"/>
        <v>36815671</v>
      </c>
      <c r="X46" s="51"/>
      <c r="Y46" s="51"/>
      <c r="Z46" s="44" t="s">
        <v>62</v>
      </c>
      <c r="AA46" s="53"/>
      <c r="AB46" s="35" t="s">
        <v>15</v>
      </c>
      <c r="AC46" s="51"/>
      <c r="AD46" s="53">
        <v>12636294</v>
      </c>
      <c r="AE46" s="53"/>
      <c r="AF46" s="53">
        <f>9822971-1299288</f>
        <v>8523683</v>
      </c>
      <c r="AG46" s="53"/>
      <c r="AH46" s="53">
        <v>1299288</v>
      </c>
      <c r="AI46" s="53"/>
      <c r="AJ46" s="45">
        <f t="shared" si="7"/>
        <v>2813323</v>
      </c>
      <c r="AK46" s="45"/>
      <c r="AL46" s="53">
        <v>-578191</v>
      </c>
      <c r="AM46" s="45"/>
      <c r="AN46" s="53">
        <v>0</v>
      </c>
      <c r="AO46" s="53"/>
      <c r="AP46" s="53">
        <v>0</v>
      </c>
      <c r="AQ46" s="53"/>
      <c r="AR46" s="53">
        <v>14614</v>
      </c>
      <c r="AS46" s="53"/>
      <c r="AT46" s="45">
        <f t="shared" si="8"/>
        <v>2249746</v>
      </c>
      <c r="AU46" s="45"/>
      <c r="AV46" s="53">
        <v>0</v>
      </c>
      <c r="AW46" s="53"/>
      <c r="AX46" s="53">
        <v>0</v>
      </c>
      <c r="AY46" s="53"/>
      <c r="AZ46" s="53">
        <f t="shared" si="9"/>
        <v>9856656</v>
      </c>
      <c r="BA46" s="51"/>
      <c r="BB46" s="44" t="s">
        <v>62</v>
      </c>
      <c r="BD46" s="35" t="s">
        <v>15</v>
      </c>
      <c r="BE46" s="53"/>
      <c r="BF46" s="53">
        <v>0</v>
      </c>
      <c r="BG46" s="53"/>
      <c r="BH46" s="53">
        <v>0</v>
      </c>
      <c r="BI46" s="53"/>
      <c r="BJ46" s="53">
        <v>0</v>
      </c>
      <c r="BK46" s="53"/>
      <c r="BL46" s="53">
        <v>12456569</v>
      </c>
      <c r="BM46" s="53"/>
      <c r="BN46" s="53">
        <f t="shared" si="6"/>
        <v>12456569</v>
      </c>
      <c r="BO46" s="54"/>
      <c r="BS46" s="55"/>
      <c r="BT46" s="55"/>
      <c r="BU46" s="84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</row>
    <row r="47" spans="1:95" s="142" customFormat="1" ht="12.75" hidden="1" customHeight="1">
      <c r="A47" s="142" t="s">
        <v>486</v>
      </c>
      <c r="B47" s="140"/>
      <c r="C47" s="142" t="s">
        <v>111</v>
      </c>
      <c r="D47" s="137"/>
      <c r="E47" s="156">
        <f>I47-G47</f>
        <v>0</v>
      </c>
      <c r="F47" s="156"/>
      <c r="G47" s="156">
        <v>0</v>
      </c>
      <c r="H47" s="156"/>
      <c r="I47" s="156">
        <v>0</v>
      </c>
      <c r="J47" s="156"/>
      <c r="K47" s="156">
        <f>O47-M47</f>
        <v>0</v>
      </c>
      <c r="L47" s="156"/>
      <c r="M47" s="156">
        <v>0</v>
      </c>
      <c r="N47" s="156"/>
      <c r="O47" s="156">
        <v>0</v>
      </c>
      <c r="P47" s="156"/>
      <c r="Q47" s="156">
        <v>0</v>
      </c>
      <c r="R47" s="156"/>
      <c r="S47" s="156">
        <v>0</v>
      </c>
      <c r="T47" s="156"/>
      <c r="U47" s="156">
        <v>0</v>
      </c>
      <c r="V47" s="156"/>
      <c r="W47" s="156">
        <f>SUM(Q47:U47)</f>
        <v>0</v>
      </c>
      <c r="X47" s="140"/>
      <c r="Y47" s="140"/>
      <c r="Z47" s="142" t="s">
        <v>63</v>
      </c>
      <c r="AA47" s="156"/>
      <c r="AB47" s="142" t="s">
        <v>64</v>
      </c>
      <c r="AC47" s="140"/>
      <c r="AD47" s="156">
        <v>0</v>
      </c>
      <c r="AE47" s="156"/>
      <c r="AF47" s="156">
        <v>0</v>
      </c>
      <c r="AG47" s="156"/>
      <c r="AH47" s="156">
        <v>0</v>
      </c>
      <c r="AI47" s="156"/>
      <c r="AJ47" s="143">
        <f>+AD47-AF47-AH47</f>
        <v>0</v>
      </c>
      <c r="AK47" s="143"/>
      <c r="AL47" s="156">
        <v>0</v>
      </c>
      <c r="AM47" s="143"/>
      <c r="AN47" s="156">
        <v>0</v>
      </c>
      <c r="AO47" s="156"/>
      <c r="AP47" s="156">
        <v>0</v>
      </c>
      <c r="AQ47" s="156"/>
      <c r="AR47" s="156">
        <v>0</v>
      </c>
      <c r="AS47" s="156"/>
      <c r="AT47" s="143">
        <f>+AJ47+AL47+AN47-AP47+AR47</f>
        <v>0</v>
      </c>
      <c r="AU47" s="143"/>
      <c r="AV47" s="156">
        <v>0</v>
      </c>
      <c r="AW47" s="156"/>
      <c r="AX47" s="156">
        <v>0</v>
      </c>
      <c r="AY47" s="156"/>
      <c r="AZ47" s="156">
        <f>E47-K47</f>
        <v>0</v>
      </c>
      <c r="BA47" s="140"/>
      <c r="BB47" s="142" t="s">
        <v>63</v>
      </c>
      <c r="BD47" s="142" t="s">
        <v>64</v>
      </c>
      <c r="BE47" s="156"/>
      <c r="BF47" s="156">
        <v>0</v>
      </c>
      <c r="BG47" s="156"/>
      <c r="BH47" s="156">
        <v>0</v>
      </c>
      <c r="BI47" s="156"/>
      <c r="BJ47" s="156">
        <v>0</v>
      </c>
      <c r="BK47" s="156"/>
      <c r="BL47" s="156">
        <v>0</v>
      </c>
      <c r="BM47" s="156"/>
      <c r="BN47" s="156">
        <f>SUM(BF47:BL47)</f>
        <v>0</v>
      </c>
      <c r="BO47" s="158"/>
      <c r="BS47" s="159"/>
      <c r="BT47" s="159"/>
      <c r="BU47" s="160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</row>
    <row r="48" spans="1:95" s="35" customFormat="1" ht="12.75" customHeight="1">
      <c r="A48" s="35" t="s">
        <v>63</v>
      </c>
      <c r="B48" s="51"/>
      <c r="C48" s="35" t="s">
        <v>64</v>
      </c>
      <c r="D48" s="44"/>
      <c r="E48" s="53">
        <f t="shared" si="0"/>
        <v>979538</v>
      </c>
      <c r="F48" s="53"/>
      <c r="G48" s="53">
        <v>8335722</v>
      </c>
      <c r="H48" s="53"/>
      <c r="I48" s="53">
        <v>9315260</v>
      </c>
      <c r="J48" s="53"/>
      <c r="K48" s="53">
        <f t="shared" si="1"/>
        <v>1979719</v>
      </c>
      <c r="L48" s="53"/>
      <c r="M48" s="53">
        <v>3228588</v>
      </c>
      <c r="N48" s="53"/>
      <c r="O48" s="53">
        <v>5208307</v>
      </c>
      <c r="P48" s="53"/>
      <c r="Q48" s="53">
        <v>4394475</v>
      </c>
      <c r="R48" s="53"/>
      <c r="S48" s="53">
        <v>0</v>
      </c>
      <c r="T48" s="53"/>
      <c r="U48" s="53">
        <v>-287522</v>
      </c>
      <c r="V48" s="53"/>
      <c r="W48" s="53">
        <f t="shared" si="2"/>
        <v>4106953</v>
      </c>
      <c r="X48" s="51"/>
      <c r="Y48" s="51"/>
      <c r="Z48" s="35" t="s">
        <v>63</v>
      </c>
      <c r="AA48" s="53"/>
      <c r="AB48" s="35" t="s">
        <v>64</v>
      </c>
      <c r="AC48" s="51"/>
      <c r="AD48" s="53">
        <v>2327605</v>
      </c>
      <c r="AE48" s="53"/>
      <c r="AF48" s="53">
        <v>1791093</v>
      </c>
      <c r="AG48" s="53"/>
      <c r="AH48" s="53">
        <v>218385</v>
      </c>
      <c r="AI48" s="53"/>
      <c r="AJ48" s="45">
        <f t="shared" si="7"/>
        <v>318127</v>
      </c>
      <c r="AK48" s="45"/>
      <c r="AL48" s="53">
        <v>-74919</v>
      </c>
      <c r="AM48" s="45"/>
      <c r="AN48" s="53">
        <v>4700</v>
      </c>
      <c r="AO48" s="53"/>
      <c r="AP48" s="53">
        <v>128832</v>
      </c>
      <c r="AQ48" s="53"/>
      <c r="AR48" s="53">
        <v>37753</v>
      </c>
      <c r="AS48" s="53"/>
      <c r="AT48" s="45">
        <f t="shared" si="8"/>
        <v>156829</v>
      </c>
      <c r="AU48" s="45"/>
      <c r="AV48" s="53">
        <v>0</v>
      </c>
      <c r="AW48" s="53"/>
      <c r="AX48" s="53">
        <v>0</v>
      </c>
      <c r="AY48" s="53"/>
      <c r="AZ48" s="53">
        <f t="shared" si="9"/>
        <v>-1000181</v>
      </c>
      <c r="BA48" s="51"/>
      <c r="BB48" s="35" t="s">
        <v>63</v>
      </c>
      <c r="BD48" s="35" t="s">
        <v>64</v>
      </c>
      <c r="BE48" s="53"/>
      <c r="BF48" s="53">
        <v>660028</v>
      </c>
      <c r="BG48" s="53"/>
      <c r="BH48" s="53">
        <v>0</v>
      </c>
      <c r="BI48" s="53"/>
      <c r="BJ48" s="53">
        <v>2514976</v>
      </c>
      <c r="BK48" s="53"/>
      <c r="BL48" s="53">
        <v>53584</v>
      </c>
      <c r="BM48" s="53"/>
      <c r="BN48" s="53">
        <f t="shared" si="6"/>
        <v>3228588</v>
      </c>
      <c r="BO48" s="54"/>
      <c r="BS48" s="55"/>
      <c r="BT48" s="55"/>
      <c r="BU48" s="84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</row>
    <row r="49" spans="1:95" s="142" customFormat="1" ht="12.75" hidden="1" customHeight="1">
      <c r="A49" s="142" t="s">
        <v>65</v>
      </c>
      <c r="B49" s="140"/>
      <c r="C49" s="142" t="s">
        <v>66</v>
      </c>
      <c r="D49" s="137"/>
      <c r="E49" s="156">
        <f t="shared" si="0"/>
        <v>0</v>
      </c>
      <c r="F49" s="156"/>
      <c r="G49" s="156">
        <v>0</v>
      </c>
      <c r="H49" s="156"/>
      <c r="I49" s="156">
        <v>0</v>
      </c>
      <c r="J49" s="156"/>
      <c r="K49" s="156">
        <f t="shared" si="1"/>
        <v>0</v>
      </c>
      <c r="L49" s="156"/>
      <c r="M49" s="156">
        <v>0</v>
      </c>
      <c r="N49" s="156"/>
      <c r="O49" s="156">
        <v>0</v>
      </c>
      <c r="P49" s="156"/>
      <c r="Q49" s="156">
        <v>0</v>
      </c>
      <c r="R49" s="156"/>
      <c r="S49" s="156">
        <v>0</v>
      </c>
      <c r="T49" s="156"/>
      <c r="U49" s="156">
        <v>0</v>
      </c>
      <c r="V49" s="156"/>
      <c r="W49" s="156">
        <f t="shared" si="2"/>
        <v>0</v>
      </c>
      <c r="X49" s="140"/>
      <c r="Y49" s="140"/>
      <c r="Z49" s="142" t="s">
        <v>65</v>
      </c>
      <c r="AA49" s="156"/>
      <c r="AB49" s="142" t="s">
        <v>66</v>
      </c>
      <c r="AC49" s="140"/>
      <c r="AD49" s="156">
        <v>0</v>
      </c>
      <c r="AE49" s="156"/>
      <c r="AF49" s="156">
        <v>0</v>
      </c>
      <c r="AG49" s="156"/>
      <c r="AH49" s="156">
        <v>0</v>
      </c>
      <c r="AI49" s="156"/>
      <c r="AJ49" s="143">
        <f t="shared" si="7"/>
        <v>0</v>
      </c>
      <c r="AK49" s="143"/>
      <c r="AL49" s="156">
        <v>0</v>
      </c>
      <c r="AM49" s="143"/>
      <c r="AN49" s="156">
        <v>0</v>
      </c>
      <c r="AO49" s="156"/>
      <c r="AP49" s="156">
        <v>0</v>
      </c>
      <c r="AQ49" s="156"/>
      <c r="AR49" s="156">
        <v>0</v>
      </c>
      <c r="AS49" s="156"/>
      <c r="AT49" s="143">
        <f t="shared" si="8"/>
        <v>0</v>
      </c>
      <c r="AU49" s="143"/>
      <c r="AV49" s="156">
        <v>0</v>
      </c>
      <c r="AW49" s="156"/>
      <c r="AX49" s="156">
        <v>0</v>
      </c>
      <c r="AY49" s="156"/>
      <c r="AZ49" s="156">
        <f t="shared" si="9"/>
        <v>0</v>
      </c>
      <c r="BA49" s="140"/>
      <c r="BB49" s="142" t="s">
        <v>65</v>
      </c>
      <c r="BD49" s="142" t="s">
        <v>66</v>
      </c>
      <c r="BE49" s="156"/>
      <c r="BF49" s="156">
        <v>0</v>
      </c>
      <c r="BG49" s="156"/>
      <c r="BH49" s="156">
        <v>0</v>
      </c>
      <c r="BI49" s="156"/>
      <c r="BJ49" s="156">
        <v>0</v>
      </c>
      <c r="BK49" s="156"/>
      <c r="BL49" s="156">
        <v>0</v>
      </c>
      <c r="BM49" s="156"/>
      <c r="BN49" s="156">
        <f t="shared" si="6"/>
        <v>0</v>
      </c>
      <c r="BO49" s="158"/>
      <c r="BS49" s="159"/>
      <c r="BT49" s="159"/>
      <c r="BU49" s="160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</row>
    <row r="50" spans="1:95" s="35" customFormat="1" ht="12.75" customHeight="1">
      <c r="A50" s="35" t="s">
        <v>67</v>
      </c>
      <c r="B50" s="51"/>
      <c r="C50" s="35" t="s">
        <v>375</v>
      </c>
      <c r="D50" s="44"/>
      <c r="E50" s="53">
        <f t="shared" si="0"/>
        <v>2245616</v>
      </c>
      <c r="F50" s="53"/>
      <c r="G50" s="53">
        <v>10272930</v>
      </c>
      <c r="H50" s="53"/>
      <c r="I50" s="53">
        <v>12518546</v>
      </c>
      <c r="J50" s="53"/>
      <c r="K50" s="53">
        <f t="shared" si="1"/>
        <v>523702</v>
      </c>
      <c r="L50" s="53"/>
      <c r="M50" s="53">
        <v>3872077</v>
      </c>
      <c r="N50" s="53"/>
      <c r="O50" s="53">
        <v>4395779</v>
      </c>
      <c r="P50" s="53"/>
      <c r="Q50" s="53">
        <v>6483307</v>
      </c>
      <c r="R50" s="53"/>
      <c r="S50" s="53">
        <v>0</v>
      </c>
      <c r="T50" s="53"/>
      <c r="U50" s="53">
        <v>1639460</v>
      </c>
      <c r="V50" s="53"/>
      <c r="W50" s="53">
        <f t="shared" si="2"/>
        <v>8122767</v>
      </c>
      <c r="X50" s="51"/>
      <c r="Y50" s="51"/>
      <c r="Z50" s="35" t="s">
        <v>67</v>
      </c>
      <c r="AA50" s="53"/>
      <c r="AB50" s="35" t="s">
        <v>375</v>
      </c>
      <c r="AC50" s="51"/>
      <c r="AD50" s="53">
        <v>863565</v>
      </c>
      <c r="AE50" s="53"/>
      <c r="AF50" s="53">
        <f>784333-70977</f>
        <v>713356</v>
      </c>
      <c r="AG50" s="53"/>
      <c r="AH50" s="53">
        <v>70977</v>
      </c>
      <c r="AI50" s="53"/>
      <c r="AJ50" s="45">
        <f t="shared" si="7"/>
        <v>79232</v>
      </c>
      <c r="AK50" s="45"/>
      <c r="AL50" s="53">
        <v>763760</v>
      </c>
      <c r="AM50" s="45"/>
      <c r="AN50" s="53">
        <v>0</v>
      </c>
      <c r="AO50" s="53"/>
      <c r="AP50" s="53">
        <v>0</v>
      </c>
      <c r="AQ50" s="53"/>
      <c r="AR50" s="53">
        <v>319947</v>
      </c>
      <c r="AS50" s="53"/>
      <c r="AT50" s="45">
        <f t="shared" si="8"/>
        <v>1162939</v>
      </c>
      <c r="AU50" s="45"/>
      <c r="AV50" s="53">
        <v>0</v>
      </c>
      <c r="AW50" s="53"/>
      <c r="AX50" s="53">
        <v>0</v>
      </c>
      <c r="AY50" s="53"/>
      <c r="AZ50" s="53">
        <f t="shared" si="9"/>
        <v>1721914</v>
      </c>
      <c r="BA50" s="51"/>
      <c r="BB50" s="35" t="s">
        <v>67</v>
      </c>
      <c r="BD50" s="35" t="s">
        <v>375</v>
      </c>
      <c r="BE50" s="53"/>
      <c r="BF50" s="53">
        <v>0</v>
      </c>
      <c r="BG50" s="53"/>
      <c r="BH50" s="53">
        <v>0</v>
      </c>
      <c r="BI50" s="53"/>
      <c r="BJ50" s="53">
        <f>7800+3779223</f>
        <v>3787023</v>
      </c>
      <c r="BK50" s="53"/>
      <c r="BL50" s="53">
        <v>85054</v>
      </c>
      <c r="BM50" s="53"/>
      <c r="BN50" s="53">
        <f t="shared" si="6"/>
        <v>3872077</v>
      </c>
      <c r="BO50" s="54"/>
      <c r="BS50" s="55"/>
      <c r="BT50" s="55"/>
      <c r="BU50" s="84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</row>
    <row r="51" spans="1:95" s="142" customFormat="1" ht="12.75" hidden="1" customHeight="1">
      <c r="A51" s="142" t="s">
        <v>68</v>
      </c>
      <c r="B51" s="140"/>
      <c r="C51" s="142" t="s">
        <v>45</v>
      </c>
      <c r="D51" s="137"/>
      <c r="E51" s="156">
        <f t="shared" si="0"/>
        <v>0</v>
      </c>
      <c r="F51" s="156"/>
      <c r="G51" s="156">
        <v>0</v>
      </c>
      <c r="H51" s="156"/>
      <c r="I51" s="156">
        <v>0</v>
      </c>
      <c r="J51" s="156"/>
      <c r="K51" s="156">
        <f t="shared" si="1"/>
        <v>0</v>
      </c>
      <c r="L51" s="156"/>
      <c r="M51" s="156">
        <v>0</v>
      </c>
      <c r="N51" s="156"/>
      <c r="O51" s="156">
        <v>0</v>
      </c>
      <c r="P51" s="156"/>
      <c r="Q51" s="156">
        <v>0</v>
      </c>
      <c r="R51" s="156"/>
      <c r="S51" s="156">
        <v>0</v>
      </c>
      <c r="T51" s="156"/>
      <c r="U51" s="156">
        <v>0</v>
      </c>
      <c r="V51" s="156"/>
      <c r="W51" s="156">
        <f t="shared" si="2"/>
        <v>0</v>
      </c>
      <c r="X51" s="140"/>
      <c r="Y51" s="140"/>
      <c r="Z51" s="142" t="s">
        <v>68</v>
      </c>
      <c r="AA51" s="156"/>
      <c r="AB51" s="142" t="s">
        <v>45</v>
      </c>
      <c r="AC51" s="140"/>
      <c r="AD51" s="156">
        <v>0</v>
      </c>
      <c r="AE51" s="156"/>
      <c r="AF51" s="156">
        <v>0</v>
      </c>
      <c r="AG51" s="156"/>
      <c r="AH51" s="156">
        <v>0</v>
      </c>
      <c r="AI51" s="156"/>
      <c r="AJ51" s="143">
        <f t="shared" si="7"/>
        <v>0</v>
      </c>
      <c r="AK51" s="143"/>
      <c r="AL51" s="156">
        <v>0</v>
      </c>
      <c r="AM51" s="143"/>
      <c r="AN51" s="156">
        <v>0</v>
      </c>
      <c r="AO51" s="156"/>
      <c r="AP51" s="156">
        <v>0</v>
      </c>
      <c r="AQ51" s="156"/>
      <c r="AR51" s="156">
        <v>0</v>
      </c>
      <c r="AS51" s="156"/>
      <c r="AT51" s="143">
        <f t="shared" si="8"/>
        <v>0</v>
      </c>
      <c r="AU51" s="143"/>
      <c r="AV51" s="156">
        <v>0</v>
      </c>
      <c r="AW51" s="156"/>
      <c r="AX51" s="156">
        <v>0</v>
      </c>
      <c r="AY51" s="156"/>
      <c r="AZ51" s="156">
        <f t="shared" si="9"/>
        <v>0</v>
      </c>
      <c r="BA51" s="140"/>
      <c r="BB51" s="142" t="s">
        <v>68</v>
      </c>
      <c r="BD51" s="142" t="s">
        <v>45</v>
      </c>
      <c r="BE51" s="156"/>
      <c r="BF51" s="156">
        <v>0</v>
      </c>
      <c r="BG51" s="156"/>
      <c r="BH51" s="156">
        <v>0</v>
      </c>
      <c r="BI51" s="156"/>
      <c r="BJ51" s="156">
        <v>0</v>
      </c>
      <c r="BK51" s="156"/>
      <c r="BL51" s="156">
        <v>0</v>
      </c>
      <c r="BM51" s="156"/>
      <c r="BN51" s="156">
        <f t="shared" si="6"/>
        <v>0</v>
      </c>
      <c r="BO51" s="158"/>
      <c r="BP51" s="159"/>
      <c r="BQ51" s="159"/>
      <c r="BS51" s="159"/>
      <c r="BT51" s="159"/>
      <c r="BU51" s="160"/>
      <c r="BV51" s="159"/>
      <c r="BW51" s="159"/>
      <c r="BX51" s="159"/>
      <c r="BY51" s="159"/>
      <c r="BZ51" s="159"/>
      <c r="CA51" s="159"/>
      <c r="CB51" s="159"/>
      <c r="CC51" s="159"/>
      <c r="CD51" s="159"/>
      <c r="CE51" s="159"/>
      <c r="CF51" s="159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</row>
    <row r="52" spans="1:95" s="35" customFormat="1" ht="12.75" customHeight="1">
      <c r="A52" s="35" t="s">
        <v>69</v>
      </c>
      <c r="B52" s="51"/>
      <c r="C52" s="35" t="s">
        <v>70</v>
      </c>
      <c r="D52" s="44"/>
      <c r="E52" s="53">
        <f t="shared" si="0"/>
        <v>4068457</v>
      </c>
      <c r="F52" s="53"/>
      <c r="G52" s="53">
        <v>25159775</v>
      </c>
      <c r="H52" s="53"/>
      <c r="I52" s="53">
        <v>29228232</v>
      </c>
      <c r="J52" s="53"/>
      <c r="K52" s="53">
        <f t="shared" si="1"/>
        <v>1621938</v>
      </c>
      <c r="L52" s="53"/>
      <c r="M52" s="53">
        <v>7003695</v>
      </c>
      <c r="N52" s="53"/>
      <c r="O52" s="53">
        <v>8625633</v>
      </c>
      <c r="P52" s="53"/>
      <c r="Q52" s="53">
        <v>14302909</v>
      </c>
      <c r="R52" s="53"/>
      <c r="S52" s="53">
        <f>1578632+1200000</f>
        <v>2778632</v>
      </c>
      <c r="T52" s="53"/>
      <c r="U52" s="53">
        <v>3521058</v>
      </c>
      <c r="V52" s="53"/>
      <c r="W52" s="53">
        <f t="shared" si="2"/>
        <v>20602599</v>
      </c>
      <c r="X52" s="51"/>
      <c r="Y52" s="51"/>
      <c r="Z52" s="35" t="s">
        <v>69</v>
      </c>
      <c r="AA52" s="53"/>
      <c r="AB52" s="35" t="s">
        <v>70</v>
      </c>
      <c r="AC52" s="51"/>
      <c r="AD52" s="53">
        <v>4644175</v>
      </c>
      <c r="AE52" s="53"/>
      <c r="AF52" s="53">
        <f>3763100-677121</f>
        <v>3085979</v>
      </c>
      <c r="AG52" s="53"/>
      <c r="AH52" s="53">
        <v>677121</v>
      </c>
      <c r="AI52" s="53"/>
      <c r="AJ52" s="45">
        <f t="shared" si="7"/>
        <v>881075</v>
      </c>
      <c r="AK52" s="45"/>
      <c r="AL52" s="53">
        <v>-279316</v>
      </c>
      <c r="AM52" s="45"/>
      <c r="AN52" s="53">
        <v>0</v>
      </c>
      <c r="AO52" s="53"/>
      <c r="AP52" s="53">
        <v>5839</v>
      </c>
      <c r="AQ52" s="53"/>
      <c r="AR52" s="53">
        <v>0</v>
      </c>
      <c r="AS52" s="53"/>
      <c r="AT52" s="45">
        <f t="shared" si="8"/>
        <v>595920</v>
      </c>
      <c r="AU52" s="45"/>
      <c r="AV52" s="53">
        <v>0</v>
      </c>
      <c r="AW52" s="53"/>
      <c r="AX52" s="53">
        <v>0</v>
      </c>
      <c r="AY52" s="53"/>
      <c r="AZ52" s="53">
        <f t="shared" si="9"/>
        <v>2446519</v>
      </c>
      <c r="BA52" s="51"/>
      <c r="BB52" s="35" t="s">
        <v>69</v>
      </c>
      <c r="BD52" s="35" t="s">
        <v>70</v>
      </c>
      <c r="BE52" s="53"/>
      <c r="BF52" s="53">
        <v>0</v>
      </c>
      <c r="BG52" s="53"/>
      <c r="BH52" s="53">
        <v>6830285</v>
      </c>
      <c r="BI52" s="53"/>
      <c r="BJ52" s="53">
        <v>0</v>
      </c>
      <c r="BK52" s="53"/>
      <c r="BL52" s="53">
        <f>5283+168127</f>
        <v>173410</v>
      </c>
      <c r="BM52" s="53"/>
      <c r="BN52" s="53">
        <f t="shared" si="6"/>
        <v>7003695</v>
      </c>
      <c r="BO52" s="54"/>
      <c r="BS52" s="55"/>
      <c r="BT52" s="55"/>
      <c r="BU52" s="84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</row>
    <row r="53" spans="1:95" s="35" customFormat="1" ht="12.75" customHeight="1">
      <c r="A53" s="64" t="s">
        <v>71</v>
      </c>
      <c r="B53" s="64"/>
      <c r="C53" s="64" t="s">
        <v>45</v>
      </c>
      <c r="D53" s="46"/>
      <c r="E53" s="53">
        <f t="shared" si="0"/>
        <v>114984000</v>
      </c>
      <c r="F53" s="53"/>
      <c r="G53" s="53">
        <v>855722000</v>
      </c>
      <c r="H53" s="53"/>
      <c r="I53" s="53">
        <v>970706000</v>
      </c>
      <c r="J53" s="53"/>
      <c r="K53" s="53">
        <f t="shared" si="1"/>
        <v>45118000</v>
      </c>
      <c r="L53" s="53"/>
      <c r="M53" s="53">
        <v>360541000</v>
      </c>
      <c r="N53" s="53"/>
      <c r="O53" s="53">
        <v>405659000</v>
      </c>
      <c r="P53" s="53"/>
      <c r="Q53" s="53">
        <v>502383000</v>
      </c>
      <c r="R53" s="53"/>
      <c r="S53" s="53">
        <v>2138000</v>
      </c>
      <c r="T53" s="53"/>
      <c r="U53" s="53">
        <v>60526000</v>
      </c>
      <c r="V53" s="53"/>
      <c r="W53" s="53">
        <f t="shared" si="2"/>
        <v>565047000</v>
      </c>
      <c r="Z53" s="64" t="s">
        <v>71</v>
      </c>
      <c r="AA53" s="79"/>
      <c r="AB53" s="64" t="s">
        <v>45</v>
      </c>
      <c r="AC53" s="66"/>
      <c r="AD53" s="53">
        <v>121244000</v>
      </c>
      <c r="AE53" s="53"/>
      <c r="AF53" s="53">
        <f>94971000-21878000</f>
        <v>73093000</v>
      </c>
      <c r="AG53" s="53"/>
      <c r="AH53" s="53">
        <v>21878000</v>
      </c>
      <c r="AI53" s="53"/>
      <c r="AJ53" s="45">
        <f t="shared" si="7"/>
        <v>26273000</v>
      </c>
      <c r="AK53" s="45"/>
      <c r="AL53" s="53">
        <v>-2860000</v>
      </c>
      <c r="AM53" s="45"/>
      <c r="AN53" s="53">
        <v>0</v>
      </c>
      <c r="AO53" s="53"/>
      <c r="AP53" s="53">
        <v>0</v>
      </c>
      <c r="AQ53" s="53"/>
      <c r="AR53" s="53">
        <v>4935000</v>
      </c>
      <c r="AS53" s="53"/>
      <c r="AT53" s="45">
        <f t="shared" si="8"/>
        <v>28348000</v>
      </c>
      <c r="AU53" s="45"/>
      <c r="AV53" s="53">
        <v>0</v>
      </c>
      <c r="AW53" s="53"/>
      <c r="AX53" s="53">
        <v>0</v>
      </c>
      <c r="AY53" s="53"/>
      <c r="AZ53" s="53">
        <f t="shared" si="9"/>
        <v>69866000</v>
      </c>
      <c r="BA53" s="51"/>
      <c r="BB53" s="64" t="s">
        <v>71</v>
      </c>
      <c r="BC53" s="64"/>
      <c r="BD53" s="64" t="s">
        <v>45</v>
      </c>
      <c r="BE53" s="79"/>
      <c r="BF53" s="53">
        <v>11800000</v>
      </c>
      <c r="BG53" s="53"/>
      <c r="BH53" s="53">
        <v>332635000</v>
      </c>
      <c r="BI53" s="53"/>
      <c r="BJ53" s="53">
        <v>0</v>
      </c>
      <c r="BK53" s="53"/>
      <c r="BL53" s="53">
        <f>3656000+1394000</f>
        <v>5050000</v>
      </c>
      <c r="BM53" s="53"/>
      <c r="BN53" s="53">
        <f t="shared" si="6"/>
        <v>349485000</v>
      </c>
      <c r="BO53" s="54"/>
      <c r="BS53" s="55"/>
      <c r="BT53" s="55"/>
      <c r="BU53" s="84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</row>
    <row r="54" spans="1:95" s="35" customFormat="1" ht="12.75" customHeight="1">
      <c r="A54" s="44" t="s">
        <v>464</v>
      </c>
      <c r="B54" s="51"/>
      <c r="C54" s="44" t="s">
        <v>465</v>
      </c>
      <c r="D54" s="44"/>
      <c r="E54" s="53">
        <f t="shared" si="0"/>
        <v>5014411</v>
      </c>
      <c r="F54" s="53"/>
      <c r="G54" s="53">
        <v>6578887</v>
      </c>
      <c r="H54" s="53"/>
      <c r="I54" s="53">
        <v>11593298</v>
      </c>
      <c r="J54" s="53"/>
      <c r="K54" s="53">
        <f t="shared" si="1"/>
        <v>2142032</v>
      </c>
      <c r="L54" s="53"/>
      <c r="M54" s="53">
        <v>22360</v>
      </c>
      <c r="N54" s="53"/>
      <c r="O54" s="53">
        <v>2164392</v>
      </c>
      <c r="P54" s="53"/>
      <c r="Q54" s="53">
        <v>5676815</v>
      </c>
      <c r="R54" s="53"/>
      <c r="S54" s="53">
        <v>0</v>
      </c>
      <c r="T54" s="53"/>
      <c r="U54" s="53">
        <v>3752091</v>
      </c>
      <c r="V54" s="53"/>
      <c r="W54" s="53">
        <f t="shared" si="2"/>
        <v>9428906</v>
      </c>
      <c r="X54" s="51"/>
      <c r="Y54" s="51"/>
      <c r="Z54" s="44" t="s">
        <v>464</v>
      </c>
      <c r="AA54" s="51"/>
      <c r="AB54" s="44" t="s">
        <v>465</v>
      </c>
      <c r="AC54" s="51"/>
      <c r="AD54" s="53">
        <v>1581393</v>
      </c>
      <c r="AE54" s="53"/>
      <c r="AF54" s="53">
        <f>1385976-202194</f>
        <v>1183782</v>
      </c>
      <c r="AG54" s="53"/>
      <c r="AH54" s="53">
        <v>202194</v>
      </c>
      <c r="AI54" s="53"/>
      <c r="AJ54" s="45">
        <f t="shared" si="7"/>
        <v>195417</v>
      </c>
      <c r="AK54" s="45"/>
      <c r="AL54" s="53">
        <v>-14846</v>
      </c>
      <c r="AM54" s="45"/>
      <c r="AN54" s="53">
        <v>56688</v>
      </c>
      <c r="AO54" s="53"/>
      <c r="AP54" s="53">
        <v>0</v>
      </c>
      <c r="AQ54" s="53"/>
      <c r="AR54" s="53">
        <v>0</v>
      </c>
      <c r="AS54" s="53"/>
      <c r="AT54" s="45">
        <f t="shared" si="8"/>
        <v>237259</v>
      </c>
      <c r="AU54" s="45"/>
      <c r="AV54" s="53">
        <v>0</v>
      </c>
      <c r="AW54" s="53"/>
      <c r="AX54" s="53">
        <v>0</v>
      </c>
      <c r="AY54" s="53"/>
      <c r="AZ54" s="53">
        <f t="shared" si="9"/>
        <v>2872379</v>
      </c>
      <c r="BA54" s="51"/>
      <c r="BB54" s="44" t="s">
        <v>464</v>
      </c>
      <c r="BC54" s="51"/>
      <c r="BD54" s="44" t="s">
        <v>465</v>
      </c>
      <c r="BE54" s="53"/>
      <c r="BF54" s="53">
        <v>0</v>
      </c>
      <c r="BG54" s="53"/>
      <c r="BH54" s="53">
        <v>0</v>
      </c>
      <c r="BI54" s="53"/>
      <c r="BJ54" s="53">
        <v>0</v>
      </c>
      <c r="BK54" s="53"/>
      <c r="BL54" s="53">
        <v>22360</v>
      </c>
      <c r="BM54" s="53"/>
      <c r="BN54" s="53">
        <f t="shared" si="6"/>
        <v>22360</v>
      </c>
      <c r="BO54" s="54"/>
      <c r="BS54" s="55"/>
      <c r="BT54" s="55"/>
      <c r="BU54" s="84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</row>
    <row r="55" spans="1:95" s="35" customFormat="1" ht="12.75" customHeight="1">
      <c r="A55" s="35" t="s">
        <v>72</v>
      </c>
      <c r="B55" s="51"/>
      <c r="C55" s="35" t="s">
        <v>66</v>
      </c>
      <c r="D55" s="44"/>
      <c r="E55" s="53">
        <f t="shared" si="0"/>
        <v>158888</v>
      </c>
      <c r="F55" s="53"/>
      <c r="G55" s="53">
        <v>3883353</v>
      </c>
      <c r="H55" s="53"/>
      <c r="I55" s="53">
        <v>4042241</v>
      </c>
      <c r="J55" s="53"/>
      <c r="K55" s="53">
        <f t="shared" si="1"/>
        <v>3169</v>
      </c>
      <c r="L55" s="53"/>
      <c r="M55" s="53">
        <v>4283073</v>
      </c>
      <c r="N55" s="53"/>
      <c r="O55" s="53">
        <v>4286242</v>
      </c>
      <c r="P55" s="53"/>
      <c r="Q55" s="53">
        <v>-399720</v>
      </c>
      <c r="R55" s="53"/>
      <c r="S55" s="53">
        <v>0</v>
      </c>
      <c r="T55" s="53"/>
      <c r="U55" s="53">
        <v>155719</v>
      </c>
      <c r="V55" s="53"/>
      <c r="W55" s="53">
        <f t="shared" si="2"/>
        <v>-244001</v>
      </c>
      <c r="X55" s="51"/>
      <c r="Y55" s="51"/>
      <c r="Z55" s="35" t="s">
        <v>72</v>
      </c>
      <c r="AA55" s="53"/>
      <c r="AB55" s="35" t="s">
        <v>66</v>
      </c>
      <c r="AC55" s="51"/>
      <c r="AD55" s="53">
        <v>193040</v>
      </c>
      <c r="AE55" s="53"/>
      <c r="AF55" s="53">
        <f>120237-68530</f>
        <v>51707</v>
      </c>
      <c r="AG55" s="53"/>
      <c r="AH55" s="53">
        <v>68530</v>
      </c>
      <c r="AI55" s="53"/>
      <c r="AJ55" s="45">
        <f t="shared" si="7"/>
        <v>72803</v>
      </c>
      <c r="AK55" s="45"/>
      <c r="AL55" s="53">
        <v>0</v>
      </c>
      <c r="AM55" s="45"/>
      <c r="AN55" s="53">
        <v>0</v>
      </c>
      <c r="AO55" s="53"/>
      <c r="AP55" s="53">
        <v>0</v>
      </c>
      <c r="AQ55" s="53"/>
      <c r="AR55" s="53">
        <v>0</v>
      </c>
      <c r="AS55" s="53"/>
      <c r="AT55" s="45">
        <f t="shared" si="8"/>
        <v>72803</v>
      </c>
      <c r="AU55" s="45"/>
      <c r="AV55" s="53">
        <v>0</v>
      </c>
      <c r="AW55" s="53"/>
      <c r="AX55" s="53">
        <v>0</v>
      </c>
      <c r="AY55" s="53"/>
      <c r="AZ55" s="53">
        <f t="shared" si="9"/>
        <v>155719</v>
      </c>
      <c r="BA55" s="51"/>
      <c r="BB55" s="35" t="s">
        <v>72</v>
      </c>
      <c r="BD55" s="35" t="s">
        <v>66</v>
      </c>
      <c r="BE55" s="53"/>
      <c r="BF55" s="53">
        <v>0</v>
      </c>
      <c r="BG55" s="53"/>
      <c r="BH55" s="53">
        <v>0</v>
      </c>
      <c r="BI55" s="53"/>
      <c r="BJ55" s="53">
        <v>4283073</v>
      </c>
      <c r="BK55" s="53"/>
      <c r="BL55" s="53">
        <v>0</v>
      </c>
      <c r="BM55" s="53"/>
      <c r="BN55" s="53">
        <f t="shared" si="6"/>
        <v>4283073</v>
      </c>
      <c r="BO55" s="54"/>
      <c r="BS55" s="55"/>
      <c r="BT55" s="55"/>
      <c r="BU55" s="84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</row>
    <row r="56" spans="1:95" s="35" customFormat="1" ht="12.75" customHeight="1">
      <c r="A56" s="35" t="s">
        <v>73</v>
      </c>
      <c r="C56" s="35" t="s">
        <v>27</v>
      </c>
      <c r="D56" s="44"/>
      <c r="E56" s="53">
        <f t="shared" si="0"/>
        <v>313085000</v>
      </c>
      <c r="F56" s="53"/>
      <c r="G56" s="53">
        <v>1650581000</v>
      </c>
      <c r="H56" s="53"/>
      <c r="I56" s="53">
        <v>1963666000</v>
      </c>
      <c r="J56" s="53"/>
      <c r="K56" s="53">
        <f t="shared" si="1"/>
        <v>77002000</v>
      </c>
      <c r="L56" s="53"/>
      <c r="M56" s="53">
        <v>931062000</v>
      </c>
      <c r="N56" s="53"/>
      <c r="O56" s="53">
        <v>1008064000</v>
      </c>
      <c r="P56" s="53"/>
      <c r="Q56" s="53">
        <v>373466000</v>
      </c>
      <c r="R56" s="53"/>
      <c r="S56" s="53">
        <f>239828000+89814000</f>
        <v>329642000</v>
      </c>
      <c r="T56" s="53"/>
      <c r="U56" s="53">
        <v>252494000</v>
      </c>
      <c r="V56" s="53"/>
      <c r="W56" s="53">
        <f t="shared" si="2"/>
        <v>955602000</v>
      </c>
      <c r="X56" s="51"/>
      <c r="Y56" s="51"/>
      <c r="Z56" s="35" t="s">
        <v>73</v>
      </c>
      <c r="AA56" s="53"/>
      <c r="AB56" s="35" t="s">
        <v>27</v>
      </c>
      <c r="AD56" s="53">
        <v>240628000</v>
      </c>
      <c r="AE56" s="53"/>
      <c r="AF56" s="53">
        <f>179203000-38993000</f>
        <v>140210000</v>
      </c>
      <c r="AG56" s="53"/>
      <c r="AH56" s="53">
        <v>38993000</v>
      </c>
      <c r="AI56" s="53"/>
      <c r="AJ56" s="45">
        <f t="shared" si="7"/>
        <v>61425000</v>
      </c>
      <c r="AK56" s="45"/>
      <c r="AL56" s="53">
        <v>-7401000</v>
      </c>
      <c r="AM56" s="45"/>
      <c r="AN56" s="53">
        <v>0</v>
      </c>
      <c r="AO56" s="53"/>
      <c r="AP56" s="53">
        <v>0</v>
      </c>
      <c r="AQ56" s="53"/>
      <c r="AR56" s="53">
        <v>799000</v>
      </c>
      <c r="AS56" s="53"/>
      <c r="AT56" s="45">
        <f t="shared" si="8"/>
        <v>54823000</v>
      </c>
      <c r="AU56" s="45"/>
      <c r="AV56" s="53">
        <v>0</v>
      </c>
      <c r="AW56" s="53"/>
      <c r="AX56" s="53">
        <v>0</v>
      </c>
      <c r="AY56" s="53"/>
      <c r="AZ56" s="53">
        <f t="shared" si="9"/>
        <v>236083000</v>
      </c>
      <c r="BA56" s="51"/>
      <c r="BB56" s="35" t="s">
        <v>73</v>
      </c>
      <c r="BD56" s="35" t="s">
        <v>27</v>
      </c>
      <c r="BE56" s="53"/>
      <c r="BF56" s="53">
        <v>0</v>
      </c>
      <c r="BG56" s="53"/>
      <c r="BH56" s="53">
        <v>828152000</v>
      </c>
      <c r="BI56" s="53"/>
      <c r="BJ56" s="53">
        <v>100840000</v>
      </c>
      <c r="BK56" s="53"/>
      <c r="BL56" s="53">
        <v>2070000</v>
      </c>
      <c r="BM56" s="53"/>
      <c r="BN56" s="53">
        <f t="shared" si="6"/>
        <v>931062000</v>
      </c>
      <c r="BO56" s="54"/>
      <c r="BS56" s="55"/>
      <c r="BT56" s="55"/>
      <c r="BU56" s="84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</row>
    <row r="57" spans="1:95" s="142" customFormat="1" ht="12.75" hidden="1" customHeight="1">
      <c r="A57" s="142" t="s">
        <v>74</v>
      </c>
      <c r="B57" s="140"/>
      <c r="C57" s="142" t="s">
        <v>27</v>
      </c>
      <c r="D57" s="137"/>
      <c r="E57" s="156">
        <f t="shared" si="0"/>
        <v>0</v>
      </c>
      <c r="F57" s="156"/>
      <c r="G57" s="156">
        <v>0</v>
      </c>
      <c r="H57" s="156"/>
      <c r="I57" s="156">
        <v>0</v>
      </c>
      <c r="J57" s="156"/>
      <c r="K57" s="156">
        <f t="shared" si="1"/>
        <v>0</v>
      </c>
      <c r="L57" s="156"/>
      <c r="M57" s="156">
        <v>0</v>
      </c>
      <c r="N57" s="156"/>
      <c r="O57" s="156">
        <v>0</v>
      </c>
      <c r="P57" s="156"/>
      <c r="Q57" s="156">
        <v>0</v>
      </c>
      <c r="R57" s="156"/>
      <c r="S57" s="156">
        <v>0</v>
      </c>
      <c r="T57" s="156"/>
      <c r="U57" s="156">
        <v>0</v>
      </c>
      <c r="V57" s="156"/>
      <c r="W57" s="156">
        <f t="shared" si="2"/>
        <v>0</v>
      </c>
      <c r="X57" s="140"/>
      <c r="Y57" s="140"/>
      <c r="Z57" s="142" t="s">
        <v>74</v>
      </c>
      <c r="AA57" s="156"/>
      <c r="AB57" s="142" t="s">
        <v>27</v>
      </c>
      <c r="AC57" s="140"/>
      <c r="AD57" s="156">
        <v>0</v>
      </c>
      <c r="AE57" s="156"/>
      <c r="AF57" s="156">
        <v>0</v>
      </c>
      <c r="AG57" s="156"/>
      <c r="AH57" s="156">
        <v>0</v>
      </c>
      <c r="AI57" s="156"/>
      <c r="AJ57" s="143">
        <f t="shared" si="7"/>
        <v>0</v>
      </c>
      <c r="AK57" s="143"/>
      <c r="AL57" s="156">
        <v>0</v>
      </c>
      <c r="AM57" s="143"/>
      <c r="AN57" s="156">
        <v>0</v>
      </c>
      <c r="AO57" s="156"/>
      <c r="AP57" s="156">
        <v>0</v>
      </c>
      <c r="AQ57" s="156"/>
      <c r="AR57" s="156">
        <v>0</v>
      </c>
      <c r="AS57" s="156"/>
      <c r="AT57" s="143">
        <f t="shared" si="8"/>
        <v>0</v>
      </c>
      <c r="AU57" s="143"/>
      <c r="AV57" s="156">
        <v>0</v>
      </c>
      <c r="AW57" s="156"/>
      <c r="AX57" s="156">
        <v>0</v>
      </c>
      <c r="AY57" s="156"/>
      <c r="AZ57" s="156">
        <f t="shared" si="9"/>
        <v>0</v>
      </c>
      <c r="BA57" s="140"/>
      <c r="BB57" s="142" t="s">
        <v>74</v>
      </c>
      <c r="BD57" s="142" t="s">
        <v>27</v>
      </c>
      <c r="BE57" s="156"/>
      <c r="BF57" s="156">
        <v>0</v>
      </c>
      <c r="BG57" s="156"/>
      <c r="BH57" s="156">
        <v>0</v>
      </c>
      <c r="BI57" s="156"/>
      <c r="BJ57" s="156">
        <v>0</v>
      </c>
      <c r="BK57" s="156"/>
      <c r="BL57" s="156">
        <v>0</v>
      </c>
      <c r="BM57" s="156"/>
      <c r="BN57" s="156">
        <f t="shared" si="6"/>
        <v>0</v>
      </c>
      <c r="BO57" s="158"/>
      <c r="BS57" s="159"/>
      <c r="BT57" s="159"/>
      <c r="BU57" s="160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</row>
    <row r="58" spans="1:95" s="35" customFormat="1" ht="12.75" customHeight="1">
      <c r="A58" s="35" t="s">
        <v>75</v>
      </c>
      <c r="B58" s="51"/>
      <c r="C58" s="35" t="s">
        <v>76</v>
      </c>
      <c r="D58" s="44"/>
      <c r="E58" s="53">
        <f t="shared" si="0"/>
        <v>1497937</v>
      </c>
      <c r="F58" s="53"/>
      <c r="G58" s="53">
        <v>14625303</v>
      </c>
      <c r="H58" s="53"/>
      <c r="I58" s="53">
        <v>16123240</v>
      </c>
      <c r="J58" s="53"/>
      <c r="K58" s="53">
        <f t="shared" si="1"/>
        <v>465127</v>
      </c>
      <c r="L58" s="53"/>
      <c r="M58" s="53">
        <v>6724818</v>
      </c>
      <c r="N58" s="53"/>
      <c r="O58" s="53">
        <v>7189945</v>
      </c>
      <c r="P58" s="53"/>
      <c r="Q58" s="53">
        <v>6800090</v>
      </c>
      <c r="R58" s="53"/>
      <c r="S58" s="53">
        <v>879971</v>
      </c>
      <c r="T58" s="53"/>
      <c r="U58" s="53">
        <v>1253234</v>
      </c>
      <c r="V58" s="53"/>
      <c r="W58" s="53">
        <f t="shared" si="2"/>
        <v>8933295</v>
      </c>
      <c r="X58" s="51"/>
      <c r="Y58" s="51"/>
      <c r="Z58" s="35" t="s">
        <v>75</v>
      </c>
      <c r="AA58" s="53"/>
      <c r="AB58" s="35" t="s">
        <v>76</v>
      </c>
      <c r="AC58" s="51"/>
      <c r="AD58" s="53">
        <v>2258594</v>
      </c>
      <c r="AE58" s="53"/>
      <c r="AF58" s="53">
        <f>2250847-580210</f>
        <v>1670637</v>
      </c>
      <c r="AG58" s="53"/>
      <c r="AH58" s="53">
        <v>580210</v>
      </c>
      <c r="AI58" s="53"/>
      <c r="AJ58" s="45">
        <f t="shared" si="7"/>
        <v>7747</v>
      </c>
      <c r="AK58" s="45"/>
      <c r="AL58" s="53">
        <v>-268967</v>
      </c>
      <c r="AM58" s="45"/>
      <c r="AN58" s="53">
        <v>0</v>
      </c>
      <c r="AO58" s="53"/>
      <c r="AP58" s="53">
        <v>0</v>
      </c>
      <c r="AQ58" s="53"/>
      <c r="AR58" s="53">
        <v>0</v>
      </c>
      <c r="AS58" s="53"/>
      <c r="AT58" s="45">
        <f t="shared" si="8"/>
        <v>-261220</v>
      </c>
      <c r="AU58" s="45"/>
      <c r="AV58" s="53">
        <v>0</v>
      </c>
      <c r="AW58" s="53"/>
      <c r="AX58" s="53">
        <v>0</v>
      </c>
      <c r="AY58" s="53"/>
      <c r="AZ58" s="53">
        <f t="shared" si="9"/>
        <v>1032810</v>
      </c>
      <c r="BA58" s="51"/>
      <c r="BB58" s="35" t="s">
        <v>75</v>
      </c>
      <c r="BD58" s="35" t="s">
        <v>76</v>
      </c>
      <c r="BE58" s="53"/>
      <c r="BF58" s="53">
        <v>5620000</v>
      </c>
      <c r="BG58" s="53"/>
      <c r="BH58" s="53">
        <v>0</v>
      </c>
      <c r="BI58" s="53"/>
      <c r="BJ58" s="53">
        <v>1041377</v>
      </c>
      <c r="BK58" s="53"/>
      <c r="BL58" s="53">
        <v>63441</v>
      </c>
      <c r="BM58" s="53"/>
      <c r="BN58" s="53">
        <f t="shared" si="6"/>
        <v>6724818</v>
      </c>
      <c r="BO58" s="54"/>
      <c r="BS58" s="55"/>
      <c r="BT58" s="55"/>
      <c r="BU58" s="84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</row>
    <row r="59" spans="1:95" s="35" customFormat="1" ht="12.75" customHeight="1">
      <c r="A59" s="35" t="s">
        <v>77</v>
      </c>
      <c r="B59" s="51"/>
      <c r="C59" s="35" t="s">
        <v>43</v>
      </c>
      <c r="D59" s="44"/>
      <c r="E59" s="53">
        <f t="shared" si="0"/>
        <v>216678000</v>
      </c>
      <c r="F59" s="53"/>
      <c r="G59" s="53">
        <v>383417000</v>
      </c>
      <c r="H59" s="53"/>
      <c r="I59" s="53">
        <v>600095000</v>
      </c>
      <c r="J59" s="53"/>
      <c r="K59" s="53">
        <f t="shared" si="1"/>
        <v>44445000</v>
      </c>
      <c r="L59" s="53"/>
      <c r="M59" s="53">
        <v>336263000</v>
      </c>
      <c r="N59" s="53"/>
      <c r="O59" s="53">
        <v>380708000</v>
      </c>
      <c r="P59" s="53"/>
      <c r="Q59" s="53">
        <v>157207000</v>
      </c>
      <c r="R59" s="53"/>
      <c r="S59" s="53">
        <v>1896000</v>
      </c>
      <c r="T59" s="53"/>
      <c r="U59" s="53">
        <v>60284000</v>
      </c>
      <c r="V59" s="53"/>
      <c r="W59" s="53">
        <f t="shared" si="2"/>
        <v>219387000</v>
      </c>
      <c r="Z59" s="35" t="s">
        <v>77</v>
      </c>
      <c r="AA59" s="53"/>
      <c r="AB59" s="35" t="s">
        <v>43</v>
      </c>
      <c r="AC59" s="51"/>
      <c r="AD59" s="53">
        <v>118471000</v>
      </c>
      <c r="AE59" s="53"/>
      <c r="AF59" s="53">
        <f>96591000-15996000</f>
        <v>80595000</v>
      </c>
      <c r="AG59" s="53"/>
      <c r="AH59" s="53">
        <v>15996000</v>
      </c>
      <c r="AI59" s="53"/>
      <c r="AJ59" s="45">
        <f t="shared" si="7"/>
        <v>21880000</v>
      </c>
      <c r="AK59" s="45"/>
      <c r="AL59" s="53">
        <v>-7609000</v>
      </c>
      <c r="AM59" s="45"/>
      <c r="AN59" s="53">
        <v>76000</v>
      </c>
      <c r="AO59" s="53"/>
      <c r="AP59" s="53">
        <v>0</v>
      </c>
      <c r="AQ59" s="53"/>
      <c r="AR59" s="53">
        <v>0</v>
      </c>
      <c r="AS59" s="53"/>
      <c r="AT59" s="45">
        <f t="shared" si="8"/>
        <v>14347000</v>
      </c>
      <c r="AU59" s="45"/>
      <c r="AV59" s="53">
        <v>0</v>
      </c>
      <c r="AW59" s="53"/>
      <c r="AX59" s="53">
        <v>0</v>
      </c>
      <c r="AY59" s="53"/>
      <c r="AZ59" s="53">
        <f t="shared" si="9"/>
        <v>172233000</v>
      </c>
      <c r="BA59" s="51"/>
      <c r="BB59" s="35" t="s">
        <v>77</v>
      </c>
      <c r="BD59" s="35" t="s">
        <v>43</v>
      </c>
      <c r="BE59" s="53"/>
      <c r="BF59" s="53">
        <v>0</v>
      </c>
      <c r="BG59" s="53"/>
      <c r="BH59" s="53">
        <v>0</v>
      </c>
      <c r="BI59" s="53"/>
      <c r="BJ59" s="53">
        <v>336263000</v>
      </c>
      <c r="BK59" s="53"/>
      <c r="BL59" s="53">
        <v>0</v>
      </c>
      <c r="BM59" s="53"/>
      <c r="BN59" s="53">
        <f t="shared" si="6"/>
        <v>336263000</v>
      </c>
      <c r="BO59" s="54"/>
      <c r="BS59" s="55"/>
      <c r="BT59" s="55"/>
      <c r="BU59" s="84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</row>
    <row r="60" spans="1:95" s="35" customFormat="1" ht="12.75" customHeight="1">
      <c r="A60" s="35" t="s">
        <v>94</v>
      </c>
      <c r="B60" s="51"/>
      <c r="C60" s="35" t="s">
        <v>94</v>
      </c>
      <c r="D60" s="44"/>
      <c r="E60" s="53">
        <f>I60-G60</f>
        <v>667030</v>
      </c>
      <c r="F60" s="53"/>
      <c r="G60" s="53">
        <v>2295537</v>
      </c>
      <c r="H60" s="53"/>
      <c r="I60" s="53">
        <v>2962567</v>
      </c>
      <c r="J60" s="53"/>
      <c r="K60" s="53">
        <f>O60-M60</f>
        <v>965312</v>
      </c>
      <c r="L60" s="53"/>
      <c r="M60" s="53">
        <v>194388</v>
      </c>
      <c r="N60" s="53"/>
      <c r="O60" s="53">
        <v>1159700</v>
      </c>
      <c r="P60" s="53"/>
      <c r="Q60" s="53">
        <v>1215537</v>
      </c>
      <c r="R60" s="53"/>
      <c r="S60" s="53">
        <v>0</v>
      </c>
      <c r="T60" s="53"/>
      <c r="U60" s="53">
        <v>587330</v>
      </c>
      <c r="V60" s="53"/>
      <c r="W60" s="53">
        <f>SUM(Q60:U60)</f>
        <v>1802867</v>
      </c>
      <c r="X60" s="51"/>
      <c r="Y60" s="51"/>
      <c r="Z60" s="35" t="str">
        <f>+A60</f>
        <v>Columbiana</v>
      </c>
      <c r="AA60" s="53"/>
      <c r="AB60" s="35" t="s">
        <v>94</v>
      </c>
      <c r="AC60" s="51"/>
      <c r="AD60" s="53">
        <v>1039362</v>
      </c>
      <c r="AE60" s="53"/>
      <c r="AF60" s="53">
        <f>852988-56350</f>
        <v>796638</v>
      </c>
      <c r="AG60" s="53"/>
      <c r="AH60" s="53">
        <v>56350</v>
      </c>
      <c r="AI60" s="53"/>
      <c r="AJ60" s="45">
        <f t="shared" si="7"/>
        <v>186374</v>
      </c>
      <c r="AK60" s="45"/>
      <c r="AL60" s="53">
        <v>-36869</v>
      </c>
      <c r="AM60" s="45"/>
      <c r="AN60" s="53">
        <v>0</v>
      </c>
      <c r="AO60" s="53"/>
      <c r="AP60" s="53">
        <v>5079</v>
      </c>
      <c r="AQ60" s="53"/>
      <c r="AR60" s="53">
        <v>66570</v>
      </c>
      <c r="AS60" s="53"/>
      <c r="AT60" s="45">
        <f t="shared" si="8"/>
        <v>210996</v>
      </c>
      <c r="AU60" s="45"/>
      <c r="AV60" s="53">
        <v>0</v>
      </c>
      <c r="AW60" s="53"/>
      <c r="AX60" s="53">
        <v>0</v>
      </c>
      <c r="AY60" s="53"/>
      <c r="AZ60" s="53">
        <f t="shared" si="9"/>
        <v>-298282</v>
      </c>
      <c r="BA60" s="51"/>
      <c r="BB60" s="35" t="str">
        <f>+Z60</f>
        <v>Columbiana</v>
      </c>
      <c r="BD60" s="35" t="s">
        <v>94</v>
      </c>
      <c r="BE60" s="53"/>
      <c r="BF60" s="53">
        <v>185000</v>
      </c>
      <c r="BG60" s="53"/>
      <c r="BH60" s="53">
        <v>0</v>
      </c>
      <c r="BI60" s="53"/>
      <c r="BJ60" s="53">
        <v>0</v>
      </c>
      <c r="BK60" s="53"/>
      <c r="BL60" s="53">
        <v>9388</v>
      </c>
      <c r="BM60" s="53"/>
      <c r="BN60" s="53">
        <f>SUM(BF60:BL60)</f>
        <v>194388</v>
      </c>
      <c r="BO60" s="54"/>
      <c r="BS60" s="55"/>
      <c r="BT60" s="55"/>
      <c r="BU60" s="84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</row>
    <row r="61" spans="1:95" s="35" customFormat="1" ht="12.75" customHeight="1">
      <c r="A61" s="35" t="s">
        <v>78</v>
      </c>
      <c r="B61" s="51"/>
      <c r="C61" s="35" t="s">
        <v>19</v>
      </c>
      <c r="D61" s="44"/>
      <c r="E61" s="53">
        <f t="shared" si="0"/>
        <v>657455</v>
      </c>
      <c r="F61" s="53"/>
      <c r="G61" s="53">
        <v>6701301</v>
      </c>
      <c r="H61" s="53"/>
      <c r="I61" s="53">
        <v>7358756</v>
      </c>
      <c r="J61" s="53"/>
      <c r="K61" s="53">
        <f t="shared" si="1"/>
        <v>299304</v>
      </c>
      <c r="L61" s="53"/>
      <c r="M61" s="53">
        <v>1403182</v>
      </c>
      <c r="N61" s="53"/>
      <c r="O61" s="53">
        <v>1702486</v>
      </c>
      <c r="P61" s="53"/>
      <c r="Q61" s="53">
        <v>5278416</v>
      </c>
      <c r="R61" s="53"/>
      <c r="S61" s="53">
        <v>0</v>
      </c>
      <c r="T61" s="53"/>
      <c r="U61" s="53">
        <v>377854</v>
      </c>
      <c r="V61" s="53"/>
      <c r="W61" s="53">
        <f t="shared" si="2"/>
        <v>5656270</v>
      </c>
      <c r="Z61" s="35" t="s">
        <v>78</v>
      </c>
      <c r="AA61" s="53"/>
      <c r="AB61" s="35" t="s">
        <v>19</v>
      </c>
      <c r="AC61" s="51"/>
      <c r="AD61" s="53">
        <v>1927268</v>
      </c>
      <c r="AE61" s="53"/>
      <c r="AF61" s="53">
        <f>1706456-188009</f>
        <v>1518447</v>
      </c>
      <c r="AG61" s="53"/>
      <c r="AH61" s="53">
        <v>188009</v>
      </c>
      <c r="AI61" s="53"/>
      <c r="AJ61" s="45">
        <f t="shared" si="7"/>
        <v>220812</v>
      </c>
      <c r="AK61" s="45"/>
      <c r="AL61" s="53">
        <v>-57383</v>
      </c>
      <c r="AM61" s="45"/>
      <c r="AN61" s="53">
        <v>0</v>
      </c>
      <c r="AO61" s="53"/>
      <c r="AP61" s="53">
        <v>0</v>
      </c>
      <c r="AQ61" s="53"/>
      <c r="AR61" s="53">
        <v>13383</v>
      </c>
      <c r="AS61" s="53"/>
      <c r="AT61" s="45">
        <f t="shared" si="8"/>
        <v>176812</v>
      </c>
      <c r="AU61" s="45"/>
      <c r="AV61" s="53">
        <v>0</v>
      </c>
      <c r="AW61" s="53"/>
      <c r="AX61" s="53">
        <v>0</v>
      </c>
      <c r="AY61" s="53"/>
      <c r="AZ61" s="53">
        <f t="shared" si="9"/>
        <v>358151</v>
      </c>
      <c r="BA61" s="51"/>
      <c r="BB61" s="35" t="s">
        <v>78</v>
      </c>
      <c r="BD61" s="35" t="s">
        <v>19</v>
      </c>
      <c r="BE61" s="53"/>
      <c r="BF61" s="53">
        <v>671264</v>
      </c>
      <c r="BG61" s="53"/>
      <c r="BH61" s="53">
        <v>0</v>
      </c>
      <c r="BI61" s="53"/>
      <c r="BJ61" s="53">
        <f>329489+285923</f>
        <v>615412</v>
      </c>
      <c r="BK61" s="53"/>
      <c r="BL61" s="53">
        <v>116506</v>
      </c>
      <c r="BM61" s="53"/>
      <c r="BN61" s="53">
        <f t="shared" si="6"/>
        <v>1403182</v>
      </c>
      <c r="BO61" s="54"/>
      <c r="BS61" s="55"/>
      <c r="BT61" s="55"/>
      <c r="BU61" s="84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</row>
    <row r="62" spans="1:95" s="35" customFormat="1" ht="12.75" customHeight="1">
      <c r="A62" s="35" t="s">
        <v>79</v>
      </c>
      <c r="C62" s="35" t="s">
        <v>80</v>
      </c>
      <c r="D62" s="44"/>
      <c r="E62" s="53">
        <f t="shared" si="0"/>
        <v>331408</v>
      </c>
      <c r="F62" s="53"/>
      <c r="G62" s="53">
        <v>3851258</v>
      </c>
      <c r="H62" s="53"/>
      <c r="I62" s="53">
        <v>4182666</v>
      </c>
      <c r="J62" s="53"/>
      <c r="K62" s="53">
        <f t="shared" si="1"/>
        <v>166071</v>
      </c>
      <c r="L62" s="53"/>
      <c r="M62" s="53">
        <v>488135</v>
      </c>
      <c r="N62" s="53"/>
      <c r="O62" s="53">
        <v>654206</v>
      </c>
      <c r="P62" s="53"/>
      <c r="Q62" s="53">
        <v>3354236</v>
      </c>
      <c r="R62" s="53"/>
      <c r="S62" s="53">
        <v>0</v>
      </c>
      <c r="T62" s="53"/>
      <c r="U62" s="53">
        <v>174224</v>
      </c>
      <c r="V62" s="53"/>
      <c r="W62" s="53">
        <f t="shared" si="2"/>
        <v>3528460</v>
      </c>
      <c r="X62" s="51"/>
      <c r="Y62" s="51"/>
      <c r="Z62" s="35" t="s">
        <v>79</v>
      </c>
      <c r="AA62" s="53"/>
      <c r="AB62" s="35" t="s">
        <v>80</v>
      </c>
      <c r="AD62" s="53">
        <v>636162</v>
      </c>
      <c r="AE62" s="53"/>
      <c r="AF62" s="53">
        <f>406838-120005</f>
        <v>286833</v>
      </c>
      <c r="AG62" s="53"/>
      <c r="AH62" s="53">
        <v>120005</v>
      </c>
      <c r="AI62" s="53"/>
      <c r="AJ62" s="45">
        <f t="shared" si="7"/>
        <v>229324</v>
      </c>
      <c r="AK62" s="45"/>
      <c r="AL62" s="53">
        <v>-9635</v>
      </c>
      <c r="AM62" s="45"/>
      <c r="AN62" s="53">
        <v>0</v>
      </c>
      <c r="AO62" s="53"/>
      <c r="AP62" s="53">
        <v>0</v>
      </c>
      <c r="AQ62" s="53"/>
      <c r="AR62" s="53">
        <v>0</v>
      </c>
      <c r="AS62" s="53"/>
      <c r="AT62" s="45">
        <f t="shared" si="8"/>
        <v>219689</v>
      </c>
      <c r="AU62" s="45"/>
      <c r="AV62" s="53">
        <v>0</v>
      </c>
      <c r="AW62" s="53"/>
      <c r="AX62" s="53">
        <v>0</v>
      </c>
      <c r="AY62" s="53"/>
      <c r="AZ62" s="53">
        <f t="shared" si="9"/>
        <v>165337</v>
      </c>
      <c r="BA62" s="51"/>
      <c r="BB62" s="35" t="s">
        <v>79</v>
      </c>
      <c r="BD62" s="35" t="s">
        <v>80</v>
      </c>
      <c r="BE62" s="53"/>
      <c r="BF62" s="53">
        <v>0</v>
      </c>
      <c r="BG62" s="53"/>
      <c r="BH62" s="53">
        <v>0</v>
      </c>
      <c r="BI62" s="53"/>
      <c r="BJ62" s="53">
        <v>462943</v>
      </c>
      <c r="BK62" s="53"/>
      <c r="BL62" s="53">
        <v>25192</v>
      </c>
      <c r="BM62" s="53"/>
      <c r="BN62" s="53">
        <f t="shared" si="6"/>
        <v>488135</v>
      </c>
      <c r="BO62" s="54"/>
      <c r="BS62" s="55"/>
      <c r="BT62" s="55"/>
      <c r="BU62" s="84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</row>
    <row r="63" spans="1:95" s="35" customFormat="1" ht="12.75" customHeight="1">
      <c r="A63" s="35" t="s">
        <v>81</v>
      </c>
      <c r="C63" s="35" t="s">
        <v>81</v>
      </c>
      <c r="D63" s="44"/>
      <c r="E63" s="53">
        <f t="shared" si="0"/>
        <v>1172002</v>
      </c>
      <c r="F63" s="53"/>
      <c r="G63" s="53">
        <v>11951079</v>
      </c>
      <c r="H63" s="53"/>
      <c r="I63" s="53">
        <v>13123081</v>
      </c>
      <c r="J63" s="53"/>
      <c r="K63" s="53">
        <f t="shared" si="1"/>
        <v>1098953</v>
      </c>
      <c r="L63" s="53"/>
      <c r="M63" s="53">
        <v>9163628</v>
      </c>
      <c r="N63" s="53"/>
      <c r="O63" s="53">
        <v>10262581</v>
      </c>
      <c r="P63" s="53"/>
      <c r="Q63" s="53">
        <v>2968590</v>
      </c>
      <c r="R63" s="53"/>
      <c r="S63" s="53">
        <v>0</v>
      </c>
      <c r="T63" s="53"/>
      <c r="U63" s="53">
        <v>-108090</v>
      </c>
      <c r="V63" s="53"/>
      <c r="W63" s="53">
        <f t="shared" si="2"/>
        <v>2860500</v>
      </c>
      <c r="X63" s="51"/>
      <c r="Y63" s="51"/>
      <c r="Z63" s="35" t="s">
        <v>81</v>
      </c>
      <c r="AA63" s="53"/>
      <c r="AB63" s="35" t="s">
        <v>81</v>
      </c>
      <c r="AD63" s="53">
        <v>2957391</v>
      </c>
      <c r="AE63" s="53"/>
      <c r="AF63" s="53">
        <f>2321311-174013</f>
        <v>2147298</v>
      </c>
      <c r="AG63" s="53"/>
      <c r="AH63" s="53">
        <v>174013</v>
      </c>
      <c r="AI63" s="53"/>
      <c r="AJ63" s="45">
        <v>636080</v>
      </c>
      <c r="AK63" s="45"/>
      <c r="AL63" s="53">
        <v>-56535</v>
      </c>
      <c r="AM63" s="45"/>
      <c r="AN63" s="53">
        <v>0</v>
      </c>
      <c r="AO63" s="53"/>
      <c r="AP63" s="53">
        <v>0</v>
      </c>
      <c r="AQ63" s="53"/>
      <c r="AR63" s="53">
        <v>0</v>
      </c>
      <c r="AS63" s="53"/>
      <c r="AT63" s="45">
        <f t="shared" si="8"/>
        <v>579545</v>
      </c>
      <c r="AU63" s="45"/>
      <c r="AV63" s="53">
        <v>0</v>
      </c>
      <c r="AW63" s="53"/>
      <c r="AX63" s="53">
        <v>0</v>
      </c>
      <c r="AY63" s="53"/>
      <c r="AZ63" s="53">
        <f t="shared" si="9"/>
        <v>73049</v>
      </c>
      <c r="BA63" s="51"/>
      <c r="BB63" s="35" t="s">
        <v>81</v>
      </c>
      <c r="BD63" s="35" t="s">
        <v>81</v>
      </c>
      <c r="BE63" s="53"/>
      <c r="BF63" s="53">
        <v>0</v>
      </c>
      <c r="BG63" s="53"/>
      <c r="BH63" s="53">
        <v>0</v>
      </c>
      <c r="BI63" s="53"/>
      <c r="BJ63" s="53">
        <v>8982489</v>
      </c>
      <c r="BK63" s="53"/>
      <c r="BL63" s="53">
        <v>181139</v>
      </c>
      <c r="BM63" s="53"/>
      <c r="BN63" s="53">
        <f t="shared" si="6"/>
        <v>9163628</v>
      </c>
      <c r="BO63" s="54"/>
      <c r="BS63" s="55"/>
      <c r="BT63" s="55"/>
      <c r="BU63" s="84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</row>
    <row r="64" spans="1:95" s="35" customFormat="1" ht="12.75" customHeight="1">
      <c r="A64" s="47" t="s">
        <v>466</v>
      </c>
      <c r="B64" s="47"/>
      <c r="C64" s="47" t="s">
        <v>57</v>
      </c>
      <c r="D64" s="44"/>
      <c r="E64" s="53">
        <f t="shared" si="0"/>
        <v>697732</v>
      </c>
      <c r="F64" s="53"/>
      <c r="G64" s="53">
        <v>2877654</v>
      </c>
      <c r="H64" s="53"/>
      <c r="I64" s="53">
        <v>3575386</v>
      </c>
      <c r="J64" s="53"/>
      <c r="K64" s="53">
        <f t="shared" si="1"/>
        <v>167021</v>
      </c>
      <c r="L64" s="53"/>
      <c r="M64" s="53">
        <v>439271</v>
      </c>
      <c r="N64" s="53"/>
      <c r="O64" s="53">
        <v>606292</v>
      </c>
      <c r="P64" s="53"/>
      <c r="Q64" s="53">
        <v>2078354</v>
      </c>
      <c r="R64" s="53"/>
      <c r="S64" s="53">
        <f>60000+15000+179300</f>
        <v>254300</v>
      </c>
      <c r="T64" s="53"/>
      <c r="U64" s="53">
        <v>636440</v>
      </c>
      <c r="V64" s="53"/>
      <c r="W64" s="53">
        <f t="shared" si="2"/>
        <v>2969094</v>
      </c>
      <c r="X64" s="51"/>
      <c r="Y64" s="51"/>
      <c r="Z64" s="47" t="s">
        <v>466</v>
      </c>
      <c r="AA64" s="47"/>
      <c r="AB64" s="47" t="s">
        <v>57</v>
      </c>
      <c r="AC64" s="51"/>
      <c r="AD64" s="53">
        <v>850285</v>
      </c>
      <c r="AE64" s="53"/>
      <c r="AF64" s="53">
        <f>620404-98006</f>
        <v>522398</v>
      </c>
      <c r="AG64" s="53"/>
      <c r="AH64" s="53">
        <v>98006</v>
      </c>
      <c r="AI64" s="53"/>
      <c r="AJ64" s="45">
        <f t="shared" si="7"/>
        <v>229881</v>
      </c>
      <c r="AK64" s="45"/>
      <c r="AL64" s="53">
        <v>-18744</v>
      </c>
      <c r="AM64" s="45"/>
      <c r="AN64" s="53">
        <v>0</v>
      </c>
      <c r="AO64" s="53"/>
      <c r="AP64" s="53">
        <v>14000</v>
      </c>
      <c r="AQ64" s="53"/>
      <c r="AR64" s="53">
        <v>0</v>
      </c>
      <c r="AS64" s="53"/>
      <c r="AT64" s="45">
        <f t="shared" si="8"/>
        <v>197137</v>
      </c>
      <c r="AU64" s="45"/>
      <c r="AV64" s="53">
        <v>0</v>
      </c>
      <c r="AW64" s="53"/>
      <c r="AX64" s="53">
        <v>0</v>
      </c>
      <c r="AY64" s="53"/>
      <c r="AZ64" s="53">
        <f t="shared" si="9"/>
        <v>530711</v>
      </c>
      <c r="BA64" s="51"/>
      <c r="BB64" s="47" t="s">
        <v>466</v>
      </c>
      <c r="BC64" s="47"/>
      <c r="BD64" s="47" t="s">
        <v>57</v>
      </c>
      <c r="BE64" s="53"/>
      <c r="BF64" s="53">
        <v>0</v>
      </c>
      <c r="BG64" s="53"/>
      <c r="BH64" s="53">
        <v>420000</v>
      </c>
      <c r="BI64" s="53"/>
      <c r="BJ64" s="53">
        <v>0</v>
      </c>
      <c r="BK64" s="53"/>
      <c r="BL64" s="53">
        <v>19271</v>
      </c>
      <c r="BM64" s="53"/>
      <c r="BN64" s="53">
        <f t="shared" si="6"/>
        <v>439271</v>
      </c>
      <c r="BO64" s="54"/>
      <c r="BS64" s="55"/>
      <c r="BT64" s="55"/>
      <c r="BU64" s="84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</row>
    <row r="65" spans="1:95" s="35" customFormat="1" ht="12.75" customHeight="1">
      <c r="A65" s="35" t="s">
        <v>82</v>
      </c>
      <c r="B65" s="51"/>
      <c r="C65" s="35" t="s">
        <v>13</v>
      </c>
      <c r="D65" s="44"/>
      <c r="E65" s="53">
        <f t="shared" si="0"/>
        <v>2694067</v>
      </c>
      <c r="F65" s="53"/>
      <c r="G65" s="53">
        <v>17651976</v>
      </c>
      <c r="H65" s="53"/>
      <c r="I65" s="53">
        <v>20346043</v>
      </c>
      <c r="J65" s="53"/>
      <c r="K65" s="53">
        <f t="shared" si="1"/>
        <v>1153733</v>
      </c>
      <c r="L65" s="53"/>
      <c r="M65" s="53">
        <v>8253239</v>
      </c>
      <c r="N65" s="53"/>
      <c r="O65" s="53">
        <v>9406972</v>
      </c>
      <c r="P65" s="53"/>
      <c r="Q65" s="53">
        <v>9250862</v>
      </c>
      <c r="R65" s="53"/>
      <c r="S65" s="53">
        <v>0</v>
      </c>
      <c r="T65" s="53"/>
      <c r="U65" s="53">
        <v>1688209</v>
      </c>
      <c r="V65" s="53"/>
      <c r="W65" s="53">
        <f t="shared" si="2"/>
        <v>10939071</v>
      </c>
      <c r="X65" s="51"/>
      <c r="Y65" s="51"/>
      <c r="Z65" s="35" t="s">
        <v>82</v>
      </c>
      <c r="AA65" s="53"/>
      <c r="AB65" s="35" t="s">
        <v>13</v>
      </c>
      <c r="AC65" s="51"/>
      <c r="AD65" s="53">
        <v>4850997</v>
      </c>
      <c r="AE65" s="53"/>
      <c r="AF65" s="53">
        <f>4736833-787523</f>
        <v>3949310</v>
      </c>
      <c r="AG65" s="53"/>
      <c r="AH65" s="53">
        <v>787523</v>
      </c>
      <c r="AI65" s="53"/>
      <c r="AJ65" s="45">
        <f t="shared" si="7"/>
        <v>114164</v>
      </c>
      <c r="AK65" s="45"/>
      <c r="AL65" s="53">
        <v>-397895</v>
      </c>
      <c r="AM65" s="45"/>
      <c r="AN65" s="53">
        <v>15391</v>
      </c>
      <c r="AO65" s="53"/>
      <c r="AP65" s="53"/>
      <c r="AQ65" s="53"/>
      <c r="AR65" s="53">
        <v>1790259</v>
      </c>
      <c r="AS65" s="53"/>
      <c r="AT65" s="45">
        <f t="shared" si="8"/>
        <v>1521919</v>
      </c>
      <c r="AU65" s="45"/>
      <c r="AV65" s="53">
        <v>0</v>
      </c>
      <c r="AW65" s="53"/>
      <c r="AX65" s="53">
        <v>0</v>
      </c>
      <c r="AY65" s="53"/>
      <c r="AZ65" s="53">
        <f t="shared" si="9"/>
        <v>1540334</v>
      </c>
      <c r="BA65" s="51"/>
      <c r="BB65" s="35" t="s">
        <v>82</v>
      </c>
      <c r="BD65" s="35" t="s">
        <v>13</v>
      </c>
      <c r="BE65" s="53"/>
      <c r="BF65" s="53">
        <f>1272706+3185206+4075000</f>
        <v>8532912</v>
      </c>
      <c r="BG65" s="53"/>
      <c r="BH65" s="53">
        <v>0</v>
      </c>
      <c r="BI65" s="53"/>
      <c r="BJ65" s="53">
        <v>0</v>
      </c>
      <c r="BK65" s="53"/>
      <c r="BL65" s="53">
        <v>0</v>
      </c>
      <c r="BM65" s="53"/>
      <c r="BN65" s="53">
        <f t="shared" si="6"/>
        <v>8532912</v>
      </c>
      <c r="BO65" s="54"/>
      <c r="BS65" s="55"/>
      <c r="BT65" s="55"/>
      <c r="BU65" s="84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</row>
    <row r="66" spans="1:95" s="35" customFormat="1" ht="12.75" customHeight="1">
      <c r="A66" s="35" t="s">
        <v>83</v>
      </c>
      <c r="B66" s="51"/>
      <c r="C66" s="35" t="s">
        <v>66</v>
      </c>
      <c r="D66" s="44"/>
      <c r="E66" s="53">
        <f t="shared" si="0"/>
        <v>48129821</v>
      </c>
      <c r="F66" s="53"/>
      <c r="G66" s="53">
        <v>114798348</v>
      </c>
      <c r="H66" s="53"/>
      <c r="I66" s="53">
        <v>162928169</v>
      </c>
      <c r="J66" s="53"/>
      <c r="K66" s="53">
        <f t="shared" si="1"/>
        <v>6535709</v>
      </c>
      <c r="L66" s="53"/>
      <c r="M66" s="53">
        <v>40403617</v>
      </c>
      <c r="N66" s="53"/>
      <c r="O66" s="53">
        <v>46939326</v>
      </c>
      <c r="P66" s="53"/>
      <c r="Q66" s="53">
        <v>165742482</v>
      </c>
      <c r="R66" s="53"/>
      <c r="S66" s="53">
        <v>0</v>
      </c>
      <c r="T66" s="53"/>
      <c r="U66" s="53">
        <v>62208733</v>
      </c>
      <c r="V66" s="53"/>
      <c r="W66" s="53">
        <f t="shared" si="2"/>
        <v>227951215</v>
      </c>
      <c r="Z66" s="35" t="s">
        <v>83</v>
      </c>
      <c r="AA66" s="53"/>
      <c r="AB66" s="35" t="s">
        <v>66</v>
      </c>
      <c r="AC66" s="51"/>
      <c r="AD66" s="53">
        <v>39311221</v>
      </c>
      <c r="AE66" s="53"/>
      <c r="AF66" s="53">
        <f>31091480-7912869</f>
        <v>23178611</v>
      </c>
      <c r="AG66" s="53"/>
      <c r="AH66" s="53">
        <v>7912869</v>
      </c>
      <c r="AI66" s="53"/>
      <c r="AJ66" s="45">
        <f t="shared" si="7"/>
        <v>8219741</v>
      </c>
      <c r="AK66" s="45"/>
      <c r="AL66" s="53">
        <v>-1206115</v>
      </c>
      <c r="AM66" s="45"/>
      <c r="AN66" s="53">
        <v>239196</v>
      </c>
      <c r="AO66" s="53"/>
      <c r="AP66" s="53">
        <v>0</v>
      </c>
      <c r="AQ66" s="53"/>
      <c r="AR66" s="53">
        <v>15058562</v>
      </c>
      <c r="AS66" s="53"/>
      <c r="AT66" s="45">
        <f t="shared" si="8"/>
        <v>22311384</v>
      </c>
      <c r="AU66" s="45"/>
      <c r="AV66" s="53">
        <v>0</v>
      </c>
      <c r="AW66" s="53"/>
      <c r="AX66" s="53">
        <v>0</v>
      </c>
      <c r="AY66" s="53"/>
      <c r="AZ66" s="53">
        <f t="shared" si="9"/>
        <v>41594112</v>
      </c>
      <c r="BA66" s="51"/>
      <c r="BB66" s="35" t="s">
        <v>83</v>
      </c>
      <c r="BD66" s="35" t="s">
        <v>66</v>
      </c>
      <c r="BE66" s="53"/>
      <c r="BF66" s="53">
        <v>1885000</v>
      </c>
      <c r="BG66" s="53"/>
      <c r="BH66" s="53">
        <v>37917904</v>
      </c>
      <c r="BI66" s="53"/>
      <c r="BJ66" s="53">
        <v>0</v>
      </c>
      <c r="BK66" s="53"/>
      <c r="BL66" s="53">
        <v>600713</v>
      </c>
      <c r="BM66" s="53"/>
      <c r="BN66" s="53">
        <f t="shared" si="6"/>
        <v>40403617</v>
      </c>
      <c r="BO66" s="54"/>
      <c r="BS66" s="55"/>
      <c r="BT66" s="55"/>
      <c r="BU66" s="84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</row>
    <row r="67" spans="1:95" s="142" customFormat="1" ht="12.75" hidden="1" customHeight="1">
      <c r="A67" s="142" t="s">
        <v>84</v>
      </c>
      <c r="B67" s="140"/>
      <c r="C67" s="142" t="s">
        <v>45</v>
      </c>
      <c r="D67" s="137"/>
      <c r="E67" s="156">
        <f t="shared" si="0"/>
        <v>0</v>
      </c>
      <c r="F67" s="156"/>
      <c r="G67" s="156"/>
      <c r="H67" s="156"/>
      <c r="I67" s="156"/>
      <c r="J67" s="156"/>
      <c r="K67" s="156">
        <f t="shared" si="1"/>
        <v>0</v>
      </c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>
        <f t="shared" si="2"/>
        <v>0</v>
      </c>
      <c r="X67" s="140"/>
      <c r="Y67" s="140"/>
      <c r="Z67" s="142" t="s">
        <v>84</v>
      </c>
      <c r="AA67" s="156"/>
      <c r="AB67" s="142" t="s">
        <v>45</v>
      </c>
      <c r="AC67" s="140"/>
      <c r="AD67" s="156"/>
      <c r="AE67" s="156"/>
      <c r="AF67" s="156"/>
      <c r="AG67" s="156"/>
      <c r="AH67" s="156"/>
      <c r="AI67" s="156"/>
      <c r="AJ67" s="143">
        <f t="shared" si="7"/>
        <v>0</v>
      </c>
      <c r="AK67" s="143"/>
      <c r="AL67" s="156"/>
      <c r="AM67" s="143"/>
      <c r="AN67" s="156"/>
      <c r="AO67" s="156"/>
      <c r="AP67" s="156"/>
      <c r="AQ67" s="156"/>
      <c r="AR67" s="156"/>
      <c r="AS67" s="156"/>
      <c r="AT67" s="143">
        <f t="shared" si="8"/>
        <v>0</v>
      </c>
      <c r="AU67" s="143"/>
      <c r="AV67" s="156">
        <v>0</v>
      </c>
      <c r="AW67" s="156"/>
      <c r="AX67" s="156">
        <v>0</v>
      </c>
      <c r="AY67" s="156"/>
      <c r="AZ67" s="156">
        <f t="shared" si="9"/>
        <v>0</v>
      </c>
      <c r="BA67" s="140"/>
      <c r="BB67" s="142" t="s">
        <v>84</v>
      </c>
      <c r="BD67" s="142" t="s">
        <v>45</v>
      </c>
      <c r="BE67" s="156"/>
      <c r="BF67" s="156"/>
      <c r="BG67" s="156"/>
      <c r="BH67" s="156"/>
      <c r="BI67" s="156"/>
      <c r="BJ67" s="156"/>
      <c r="BK67" s="156"/>
      <c r="BL67" s="156"/>
      <c r="BM67" s="156"/>
      <c r="BN67" s="156">
        <f t="shared" si="6"/>
        <v>0</v>
      </c>
      <c r="BO67" s="158"/>
      <c r="BS67" s="159"/>
      <c r="BT67" s="159"/>
      <c r="BU67" s="160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</row>
    <row r="68" spans="1:95" s="35" customFormat="1" ht="12.75" customHeight="1">
      <c r="A68" s="35" t="s">
        <v>85</v>
      </c>
      <c r="B68" s="51"/>
      <c r="C68" s="35" t="s">
        <v>85</v>
      </c>
      <c r="D68" s="44"/>
      <c r="E68" s="53">
        <f t="shared" si="0"/>
        <v>1095380</v>
      </c>
      <c r="F68" s="53"/>
      <c r="G68" s="53">
        <v>24598146</v>
      </c>
      <c r="H68" s="53"/>
      <c r="I68" s="53">
        <v>25693526</v>
      </c>
      <c r="J68" s="53"/>
      <c r="K68" s="53">
        <f t="shared" si="1"/>
        <v>1255051</v>
      </c>
      <c r="L68" s="53"/>
      <c r="M68" s="53">
        <v>16847086</v>
      </c>
      <c r="N68" s="53"/>
      <c r="O68" s="53">
        <v>18102137</v>
      </c>
      <c r="P68" s="53"/>
      <c r="Q68" s="53">
        <v>7231366</v>
      </c>
      <c r="R68" s="53"/>
      <c r="S68" s="53">
        <v>0</v>
      </c>
      <c r="T68" s="53"/>
      <c r="U68" s="53">
        <v>360023</v>
      </c>
      <c r="V68" s="53"/>
      <c r="W68" s="53">
        <f t="shared" si="2"/>
        <v>7591389</v>
      </c>
      <c r="X68" s="51"/>
      <c r="Y68" s="51"/>
      <c r="Z68" s="35" t="s">
        <v>85</v>
      </c>
      <c r="AA68" s="53"/>
      <c r="AB68" s="35" t="s">
        <v>85</v>
      </c>
      <c r="AC68" s="51"/>
      <c r="AD68" s="53">
        <v>4020403</v>
      </c>
      <c r="AE68" s="53"/>
      <c r="AF68" s="53">
        <f>3215934-557226</f>
        <v>2658708</v>
      </c>
      <c r="AG68" s="53"/>
      <c r="AH68" s="53">
        <v>557226</v>
      </c>
      <c r="AI68" s="53"/>
      <c r="AJ68" s="45">
        <f t="shared" si="7"/>
        <v>804469</v>
      </c>
      <c r="AK68" s="45"/>
      <c r="AL68" s="53">
        <v>-556973</v>
      </c>
      <c r="AM68" s="45"/>
      <c r="AN68" s="53">
        <v>11400</v>
      </c>
      <c r="AO68" s="53"/>
      <c r="AP68" s="53">
        <v>0</v>
      </c>
      <c r="AQ68" s="53"/>
      <c r="AR68" s="53">
        <v>27836</v>
      </c>
      <c r="AS68" s="53"/>
      <c r="AT68" s="45">
        <f t="shared" si="8"/>
        <v>286732</v>
      </c>
      <c r="AU68" s="45"/>
      <c r="AV68" s="53">
        <v>0</v>
      </c>
      <c r="AW68" s="53"/>
      <c r="AX68" s="53">
        <v>0</v>
      </c>
      <c r="AY68" s="53"/>
      <c r="AZ68" s="53">
        <f t="shared" si="9"/>
        <v>-159671</v>
      </c>
      <c r="BA68" s="51"/>
      <c r="BB68" s="35" t="s">
        <v>85</v>
      </c>
      <c r="BD68" s="35" t="s">
        <v>85</v>
      </c>
      <c r="BE68" s="53"/>
      <c r="BF68" s="53">
        <v>10229858</v>
      </c>
      <c r="BG68" s="53"/>
      <c r="BH68" s="53">
        <v>0</v>
      </c>
      <c r="BI68" s="53"/>
      <c r="BJ68" s="53">
        <f>560270+5991233</f>
        <v>6551503</v>
      </c>
      <c r="BK68" s="53"/>
      <c r="BL68" s="53">
        <f>6118+59607</f>
        <v>65725</v>
      </c>
      <c r="BM68" s="53"/>
      <c r="BN68" s="53">
        <f t="shared" si="6"/>
        <v>16847086</v>
      </c>
      <c r="BO68" s="54"/>
      <c r="BS68" s="55"/>
      <c r="BT68" s="55"/>
      <c r="BU68" s="84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</row>
    <row r="69" spans="1:95" s="35" customFormat="1" ht="12.75" customHeight="1">
      <c r="A69" s="35" t="s">
        <v>86</v>
      </c>
      <c r="B69" s="51"/>
      <c r="C69" s="35" t="s">
        <v>86</v>
      </c>
      <c r="D69" s="44"/>
      <c r="E69" s="53">
        <f t="shared" si="0"/>
        <v>7364187</v>
      </c>
      <c r="F69" s="53"/>
      <c r="G69" s="53">
        <v>25641080</v>
      </c>
      <c r="H69" s="53"/>
      <c r="I69" s="53">
        <v>33005267</v>
      </c>
      <c r="J69" s="53"/>
      <c r="K69" s="53">
        <f t="shared" si="1"/>
        <v>354826</v>
      </c>
      <c r="L69" s="53"/>
      <c r="M69" s="53">
        <v>4061739</v>
      </c>
      <c r="N69" s="53"/>
      <c r="O69" s="53">
        <v>4416565</v>
      </c>
      <c r="P69" s="53"/>
      <c r="Q69" s="53">
        <v>21797470</v>
      </c>
      <c r="R69" s="53"/>
      <c r="S69" s="53">
        <v>0</v>
      </c>
      <c r="T69" s="53"/>
      <c r="U69" s="53">
        <v>6791232</v>
      </c>
      <c r="V69" s="53"/>
      <c r="W69" s="53">
        <f t="shared" si="2"/>
        <v>28588702</v>
      </c>
      <c r="X69" s="51"/>
      <c r="Y69" s="51"/>
      <c r="Z69" s="35" t="s">
        <v>86</v>
      </c>
      <c r="AA69" s="53"/>
      <c r="AB69" s="35" t="s">
        <v>86</v>
      </c>
      <c r="AC69" s="51"/>
      <c r="AD69" s="53">
        <v>4473063</v>
      </c>
      <c r="AE69" s="53"/>
      <c r="AF69" s="53">
        <f>4000964-568478</f>
        <v>3432486</v>
      </c>
      <c r="AG69" s="53"/>
      <c r="AH69" s="53">
        <v>568478</v>
      </c>
      <c r="AI69" s="53"/>
      <c r="AJ69" s="45">
        <f t="shared" si="7"/>
        <v>472099</v>
      </c>
      <c r="AK69" s="45"/>
      <c r="AL69" s="53">
        <v>289956</v>
      </c>
      <c r="AM69" s="45"/>
      <c r="AN69" s="53">
        <v>0</v>
      </c>
      <c r="AO69" s="53"/>
      <c r="AP69" s="53">
        <v>0</v>
      </c>
      <c r="AQ69" s="53"/>
      <c r="AR69" s="53">
        <v>0</v>
      </c>
      <c r="AS69" s="53"/>
      <c r="AT69" s="45">
        <f t="shared" si="8"/>
        <v>762055</v>
      </c>
      <c r="AU69" s="45"/>
      <c r="AV69" s="53">
        <v>0</v>
      </c>
      <c r="AW69" s="53"/>
      <c r="AX69" s="53">
        <v>0</v>
      </c>
      <c r="AY69" s="53"/>
      <c r="AZ69" s="53">
        <f t="shared" si="9"/>
        <v>7009361</v>
      </c>
      <c r="BA69" s="51"/>
      <c r="BB69" s="35" t="s">
        <v>86</v>
      </c>
      <c r="BD69" s="35" t="s">
        <v>86</v>
      </c>
      <c r="BE69" s="53"/>
      <c r="BF69" s="53">
        <v>3370554</v>
      </c>
      <c r="BG69" s="53"/>
      <c r="BH69" s="53">
        <v>0</v>
      </c>
      <c r="BI69" s="53"/>
      <c r="BJ69" s="53">
        <v>0</v>
      </c>
      <c r="BK69" s="53"/>
      <c r="BL69" s="53">
        <f>25111+307545+123209+235320</f>
        <v>691185</v>
      </c>
      <c r="BM69" s="53"/>
      <c r="BN69" s="53">
        <f t="shared" si="6"/>
        <v>4061739</v>
      </c>
      <c r="BO69" s="54"/>
      <c r="BS69" s="55"/>
      <c r="BT69" s="55"/>
      <c r="BU69" s="84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</row>
    <row r="70" spans="1:95" s="35" customFormat="1" ht="12.75" customHeight="1">
      <c r="A70" s="64" t="s">
        <v>87</v>
      </c>
      <c r="B70" s="64"/>
      <c r="C70" s="64" t="s">
        <v>88</v>
      </c>
      <c r="D70" s="46"/>
      <c r="E70" s="53">
        <f t="shared" si="0"/>
        <v>1539042</v>
      </c>
      <c r="F70" s="53"/>
      <c r="G70" s="53">
        <v>23342518</v>
      </c>
      <c r="H70" s="53"/>
      <c r="I70" s="53">
        <v>24881560</v>
      </c>
      <c r="J70" s="53"/>
      <c r="K70" s="53">
        <f t="shared" si="1"/>
        <v>633729</v>
      </c>
      <c r="L70" s="53"/>
      <c r="M70" s="53">
        <v>18806011</v>
      </c>
      <c r="N70" s="53"/>
      <c r="O70" s="53">
        <v>19439740</v>
      </c>
      <c r="P70" s="53"/>
      <c r="Q70" s="53">
        <v>4041113</v>
      </c>
      <c r="R70" s="53"/>
      <c r="S70" s="53">
        <v>0</v>
      </c>
      <c r="T70" s="53"/>
      <c r="U70" s="53">
        <v>1400707</v>
      </c>
      <c r="V70" s="53"/>
      <c r="W70" s="53">
        <f t="shared" si="2"/>
        <v>5441820</v>
      </c>
      <c r="X70" s="51"/>
      <c r="Y70" s="51"/>
      <c r="Z70" s="64" t="s">
        <v>87</v>
      </c>
      <c r="AA70" s="79"/>
      <c r="AB70" s="64" t="s">
        <v>88</v>
      </c>
      <c r="AC70" s="64"/>
      <c r="AD70" s="53">
        <v>1560455</v>
      </c>
      <c r="AE70" s="53"/>
      <c r="AF70" s="53">
        <f>1434375-599472</f>
        <v>834903</v>
      </c>
      <c r="AG70" s="53"/>
      <c r="AH70" s="53">
        <v>599472</v>
      </c>
      <c r="AI70" s="53"/>
      <c r="AJ70" s="45">
        <f t="shared" si="7"/>
        <v>126080</v>
      </c>
      <c r="AK70" s="45"/>
      <c r="AL70" s="53">
        <v>-265455</v>
      </c>
      <c r="AM70" s="45"/>
      <c r="AN70" s="53">
        <v>0</v>
      </c>
      <c r="AO70" s="53"/>
      <c r="AP70" s="53">
        <v>0</v>
      </c>
      <c r="AQ70" s="53"/>
      <c r="AR70" s="53">
        <v>3961314</v>
      </c>
      <c r="AS70" s="53"/>
      <c r="AT70" s="45">
        <f t="shared" si="8"/>
        <v>3821939</v>
      </c>
      <c r="AU70" s="45"/>
      <c r="AV70" s="53">
        <v>0</v>
      </c>
      <c r="AW70" s="53"/>
      <c r="AX70" s="53">
        <v>0</v>
      </c>
      <c r="AY70" s="53"/>
      <c r="AZ70" s="53">
        <f t="shared" si="9"/>
        <v>905313</v>
      </c>
      <c r="BA70" s="51"/>
      <c r="BB70" s="64" t="s">
        <v>87</v>
      </c>
      <c r="BC70" s="64"/>
      <c r="BD70" s="64" t="s">
        <v>88</v>
      </c>
      <c r="BE70" s="79"/>
      <c r="BF70" s="53">
        <v>2180000</v>
      </c>
      <c r="BG70" s="53"/>
      <c r="BH70" s="53">
        <v>0</v>
      </c>
      <c r="BI70" s="53"/>
      <c r="BJ70" s="53">
        <f>16311476+277663</f>
        <v>16589139</v>
      </c>
      <c r="BK70" s="53"/>
      <c r="BL70" s="53">
        <v>36872</v>
      </c>
      <c r="BM70" s="53"/>
      <c r="BN70" s="53">
        <f t="shared" si="6"/>
        <v>18806011</v>
      </c>
      <c r="BO70" s="54"/>
      <c r="BS70" s="55"/>
      <c r="BT70" s="55"/>
      <c r="BU70" s="84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</row>
    <row r="71" spans="1:95" s="35" customFormat="1" ht="12.75" customHeight="1">
      <c r="A71" s="35" t="s">
        <v>395</v>
      </c>
      <c r="C71" s="35" t="s">
        <v>89</v>
      </c>
      <c r="D71" s="44"/>
      <c r="E71" s="53">
        <f t="shared" si="0"/>
        <v>5728173</v>
      </c>
      <c r="F71" s="53"/>
      <c r="G71" s="53">
        <v>30123255</v>
      </c>
      <c r="H71" s="53"/>
      <c r="I71" s="53">
        <v>35851428</v>
      </c>
      <c r="J71" s="53"/>
      <c r="K71" s="53">
        <f t="shared" si="1"/>
        <v>4862879</v>
      </c>
      <c r="L71" s="53"/>
      <c r="M71" s="53">
        <v>16203131</v>
      </c>
      <c r="N71" s="53"/>
      <c r="O71" s="53">
        <v>21066010</v>
      </c>
      <c r="P71" s="53"/>
      <c r="Q71" s="53">
        <v>6021504</v>
      </c>
      <c r="R71" s="53"/>
      <c r="S71" s="53">
        <f>1048087+2196016</f>
        <v>3244103</v>
      </c>
      <c r="T71" s="53"/>
      <c r="U71" s="53">
        <v>5519811</v>
      </c>
      <c r="V71" s="53"/>
      <c r="W71" s="53">
        <f t="shared" si="2"/>
        <v>14785418</v>
      </c>
      <c r="X71" s="51"/>
      <c r="Y71" s="51"/>
      <c r="Z71" s="35" t="s">
        <v>395</v>
      </c>
      <c r="AA71" s="53"/>
      <c r="AB71" s="35" t="s">
        <v>89</v>
      </c>
      <c r="AD71" s="53">
        <v>1707059</v>
      </c>
      <c r="AE71" s="53"/>
      <c r="AF71" s="53">
        <f>2097486-502955</f>
        <v>1594531</v>
      </c>
      <c r="AG71" s="53"/>
      <c r="AH71" s="53">
        <v>502955</v>
      </c>
      <c r="AI71" s="53"/>
      <c r="AJ71" s="45">
        <f t="shared" si="7"/>
        <v>-390427</v>
      </c>
      <c r="AK71" s="45"/>
      <c r="AL71" s="53">
        <v>-171745</v>
      </c>
      <c r="AM71" s="45"/>
      <c r="AN71" s="53">
        <v>0</v>
      </c>
      <c r="AO71" s="53"/>
      <c r="AP71" s="53">
        <v>0</v>
      </c>
      <c r="AQ71" s="53"/>
      <c r="AR71" s="53">
        <v>0</v>
      </c>
      <c r="AS71" s="53"/>
      <c r="AT71" s="45">
        <f t="shared" si="8"/>
        <v>-562172</v>
      </c>
      <c r="AU71" s="45"/>
      <c r="AV71" s="53">
        <v>0</v>
      </c>
      <c r="AW71" s="53"/>
      <c r="AX71" s="53">
        <v>0</v>
      </c>
      <c r="AY71" s="53"/>
      <c r="AZ71" s="53">
        <f t="shared" si="9"/>
        <v>865294</v>
      </c>
      <c r="BA71" s="51"/>
      <c r="BB71" s="35" t="s">
        <v>394</v>
      </c>
      <c r="BD71" s="35" t="s">
        <v>89</v>
      </c>
      <c r="BE71" s="53"/>
      <c r="BF71" s="53">
        <v>0</v>
      </c>
      <c r="BG71" s="53"/>
      <c r="BH71" s="53">
        <v>8323518</v>
      </c>
      <c r="BI71" s="53"/>
      <c r="BJ71" s="53">
        <v>0</v>
      </c>
      <c r="BK71" s="53"/>
      <c r="BL71" s="53">
        <f>79613+7800000</f>
        <v>7879613</v>
      </c>
      <c r="BM71" s="53"/>
      <c r="BN71" s="53">
        <f t="shared" si="6"/>
        <v>16203131</v>
      </c>
      <c r="BO71" s="54"/>
      <c r="BS71" s="55"/>
      <c r="BT71" s="55"/>
      <c r="BU71" s="84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</row>
    <row r="72" spans="1:95" s="35" customFormat="1" ht="12.75" customHeight="1">
      <c r="A72" s="35" t="s">
        <v>90</v>
      </c>
      <c r="B72" s="96"/>
      <c r="C72" s="35" t="s">
        <v>43</v>
      </c>
      <c r="D72" s="44"/>
      <c r="E72" s="53">
        <f t="shared" si="0"/>
        <v>18487069</v>
      </c>
      <c r="F72" s="53"/>
      <c r="G72" s="53">
        <v>31053822</v>
      </c>
      <c r="H72" s="53"/>
      <c r="I72" s="53">
        <v>49540891</v>
      </c>
      <c r="J72" s="53"/>
      <c r="K72" s="53">
        <f t="shared" si="1"/>
        <v>286417</v>
      </c>
      <c r="L72" s="53"/>
      <c r="M72" s="53">
        <v>1748171</v>
      </c>
      <c r="N72" s="53"/>
      <c r="O72" s="53">
        <v>2034588</v>
      </c>
      <c r="P72" s="53"/>
      <c r="Q72" s="53">
        <v>29083822</v>
      </c>
      <c r="R72" s="53"/>
      <c r="S72" s="53">
        <v>0</v>
      </c>
      <c r="T72" s="53"/>
      <c r="U72" s="53">
        <v>18422481</v>
      </c>
      <c r="V72" s="53"/>
      <c r="W72" s="53">
        <f>SUM(Q72:U72)</f>
        <v>47506303</v>
      </c>
      <c r="X72" s="96"/>
      <c r="Y72" s="96"/>
      <c r="Z72" s="35" t="s">
        <v>90</v>
      </c>
      <c r="AA72" s="53"/>
      <c r="AB72" s="35" t="s">
        <v>43</v>
      </c>
      <c r="AC72" s="96"/>
      <c r="AD72" s="53">
        <v>1770897</v>
      </c>
      <c r="AE72" s="53"/>
      <c r="AF72" s="53">
        <f>1400546-1002111</f>
        <v>398435</v>
      </c>
      <c r="AG72" s="53"/>
      <c r="AH72" s="53">
        <v>1002111</v>
      </c>
      <c r="AI72" s="53"/>
      <c r="AJ72" s="45">
        <f t="shared" si="7"/>
        <v>370351</v>
      </c>
      <c r="AK72" s="45"/>
      <c r="AL72" s="53">
        <v>757297</v>
      </c>
      <c r="AM72" s="45"/>
      <c r="AN72" s="53">
        <v>0</v>
      </c>
      <c r="AO72" s="53"/>
      <c r="AP72" s="53">
        <v>0</v>
      </c>
      <c r="AQ72" s="53"/>
      <c r="AR72" s="53">
        <v>316508</v>
      </c>
      <c r="AS72" s="53"/>
      <c r="AT72" s="45">
        <f t="shared" si="8"/>
        <v>1444156</v>
      </c>
      <c r="AU72" s="45"/>
      <c r="AV72" s="53">
        <v>0</v>
      </c>
      <c r="AW72" s="53"/>
      <c r="AX72" s="53">
        <v>0</v>
      </c>
      <c r="AY72" s="53"/>
      <c r="AZ72" s="53">
        <f t="shared" si="9"/>
        <v>18200652</v>
      </c>
      <c r="BA72" s="96"/>
      <c r="BB72" s="35" t="s">
        <v>90</v>
      </c>
      <c r="BD72" s="35" t="s">
        <v>43</v>
      </c>
      <c r="BE72" s="53"/>
      <c r="BF72" s="53">
        <v>1735000</v>
      </c>
      <c r="BG72" s="53"/>
      <c r="BH72" s="53">
        <v>0</v>
      </c>
      <c r="BI72" s="53"/>
      <c r="BJ72" s="53">
        <v>0</v>
      </c>
      <c r="BK72" s="53"/>
      <c r="BL72" s="53">
        <v>13171</v>
      </c>
      <c r="BM72" s="53"/>
      <c r="BN72" s="53">
        <f t="shared" si="6"/>
        <v>1748171</v>
      </c>
      <c r="BO72" s="54"/>
      <c r="BS72" s="55"/>
      <c r="BT72" s="55"/>
      <c r="BU72" s="84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</row>
    <row r="73" spans="1:95" s="35" customFormat="1" ht="12.75" customHeight="1">
      <c r="A73" s="35" t="s">
        <v>93</v>
      </c>
      <c r="B73" s="51"/>
      <c r="C73" s="35" t="s">
        <v>94</v>
      </c>
      <c r="D73" s="44"/>
      <c r="E73" s="53">
        <f t="shared" si="0"/>
        <v>2993599</v>
      </c>
      <c r="F73" s="53"/>
      <c r="G73" s="53">
        <v>8473806</v>
      </c>
      <c r="H73" s="53"/>
      <c r="I73" s="53">
        <v>11467405</v>
      </c>
      <c r="J73" s="53"/>
      <c r="K73" s="53">
        <f t="shared" si="1"/>
        <v>715520</v>
      </c>
      <c r="L73" s="53"/>
      <c r="M73" s="53">
        <v>4523575</v>
      </c>
      <c r="N73" s="53"/>
      <c r="O73" s="53">
        <v>5239095</v>
      </c>
      <c r="P73" s="53"/>
      <c r="Q73" s="53">
        <v>3500169</v>
      </c>
      <c r="R73" s="53"/>
      <c r="S73" s="53">
        <v>0</v>
      </c>
      <c r="T73" s="53"/>
      <c r="U73" s="53">
        <v>2728141</v>
      </c>
      <c r="V73" s="53"/>
      <c r="W73" s="53">
        <f t="shared" si="2"/>
        <v>6228310</v>
      </c>
      <c r="X73" s="51"/>
      <c r="Y73" s="51"/>
      <c r="Z73" s="35" t="s">
        <v>93</v>
      </c>
      <c r="AA73" s="53"/>
      <c r="AB73" s="35" t="s">
        <v>94</v>
      </c>
      <c r="AC73" s="51"/>
      <c r="AD73" s="53">
        <v>2740545</v>
      </c>
      <c r="AE73" s="53"/>
      <c r="AF73" s="53">
        <v>1536664</v>
      </c>
      <c r="AG73" s="53"/>
      <c r="AH73" s="53">
        <v>295367</v>
      </c>
      <c r="AI73" s="53"/>
      <c r="AJ73" s="45">
        <f t="shared" si="7"/>
        <v>908514</v>
      </c>
      <c r="AK73" s="45"/>
      <c r="AL73" s="53">
        <v>-327742</v>
      </c>
      <c r="AM73" s="45"/>
      <c r="AN73" s="53">
        <v>181917</v>
      </c>
      <c r="AO73" s="53"/>
      <c r="AP73" s="53">
        <v>7893</v>
      </c>
      <c r="AQ73" s="53"/>
      <c r="AR73" s="53">
        <v>12005</v>
      </c>
      <c r="AS73" s="53"/>
      <c r="AT73" s="45">
        <f t="shared" si="8"/>
        <v>766801</v>
      </c>
      <c r="AU73" s="45"/>
      <c r="AV73" s="53">
        <v>0</v>
      </c>
      <c r="AW73" s="53"/>
      <c r="AX73" s="53">
        <v>0</v>
      </c>
      <c r="AY73" s="53"/>
      <c r="AZ73" s="53">
        <f t="shared" si="9"/>
        <v>2278079</v>
      </c>
      <c r="BA73" s="51"/>
      <c r="BB73" s="35" t="s">
        <v>93</v>
      </c>
      <c r="BD73" s="35" t="s">
        <v>94</v>
      </c>
      <c r="BE73" s="53"/>
      <c r="BF73" s="53">
        <v>0</v>
      </c>
      <c r="BG73" s="53"/>
      <c r="BH73" s="53">
        <v>0</v>
      </c>
      <c r="BI73" s="53"/>
      <c r="BJ73" s="53">
        <v>4471156</v>
      </c>
      <c r="BK73" s="53"/>
      <c r="BL73" s="53">
        <v>52419</v>
      </c>
      <c r="BM73" s="53"/>
      <c r="BN73" s="53">
        <f t="shared" si="6"/>
        <v>4523575</v>
      </c>
      <c r="BO73" s="54"/>
      <c r="BS73" s="55"/>
      <c r="BT73" s="55"/>
      <c r="BU73" s="84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</row>
    <row r="74" spans="1:95" s="35" customFormat="1" ht="12.75" customHeight="1">
      <c r="A74" s="35" t="s">
        <v>492</v>
      </c>
      <c r="B74" s="51"/>
      <c r="C74" s="35" t="s">
        <v>27</v>
      </c>
      <c r="D74" s="44"/>
      <c r="E74" s="53">
        <f>I74-G74</f>
        <v>1147678</v>
      </c>
      <c r="F74" s="53"/>
      <c r="G74" s="53">
        <v>8081245</v>
      </c>
      <c r="H74" s="53"/>
      <c r="I74" s="53">
        <v>9228923</v>
      </c>
      <c r="J74" s="53"/>
      <c r="K74" s="53">
        <f>O74-M74</f>
        <v>799537</v>
      </c>
      <c r="L74" s="53"/>
      <c r="M74" s="53">
        <v>337077</v>
      </c>
      <c r="N74" s="53"/>
      <c r="O74" s="53">
        <v>1136614</v>
      </c>
      <c r="P74" s="53"/>
      <c r="Q74" s="53">
        <v>8183385</v>
      </c>
      <c r="R74" s="53"/>
      <c r="S74" s="53">
        <v>0</v>
      </c>
      <c r="T74" s="53"/>
      <c r="U74" s="53">
        <v>-90806</v>
      </c>
      <c r="V74" s="53"/>
      <c r="W74" s="53">
        <f>SUM(Q74:U74)</f>
        <v>8092579</v>
      </c>
      <c r="X74" s="51"/>
      <c r="Y74" s="51"/>
      <c r="Z74" s="35" t="s">
        <v>492</v>
      </c>
      <c r="AA74" s="53"/>
      <c r="AB74" s="35" t="s">
        <v>342</v>
      </c>
      <c r="AC74" s="51"/>
      <c r="AD74" s="53">
        <v>3850333</v>
      </c>
      <c r="AE74" s="53"/>
      <c r="AF74" s="53">
        <f>4527537-353810</f>
        <v>4173727</v>
      </c>
      <c r="AG74" s="53"/>
      <c r="AH74" s="53">
        <v>353810</v>
      </c>
      <c r="AI74" s="53"/>
      <c r="AJ74" s="45">
        <f>+AD74-AF74-AH74</f>
        <v>-677204</v>
      </c>
      <c r="AK74" s="45"/>
      <c r="AL74" s="53">
        <v>0</v>
      </c>
      <c r="AM74" s="45"/>
      <c r="AN74" s="53">
        <v>0</v>
      </c>
      <c r="AO74" s="53"/>
      <c r="AP74" s="53">
        <v>0</v>
      </c>
      <c r="AQ74" s="53"/>
      <c r="AR74" s="53">
        <v>0</v>
      </c>
      <c r="AS74" s="53"/>
      <c r="AT74" s="45">
        <f>+AJ74+AL74+AN74-AP74+AR74</f>
        <v>-677204</v>
      </c>
      <c r="AU74" s="45"/>
      <c r="AV74" s="53">
        <v>0</v>
      </c>
      <c r="AW74" s="53"/>
      <c r="AX74" s="53">
        <v>0</v>
      </c>
      <c r="AY74" s="53"/>
      <c r="AZ74" s="53">
        <f>E74-K74</f>
        <v>348141</v>
      </c>
      <c r="BA74" s="51"/>
      <c r="BB74" s="35" t="s">
        <v>492</v>
      </c>
      <c r="BD74" s="35" t="s">
        <v>27</v>
      </c>
      <c r="BE74" s="53"/>
      <c r="BF74" s="53">
        <v>303539</v>
      </c>
      <c r="BG74" s="53"/>
      <c r="BH74" s="53">
        <v>0</v>
      </c>
      <c r="BI74" s="53"/>
      <c r="BJ74" s="53">
        <v>0</v>
      </c>
      <c r="BK74" s="53"/>
      <c r="BL74" s="53">
        <v>33538</v>
      </c>
      <c r="BM74" s="53"/>
      <c r="BN74" s="53">
        <f>SUM(BF74:BL74)</f>
        <v>337077</v>
      </c>
      <c r="BO74" s="54"/>
      <c r="BS74" s="55"/>
      <c r="BT74" s="55"/>
      <c r="BU74" s="84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</row>
    <row r="75" spans="1:95" s="35" customFormat="1" ht="12.75" customHeight="1">
      <c r="A75" s="35" t="s">
        <v>95</v>
      </c>
      <c r="B75" s="51"/>
      <c r="C75" s="35" t="s">
        <v>94</v>
      </c>
      <c r="D75" s="44"/>
      <c r="E75" s="53">
        <f>I75-G75</f>
        <v>646753</v>
      </c>
      <c r="F75" s="53"/>
      <c r="G75" s="53">
        <v>1410651</v>
      </c>
      <c r="H75" s="53"/>
      <c r="I75" s="53">
        <v>2057404</v>
      </c>
      <c r="J75" s="53"/>
      <c r="K75" s="53">
        <f>O75-M75</f>
        <v>260920</v>
      </c>
      <c r="L75" s="53"/>
      <c r="M75" s="53">
        <v>454214</v>
      </c>
      <c r="N75" s="53"/>
      <c r="O75" s="53">
        <v>715134</v>
      </c>
      <c r="P75" s="53"/>
      <c r="Q75" s="53">
        <v>985836</v>
      </c>
      <c r="R75" s="53"/>
      <c r="S75" s="53">
        <v>0</v>
      </c>
      <c r="T75" s="53"/>
      <c r="U75" s="53">
        <v>356434</v>
      </c>
      <c r="V75" s="53"/>
      <c r="W75" s="53">
        <f>SUM(Q75:U75)</f>
        <v>1342270</v>
      </c>
      <c r="X75" s="51"/>
      <c r="Y75" s="51"/>
      <c r="Z75" s="35" t="s">
        <v>95</v>
      </c>
      <c r="AA75" s="53"/>
      <c r="AB75" s="35" t="s">
        <v>94</v>
      </c>
      <c r="AC75" s="51"/>
      <c r="AD75" s="53">
        <v>522034</v>
      </c>
      <c r="AE75" s="53"/>
      <c r="AF75" s="53">
        <f>422440-77371</f>
        <v>345069</v>
      </c>
      <c r="AG75" s="53"/>
      <c r="AH75" s="53">
        <v>77371</v>
      </c>
      <c r="AI75" s="53"/>
      <c r="AJ75" s="45">
        <f>+AD75-AF75-AH75</f>
        <v>99594</v>
      </c>
      <c r="AK75" s="45"/>
      <c r="AL75" s="53">
        <v>-20559</v>
      </c>
      <c r="AM75" s="45"/>
      <c r="AN75" s="53">
        <v>0</v>
      </c>
      <c r="AO75" s="53"/>
      <c r="AP75" s="53">
        <v>92331</v>
      </c>
      <c r="AQ75" s="53"/>
      <c r="AR75" s="53">
        <v>549600</v>
      </c>
      <c r="AS75" s="53"/>
      <c r="AT75" s="45">
        <f>+AJ75+AL75+AN75-AP75+AR75</f>
        <v>536304</v>
      </c>
      <c r="AU75" s="45"/>
      <c r="AV75" s="53">
        <v>0</v>
      </c>
      <c r="AW75" s="53"/>
      <c r="AX75" s="53">
        <v>0</v>
      </c>
      <c r="AY75" s="53"/>
      <c r="AZ75" s="53">
        <f>E75-K75</f>
        <v>385833</v>
      </c>
      <c r="BA75" s="51"/>
      <c r="BB75" s="35" t="s">
        <v>95</v>
      </c>
      <c r="BD75" s="35" t="s">
        <v>94</v>
      </c>
      <c r="BE75" s="53"/>
      <c r="BF75" s="53">
        <v>91935</v>
      </c>
      <c r="BG75" s="53"/>
      <c r="BH75" s="53">
        <v>0</v>
      </c>
      <c r="BI75" s="53"/>
      <c r="BJ75" s="53">
        <f>253773+27732+10000</f>
        <v>291505</v>
      </c>
      <c r="BK75" s="53"/>
      <c r="BL75" s="53">
        <v>70774</v>
      </c>
      <c r="BM75" s="53"/>
      <c r="BN75" s="53">
        <f>SUM(BF75:BL75)</f>
        <v>454214</v>
      </c>
      <c r="BO75" s="54"/>
      <c r="BS75" s="55"/>
      <c r="BT75" s="55"/>
      <c r="BU75" s="84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</row>
    <row r="76" spans="1:95" s="142" customFormat="1" ht="12.75" hidden="1" customHeight="1">
      <c r="A76" s="142" t="s">
        <v>91</v>
      </c>
      <c r="B76" s="140"/>
      <c r="C76" s="142" t="s">
        <v>92</v>
      </c>
      <c r="D76" s="137"/>
      <c r="E76" s="156">
        <f t="shared" si="0"/>
        <v>0</v>
      </c>
      <c r="F76" s="156"/>
      <c r="G76" s="156">
        <v>0</v>
      </c>
      <c r="H76" s="156"/>
      <c r="I76" s="156">
        <v>0</v>
      </c>
      <c r="J76" s="156"/>
      <c r="K76" s="156">
        <f t="shared" si="1"/>
        <v>0</v>
      </c>
      <c r="L76" s="156"/>
      <c r="M76" s="156">
        <v>0</v>
      </c>
      <c r="N76" s="156"/>
      <c r="O76" s="156">
        <v>0</v>
      </c>
      <c r="P76" s="156"/>
      <c r="Q76" s="156">
        <v>0</v>
      </c>
      <c r="R76" s="156"/>
      <c r="S76" s="156">
        <v>0</v>
      </c>
      <c r="T76" s="156"/>
      <c r="U76" s="156">
        <v>0</v>
      </c>
      <c r="V76" s="156"/>
      <c r="W76" s="156">
        <f t="shared" si="2"/>
        <v>0</v>
      </c>
      <c r="X76" s="140"/>
      <c r="Y76" s="140"/>
      <c r="Z76" s="142" t="s">
        <v>91</v>
      </c>
      <c r="AA76" s="156"/>
      <c r="AB76" s="142" t="s">
        <v>92</v>
      </c>
      <c r="AC76" s="140"/>
      <c r="AD76" s="156">
        <v>0</v>
      </c>
      <c r="AE76" s="156"/>
      <c r="AF76" s="156">
        <v>0</v>
      </c>
      <c r="AG76" s="156"/>
      <c r="AH76" s="156">
        <v>0</v>
      </c>
      <c r="AI76" s="156"/>
      <c r="AJ76" s="143">
        <f t="shared" si="7"/>
        <v>0</v>
      </c>
      <c r="AK76" s="143"/>
      <c r="AL76" s="156">
        <v>0</v>
      </c>
      <c r="AM76" s="143"/>
      <c r="AN76" s="156">
        <v>0</v>
      </c>
      <c r="AO76" s="156"/>
      <c r="AP76" s="156">
        <v>0</v>
      </c>
      <c r="AQ76" s="156"/>
      <c r="AR76" s="156">
        <v>0</v>
      </c>
      <c r="AS76" s="156"/>
      <c r="AT76" s="143">
        <f t="shared" si="8"/>
        <v>0</v>
      </c>
      <c r="AU76" s="143"/>
      <c r="AV76" s="156">
        <v>0</v>
      </c>
      <c r="AW76" s="156"/>
      <c r="AX76" s="156">
        <v>0</v>
      </c>
      <c r="AY76" s="156"/>
      <c r="AZ76" s="156">
        <f t="shared" si="9"/>
        <v>0</v>
      </c>
      <c r="BA76" s="140"/>
      <c r="BB76" s="142" t="s">
        <v>91</v>
      </c>
      <c r="BD76" s="142" t="s">
        <v>92</v>
      </c>
      <c r="BE76" s="156"/>
      <c r="BF76" s="156">
        <v>0</v>
      </c>
      <c r="BG76" s="156"/>
      <c r="BH76" s="156">
        <v>0</v>
      </c>
      <c r="BI76" s="156"/>
      <c r="BJ76" s="156">
        <v>0</v>
      </c>
      <c r="BK76" s="156"/>
      <c r="BL76" s="156">
        <v>0</v>
      </c>
      <c r="BM76" s="156"/>
      <c r="BN76" s="156">
        <f t="shared" si="6"/>
        <v>0</v>
      </c>
      <c r="BO76" s="158"/>
      <c r="BS76" s="159"/>
      <c r="BT76" s="159"/>
      <c r="BU76" s="160"/>
      <c r="BV76" s="159"/>
      <c r="BW76" s="159"/>
      <c r="BX76" s="159"/>
      <c r="BY76" s="159"/>
      <c r="BZ76" s="159"/>
      <c r="CA76" s="159"/>
      <c r="CB76" s="159"/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159"/>
    </row>
    <row r="77" spans="1:95" s="35" customFormat="1" ht="12.75" customHeight="1">
      <c r="A77" s="35" t="s">
        <v>96</v>
      </c>
      <c r="B77" s="51"/>
      <c r="C77" s="35" t="s">
        <v>97</v>
      </c>
      <c r="D77" s="44"/>
      <c r="E77" s="53">
        <f t="shared" si="0"/>
        <v>2084393</v>
      </c>
      <c r="F77" s="53"/>
      <c r="G77" s="53">
        <v>5954011</v>
      </c>
      <c r="H77" s="53"/>
      <c r="I77" s="53">
        <v>8038404</v>
      </c>
      <c r="J77" s="53"/>
      <c r="K77" s="53">
        <f t="shared" si="1"/>
        <v>355656</v>
      </c>
      <c r="L77" s="53"/>
      <c r="M77" s="53">
        <v>4211443</v>
      </c>
      <c r="N77" s="53"/>
      <c r="O77" s="53">
        <v>4567099</v>
      </c>
      <c r="P77" s="53"/>
      <c r="Q77" s="53">
        <v>1795838</v>
      </c>
      <c r="R77" s="53"/>
      <c r="S77" s="53">
        <v>0</v>
      </c>
      <c r="T77" s="53"/>
      <c r="U77" s="53">
        <v>1675467</v>
      </c>
      <c r="V77" s="53"/>
      <c r="W77" s="53">
        <f t="shared" si="2"/>
        <v>3471305</v>
      </c>
      <c r="X77" s="51"/>
      <c r="Y77" s="51"/>
      <c r="Z77" s="35" t="s">
        <v>96</v>
      </c>
      <c r="AA77" s="53"/>
      <c r="AB77" s="35" t="s">
        <v>97</v>
      </c>
      <c r="AC77" s="51"/>
      <c r="AD77" s="53">
        <v>1385725</v>
      </c>
      <c r="AE77" s="53"/>
      <c r="AF77" s="53">
        <f>1175795-83667</f>
        <v>1092128</v>
      </c>
      <c r="AG77" s="53"/>
      <c r="AH77" s="53">
        <v>83667</v>
      </c>
      <c r="AI77" s="53"/>
      <c r="AJ77" s="45">
        <f t="shared" si="7"/>
        <v>209930</v>
      </c>
      <c r="AK77" s="45"/>
      <c r="AL77" s="53">
        <v>13200</v>
      </c>
      <c r="AM77" s="45"/>
      <c r="AN77" s="53">
        <v>0</v>
      </c>
      <c r="AO77" s="53"/>
      <c r="AP77" s="53">
        <v>0</v>
      </c>
      <c r="AQ77" s="53"/>
      <c r="AR77" s="53">
        <v>0</v>
      </c>
      <c r="AS77" s="53"/>
      <c r="AT77" s="45">
        <f t="shared" si="8"/>
        <v>223130</v>
      </c>
      <c r="AU77" s="45"/>
      <c r="AV77" s="53">
        <v>0</v>
      </c>
      <c r="AW77" s="53"/>
      <c r="AX77" s="53">
        <v>0</v>
      </c>
      <c r="AY77" s="53"/>
      <c r="AZ77" s="53">
        <f t="shared" si="9"/>
        <v>1728737</v>
      </c>
      <c r="BA77" s="51"/>
      <c r="BB77" s="35" t="s">
        <v>96</v>
      </c>
      <c r="BD77" s="35" t="s">
        <v>97</v>
      </c>
      <c r="BE77" s="53"/>
      <c r="BF77" s="53">
        <v>0</v>
      </c>
      <c r="BG77" s="53"/>
      <c r="BH77" s="53">
        <v>0</v>
      </c>
      <c r="BI77" s="53"/>
      <c r="BJ77" s="53">
        <v>4158173</v>
      </c>
      <c r="BK77" s="53"/>
      <c r="BL77" s="53">
        <v>53270</v>
      </c>
      <c r="BM77" s="53"/>
      <c r="BN77" s="53">
        <f t="shared" si="6"/>
        <v>4211443</v>
      </c>
      <c r="BO77" s="54"/>
      <c r="BS77" s="55"/>
      <c r="BT77" s="55"/>
      <c r="BU77" s="84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</row>
    <row r="78" spans="1:95" s="35" customFormat="1" ht="12.75" customHeight="1">
      <c r="A78" s="35" t="s">
        <v>98</v>
      </c>
      <c r="B78" s="51"/>
      <c r="C78" s="35" t="s">
        <v>17</v>
      </c>
      <c r="D78" s="44"/>
      <c r="E78" s="53">
        <f t="shared" si="0"/>
        <v>2270784</v>
      </c>
      <c r="F78" s="53"/>
      <c r="G78" s="53">
        <v>15732921</v>
      </c>
      <c r="H78" s="53"/>
      <c r="I78" s="53">
        <v>18003705</v>
      </c>
      <c r="J78" s="53"/>
      <c r="K78" s="53">
        <f t="shared" si="1"/>
        <v>2028426</v>
      </c>
      <c r="L78" s="53"/>
      <c r="M78" s="53">
        <v>8927924</v>
      </c>
      <c r="N78" s="53"/>
      <c r="O78" s="53">
        <v>10956350</v>
      </c>
      <c r="P78" s="53"/>
      <c r="Q78" s="53">
        <v>6590047</v>
      </c>
      <c r="R78" s="53"/>
      <c r="S78" s="53">
        <v>0</v>
      </c>
      <c r="T78" s="53"/>
      <c r="U78" s="53">
        <v>457308</v>
      </c>
      <c r="V78" s="53"/>
      <c r="W78" s="53">
        <f t="shared" si="2"/>
        <v>7047355</v>
      </c>
      <c r="X78" s="51"/>
      <c r="Y78" s="51"/>
      <c r="Z78" s="35" t="s">
        <v>98</v>
      </c>
      <c r="AA78" s="53"/>
      <c r="AB78" s="35" t="s">
        <v>17</v>
      </c>
      <c r="AC78" s="51"/>
      <c r="AD78" s="53">
        <v>5887468</v>
      </c>
      <c r="AE78" s="53"/>
      <c r="AF78" s="53">
        <f>6606352-1195931</f>
        <v>5410421</v>
      </c>
      <c r="AG78" s="53"/>
      <c r="AH78" s="53">
        <v>1195931</v>
      </c>
      <c r="AI78" s="53"/>
      <c r="AJ78" s="45">
        <f t="shared" si="7"/>
        <v>-718884</v>
      </c>
      <c r="AK78" s="45"/>
      <c r="AL78" s="53">
        <v>-307351</v>
      </c>
      <c r="AM78" s="45"/>
      <c r="AN78" s="53">
        <v>0</v>
      </c>
      <c r="AO78" s="53"/>
      <c r="AP78" s="53">
        <v>0</v>
      </c>
      <c r="AQ78" s="53"/>
      <c r="AR78" s="53">
        <v>100577</v>
      </c>
      <c r="AS78" s="53"/>
      <c r="AT78" s="45">
        <f t="shared" si="8"/>
        <v>-925658</v>
      </c>
      <c r="AU78" s="45"/>
      <c r="AV78" s="53">
        <v>0</v>
      </c>
      <c r="AW78" s="53"/>
      <c r="AX78" s="53">
        <v>0</v>
      </c>
      <c r="AY78" s="53"/>
      <c r="AZ78" s="53">
        <f t="shared" si="9"/>
        <v>242358</v>
      </c>
      <c r="BA78" s="51"/>
      <c r="BB78" s="35" t="s">
        <v>98</v>
      </c>
      <c r="BD78" s="35" t="s">
        <v>17</v>
      </c>
      <c r="BE78" s="53"/>
      <c r="BF78" s="53">
        <v>8398049</v>
      </c>
      <c r="BG78" s="53"/>
      <c r="BH78" s="53">
        <v>0</v>
      </c>
      <c r="BI78" s="53"/>
      <c r="BJ78" s="53">
        <v>0</v>
      </c>
      <c r="BK78" s="53"/>
      <c r="BL78" s="53">
        <v>529875</v>
      </c>
      <c r="BM78" s="53"/>
      <c r="BN78" s="53">
        <f t="shared" si="6"/>
        <v>8927924</v>
      </c>
      <c r="BO78" s="54"/>
      <c r="BS78" s="55"/>
      <c r="BT78" s="55"/>
      <c r="BU78" s="84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</row>
    <row r="79" spans="1:95" s="35" customFormat="1" ht="12.75" customHeight="1">
      <c r="A79" s="35" t="s">
        <v>99</v>
      </c>
      <c r="B79" s="51"/>
      <c r="C79" s="35" t="s">
        <v>66</v>
      </c>
      <c r="D79" s="44"/>
      <c r="E79" s="53">
        <f t="shared" si="0"/>
        <v>2361356</v>
      </c>
      <c r="F79" s="53"/>
      <c r="G79" s="53">
        <v>9861936</v>
      </c>
      <c r="H79" s="53"/>
      <c r="I79" s="53">
        <v>12223292</v>
      </c>
      <c r="J79" s="53"/>
      <c r="K79" s="53">
        <f t="shared" si="1"/>
        <v>124968</v>
      </c>
      <c r="L79" s="53"/>
      <c r="M79" s="53">
        <v>10838</v>
      </c>
      <c r="N79" s="53"/>
      <c r="O79" s="53">
        <v>135806</v>
      </c>
      <c r="P79" s="53"/>
      <c r="Q79" s="53">
        <v>9861936</v>
      </c>
      <c r="R79" s="53"/>
      <c r="S79" s="53">
        <v>0</v>
      </c>
      <c r="T79" s="53"/>
      <c r="U79" s="53">
        <v>2225550</v>
      </c>
      <c r="V79" s="53"/>
      <c r="W79" s="53">
        <f t="shared" si="2"/>
        <v>12087486</v>
      </c>
      <c r="Z79" s="35" t="s">
        <v>99</v>
      </c>
      <c r="AA79" s="53"/>
      <c r="AB79" s="35" t="s">
        <v>66</v>
      </c>
      <c r="AC79" s="51"/>
      <c r="AD79" s="53">
        <v>1272797</v>
      </c>
      <c r="AE79" s="53"/>
      <c r="AF79" s="53">
        <f>1482313-381316</f>
        <v>1100997</v>
      </c>
      <c r="AG79" s="53"/>
      <c r="AH79" s="53">
        <v>381316</v>
      </c>
      <c r="AI79" s="53"/>
      <c r="AJ79" s="45">
        <f t="shared" si="7"/>
        <v>-209516</v>
      </c>
      <c r="AK79" s="45"/>
      <c r="AL79" s="53">
        <v>-12024</v>
      </c>
      <c r="AM79" s="45"/>
      <c r="AN79" s="53">
        <v>0</v>
      </c>
      <c r="AO79" s="53"/>
      <c r="AP79" s="53">
        <v>0</v>
      </c>
      <c r="AQ79" s="53"/>
      <c r="AR79" s="53">
        <v>55467</v>
      </c>
      <c r="AS79" s="53"/>
      <c r="AT79" s="45">
        <f t="shared" si="8"/>
        <v>-166073</v>
      </c>
      <c r="AU79" s="45"/>
      <c r="AV79" s="53">
        <v>0</v>
      </c>
      <c r="AW79" s="53"/>
      <c r="AX79" s="53">
        <v>0</v>
      </c>
      <c r="AY79" s="53"/>
      <c r="AZ79" s="53">
        <f t="shared" si="9"/>
        <v>2236388</v>
      </c>
      <c r="BA79" s="51"/>
      <c r="BB79" s="35" t="s">
        <v>99</v>
      </c>
      <c r="BD79" s="35" t="s">
        <v>66</v>
      </c>
      <c r="BE79" s="53"/>
      <c r="BF79" s="53">
        <v>0</v>
      </c>
      <c r="BG79" s="53"/>
      <c r="BH79" s="53">
        <v>0</v>
      </c>
      <c r="BI79" s="53"/>
      <c r="BJ79" s="53">
        <v>10838</v>
      </c>
      <c r="BK79" s="53"/>
      <c r="BL79" s="53">
        <v>0</v>
      </c>
      <c r="BM79" s="53"/>
      <c r="BN79" s="53">
        <f t="shared" si="6"/>
        <v>10838</v>
      </c>
      <c r="BO79" s="54"/>
      <c r="BS79" s="55"/>
      <c r="BT79" s="55"/>
      <c r="BU79" s="84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</row>
    <row r="80" spans="1:95" s="35" customFormat="1" ht="12.75" customHeight="1">
      <c r="A80" s="35" t="s">
        <v>100</v>
      </c>
      <c r="B80" s="51"/>
      <c r="C80" s="35" t="s">
        <v>27</v>
      </c>
      <c r="D80" s="44"/>
      <c r="E80" s="53">
        <f>I80-G80</f>
        <v>3435610</v>
      </c>
      <c r="F80" s="53"/>
      <c r="G80" s="53">
        <v>8919545</v>
      </c>
      <c r="H80" s="53"/>
      <c r="I80" s="53">
        <v>12355155</v>
      </c>
      <c r="J80" s="53"/>
      <c r="K80" s="53">
        <f>O80-M80</f>
        <v>3493334</v>
      </c>
      <c r="L80" s="53"/>
      <c r="M80" s="53">
        <v>5487798</v>
      </c>
      <c r="N80" s="53"/>
      <c r="O80" s="53">
        <v>8981132</v>
      </c>
      <c r="P80" s="53"/>
      <c r="Q80" s="53">
        <v>60367</v>
      </c>
      <c r="R80" s="53"/>
      <c r="S80" s="53">
        <v>0</v>
      </c>
      <c r="T80" s="53"/>
      <c r="U80" s="53">
        <v>3313656</v>
      </c>
      <c r="V80" s="53"/>
      <c r="W80" s="53">
        <f>SUM(Q80:U80)</f>
        <v>3374023</v>
      </c>
      <c r="X80" s="51"/>
      <c r="Y80" s="51"/>
      <c r="Z80" s="35" t="s">
        <v>100</v>
      </c>
      <c r="AA80" s="53"/>
      <c r="AB80" s="35" t="s">
        <v>27</v>
      </c>
      <c r="AC80" s="51"/>
      <c r="AD80" s="53">
        <v>1671736</v>
      </c>
      <c r="AE80" s="53"/>
      <c r="AF80" s="53">
        <v>1096945</v>
      </c>
      <c r="AG80" s="53"/>
      <c r="AH80" s="53">
        <v>0</v>
      </c>
      <c r="AI80" s="53"/>
      <c r="AJ80" s="45">
        <f t="shared" si="7"/>
        <v>574791</v>
      </c>
      <c r="AK80" s="45"/>
      <c r="AL80" s="53">
        <v>-282887</v>
      </c>
      <c r="AM80" s="45"/>
      <c r="AN80" s="53">
        <v>0</v>
      </c>
      <c r="AO80" s="53"/>
      <c r="AP80" s="53">
        <v>0</v>
      </c>
      <c r="AQ80" s="53"/>
      <c r="AR80" s="53">
        <v>0</v>
      </c>
      <c r="AS80" s="53"/>
      <c r="AT80" s="45">
        <f t="shared" si="8"/>
        <v>291904</v>
      </c>
      <c r="AU80" s="45"/>
      <c r="AV80" s="53">
        <v>0</v>
      </c>
      <c r="AW80" s="53"/>
      <c r="AX80" s="53">
        <v>0</v>
      </c>
      <c r="AY80" s="53"/>
      <c r="AZ80" s="53">
        <f t="shared" si="9"/>
        <v>-57724</v>
      </c>
      <c r="BA80" s="51"/>
      <c r="BB80" s="35" t="s">
        <v>100</v>
      </c>
      <c r="BD80" s="35" t="s">
        <v>27</v>
      </c>
      <c r="BE80" s="53"/>
      <c r="BF80" s="53">
        <v>3660000</v>
      </c>
      <c r="BG80" s="53"/>
      <c r="BH80" s="53">
        <v>0</v>
      </c>
      <c r="BI80" s="53"/>
      <c r="BJ80" s="53">
        <v>1827798</v>
      </c>
      <c r="BK80" s="53"/>
      <c r="BL80" s="53">
        <v>0</v>
      </c>
      <c r="BM80" s="53"/>
      <c r="BN80" s="53">
        <f>SUM(BF80:BL80)</f>
        <v>5487798</v>
      </c>
      <c r="BO80" s="54"/>
      <c r="BS80" s="55"/>
      <c r="BT80" s="55"/>
      <c r="BU80" s="84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</row>
    <row r="81" spans="1:95" s="35" customFormat="1" ht="12.75" customHeight="1">
      <c r="A81" s="35" t="s">
        <v>101</v>
      </c>
      <c r="B81" s="51"/>
      <c r="C81" s="35" t="s">
        <v>30</v>
      </c>
      <c r="D81" s="44"/>
      <c r="E81" s="53">
        <f>I81-G81</f>
        <v>3086001</v>
      </c>
      <c r="F81" s="53"/>
      <c r="G81" s="53">
        <v>8154928</v>
      </c>
      <c r="H81" s="53"/>
      <c r="I81" s="53">
        <v>11240929</v>
      </c>
      <c r="J81" s="53"/>
      <c r="K81" s="53">
        <f>O81-M81</f>
        <v>3344038</v>
      </c>
      <c r="L81" s="53"/>
      <c r="M81" s="53">
        <v>2124725</v>
      </c>
      <c r="N81" s="53"/>
      <c r="O81" s="53">
        <v>5468763</v>
      </c>
      <c r="P81" s="53"/>
      <c r="Q81" s="53">
        <v>3197891</v>
      </c>
      <c r="R81" s="53"/>
      <c r="S81" s="53">
        <v>0</v>
      </c>
      <c r="T81" s="53"/>
      <c r="U81" s="53">
        <v>2574275</v>
      </c>
      <c r="V81" s="53"/>
      <c r="W81" s="53">
        <f>SUM(Q81:U81)</f>
        <v>5772166</v>
      </c>
      <c r="X81" s="51"/>
      <c r="Y81" s="51"/>
      <c r="Z81" s="35" t="s">
        <v>101</v>
      </c>
      <c r="AA81" s="53"/>
      <c r="AB81" s="35" t="s">
        <v>30</v>
      </c>
      <c r="AC81" s="65"/>
      <c r="AD81" s="53">
        <v>3049605</v>
      </c>
      <c r="AE81" s="53"/>
      <c r="AF81" s="53">
        <f>3085968-757538</f>
        <v>2328430</v>
      </c>
      <c r="AG81" s="53"/>
      <c r="AH81" s="53">
        <v>757538</v>
      </c>
      <c r="AI81" s="53"/>
      <c r="AJ81" s="45">
        <f t="shared" si="7"/>
        <v>-36363</v>
      </c>
      <c r="AK81" s="45"/>
      <c r="AL81" s="53">
        <v>-82205</v>
      </c>
      <c r="AM81" s="45"/>
      <c r="AN81" s="53">
        <v>0</v>
      </c>
      <c r="AO81" s="53"/>
      <c r="AP81" s="53">
        <v>0</v>
      </c>
      <c r="AQ81" s="53"/>
      <c r="AR81" s="53">
        <v>0</v>
      </c>
      <c r="AS81" s="53"/>
      <c r="AT81" s="45">
        <f t="shared" si="8"/>
        <v>-118568</v>
      </c>
      <c r="AU81" s="45"/>
      <c r="AV81" s="53">
        <v>0</v>
      </c>
      <c r="AW81" s="53"/>
      <c r="AX81" s="53">
        <v>0</v>
      </c>
      <c r="AY81" s="53"/>
      <c r="AZ81" s="53">
        <f t="shared" si="9"/>
        <v>-258037</v>
      </c>
      <c r="BA81" s="51"/>
      <c r="BB81" s="35" t="s">
        <v>101</v>
      </c>
      <c r="BD81" s="35" t="s">
        <v>30</v>
      </c>
      <c r="BE81" s="53"/>
      <c r="BF81" s="53">
        <v>2082162</v>
      </c>
      <c r="BG81" s="53"/>
      <c r="BH81" s="53">
        <v>0</v>
      </c>
      <c r="BI81" s="53"/>
      <c r="BJ81" s="53">
        <v>0</v>
      </c>
      <c r="BK81" s="53"/>
      <c r="BL81" s="53">
        <v>42563</v>
      </c>
      <c r="BM81" s="53"/>
      <c r="BN81" s="53">
        <f>SUM(BF81:BL81)</f>
        <v>2124725</v>
      </c>
      <c r="BO81" s="54"/>
      <c r="BS81" s="55"/>
      <c r="BT81" s="55"/>
      <c r="BU81" s="84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</row>
    <row r="82" spans="1:95" s="35" customFormat="1" ht="12.75" customHeight="1">
      <c r="A82" s="35" t="s">
        <v>102</v>
      </c>
      <c r="B82" s="51"/>
      <c r="C82" s="35" t="s">
        <v>103</v>
      </c>
      <c r="D82" s="44"/>
      <c r="E82" s="53">
        <f t="shared" ref="E82:E147" si="10">I82-G82</f>
        <v>11070287</v>
      </c>
      <c r="F82" s="53"/>
      <c r="G82" s="53">
        <v>16491171</v>
      </c>
      <c r="H82" s="53"/>
      <c r="I82" s="53">
        <v>27561458</v>
      </c>
      <c r="J82" s="53"/>
      <c r="K82" s="53">
        <f t="shared" ref="K82:K147" si="11">O82-M82</f>
        <v>560605</v>
      </c>
      <c r="L82" s="53"/>
      <c r="M82" s="53">
        <v>3010704</v>
      </c>
      <c r="N82" s="53"/>
      <c r="O82" s="53">
        <v>3571309</v>
      </c>
      <c r="P82" s="53"/>
      <c r="Q82" s="53">
        <v>13413445</v>
      </c>
      <c r="R82" s="53"/>
      <c r="S82" s="53">
        <v>1207193</v>
      </c>
      <c r="T82" s="53"/>
      <c r="U82" s="53">
        <v>9369511</v>
      </c>
      <c r="V82" s="53"/>
      <c r="W82" s="53">
        <f t="shared" ref="W82:W147" si="12">SUM(Q82:U82)</f>
        <v>23990149</v>
      </c>
      <c r="X82" s="51"/>
      <c r="Y82" s="51"/>
      <c r="Z82" s="35" t="s">
        <v>102</v>
      </c>
      <c r="AA82" s="53"/>
      <c r="AB82" s="35" t="s">
        <v>103</v>
      </c>
      <c r="AC82" s="51"/>
      <c r="AD82" s="53">
        <v>4026458</v>
      </c>
      <c r="AE82" s="53"/>
      <c r="AF82" s="53">
        <v>3568096</v>
      </c>
      <c r="AG82" s="53"/>
      <c r="AH82" s="53">
        <v>526935</v>
      </c>
      <c r="AI82" s="53"/>
      <c r="AJ82" s="45">
        <f t="shared" ref="AJ82:AJ89" si="13">+AD82-AF82-AH82</f>
        <v>-68573</v>
      </c>
      <c r="AK82" s="45"/>
      <c r="AL82" s="53">
        <v>314450</v>
      </c>
      <c r="AM82" s="45"/>
      <c r="AN82" s="53">
        <v>0</v>
      </c>
      <c r="AO82" s="53"/>
      <c r="AP82" s="53">
        <v>0</v>
      </c>
      <c r="AQ82" s="53"/>
      <c r="AR82" s="53">
        <v>0</v>
      </c>
      <c r="AS82" s="53"/>
      <c r="AT82" s="45">
        <f t="shared" ref="AT82:AT89" si="14">+AJ82+AL82+AN82-AP82+AR82</f>
        <v>245877</v>
      </c>
      <c r="AU82" s="45"/>
      <c r="AV82" s="53">
        <v>0</v>
      </c>
      <c r="AW82" s="53"/>
      <c r="AX82" s="53">
        <v>0</v>
      </c>
      <c r="AY82" s="53"/>
      <c r="AZ82" s="53">
        <f t="shared" ref="AZ82:AZ89" si="15">E82-K82</f>
        <v>10509682</v>
      </c>
      <c r="BA82" s="51"/>
      <c r="BB82" s="35" t="s">
        <v>102</v>
      </c>
      <c r="BD82" s="35" t="s">
        <v>103</v>
      </c>
      <c r="BE82" s="53"/>
      <c r="BF82" s="53">
        <v>2800000</v>
      </c>
      <c r="BG82" s="53"/>
      <c r="BH82" s="53">
        <v>0</v>
      </c>
      <c r="BI82" s="53"/>
      <c r="BJ82" s="53">
        <v>0</v>
      </c>
      <c r="BK82" s="53"/>
      <c r="BL82" s="53">
        <v>210704</v>
      </c>
      <c r="BM82" s="53"/>
      <c r="BN82" s="53">
        <f t="shared" ref="BN82:BN147" si="16">SUM(BF82:BL82)</f>
        <v>3010704</v>
      </c>
      <c r="BO82" s="54"/>
      <c r="BS82" s="55"/>
      <c r="BT82" s="55"/>
      <c r="BU82" s="84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</row>
    <row r="83" spans="1:95" s="142" customFormat="1" ht="12.75" hidden="1" customHeight="1">
      <c r="A83" s="142" t="s">
        <v>104</v>
      </c>
      <c r="B83" s="140"/>
      <c r="C83" s="142" t="s">
        <v>13</v>
      </c>
      <c r="D83" s="137"/>
      <c r="E83" s="156">
        <f t="shared" si="10"/>
        <v>0</v>
      </c>
      <c r="F83" s="156"/>
      <c r="G83" s="156">
        <v>0</v>
      </c>
      <c r="H83" s="156"/>
      <c r="I83" s="156">
        <v>0</v>
      </c>
      <c r="J83" s="156"/>
      <c r="K83" s="156">
        <f t="shared" si="11"/>
        <v>0</v>
      </c>
      <c r="L83" s="156"/>
      <c r="M83" s="156">
        <v>0</v>
      </c>
      <c r="N83" s="156"/>
      <c r="O83" s="156">
        <v>0</v>
      </c>
      <c r="P83" s="156"/>
      <c r="Q83" s="156">
        <v>0</v>
      </c>
      <c r="R83" s="156"/>
      <c r="S83" s="156">
        <v>0</v>
      </c>
      <c r="T83" s="156"/>
      <c r="U83" s="156">
        <v>0</v>
      </c>
      <c r="V83" s="156"/>
      <c r="W83" s="156">
        <f t="shared" si="12"/>
        <v>0</v>
      </c>
      <c r="X83" s="140"/>
      <c r="Y83" s="140"/>
      <c r="Z83" s="142" t="s">
        <v>104</v>
      </c>
      <c r="AA83" s="156"/>
      <c r="AB83" s="142" t="s">
        <v>13</v>
      </c>
      <c r="AC83" s="140"/>
      <c r="AD83" s="156">
        <v>0</v>
      </c>
      <c r="AE83" s="156"/>
      <c r="AF83" s="156">
        <v>0</v>
      </c>
      <c r="AG83" s="156"/>
      <c r="AH83" s="156">
        <v>0</v>
      </c>
      <c r="AI83" s="156"/>
      <c r="AJ83" s="143">
        <f t="shared" si="13"/>
        <v>0</v>
      </c>
      <c r="AK83" s="143"/>
      <c r="AL83" s="156">
        <v>0</v>
      </c>
      <c r="AM83" s="143"/>
      <c r="AN83" s="156">
        <v>0</v>
      </c>
      <c r="AO83" s="156"/>
      <c r="AP83" s="156">
        <v>0</v>
      </c>
      <c r="AQ83" s="156"/>
      <c r="AR83" s="156">
        <v>0</v>
      </c>
      <c r="AS83" s="156"/>
      <c r="AT83" s="143">
        <f t="shared" si="14"/>
        <v>0</v>
      </c>
      <c r="AU83" s="143"/>
      <c r="AV83" s="156">
        <v>0</v>
      </c>
      <c r="AW83" s="156"/>
      <c r="AX83" s="156">
        <v>0</v>
      </c>
      <c r="AY83" s="156"/>
      <c r="AZ83" s="156">
        <f t="shared" si="15"/>
        <v>0</v>
      </c>
      <c r="BA83" s="140"/>
      <c r="BB83" s="142" t="s">
        <v>104</v>
      </c>
      <c r="BD83" s="142" t="s">
        <v>13</v>
      </c>
      <c r="BE83" s="156"/>
      <c r="BF83" s="156">
        <v>0</v>
      </c>
      <c r="BG83" s="156"/>
      <c r="BH83" s="156">
        <v>0</v>
      </c>
      <c r="BI83" s="156"/>
      <c r="BJ83" s="156">
        <v>0</v>
      </c>
      <c r="BK83" s="156"/>
      <c r="BL83" s="156">
        <v>0</v>
      </c>
      <c r="BM83" s="156"/>
      <c r="BN83" s="156">
        <f t="shared" si="16"/>
        <v>0</v>
      </c>
      <c r="BO83" s="158"/>
      <c r="BP83" s="159"/>
      <c r="BS83" s="159"/>
      <c r="BT83" s="159"/>
      <c r="BU83" s="160"/>
      <c r="BV83" s="159"/>
      <c r="BW83" s="159"/>
      <c r="BX83" s="159"/>
      <c r="BY83" s="159"/>
      <c r="BZ83" s="159"/>
      <c r="CA83" s="159"/>
      <c r="CB83" s="159"/>
      <c r="CC83" s="159"/>
      <c r="CD83" s="159"/>
      <c r="CE83" s="159"/>
      <c r="CF83" s="159"/>
      <c r="CG83" s="159"/>
      <c r="CH83" s="159"/>
      <c r="CI83" s="159"/>
      <c r="CJ83" s="159"/>
      <c r="CK83" s="159"/>
      <c r="CL83" s="159"/>
      <c r="CM83" s="159"/>
      <c r="CN83" s="159"/>
      <c r="CO83" s="159"/>
      <c r="CP83" s="159"/>
      <c r="CQ83" s="159"/>
    </row>
    <row r="84" spans="1:95" s="142" customFormat="1" ht="12.75" hidden="1" customHeight="1">
      <c r="A84" s="142" t="s">
        <v>105</v>
      </c>
      <c r="B84" s="140"/>
      <c r="C84" s="142" t="s">
        <v>27</v>
      </c>
      <c r="D84" s="137"/>
      <c r="E84" s="156">
        <f t="shared" si="10"/>
        <v>0</v>
      </c>
      <c r="F84" s="156"/>
      <c r="G84" s="156"/>
      <c r="H84" s="156"/>
      <c r="I84" s="156"/>
      <c r="J84" s="156"/>
      <c r="K84" s="156">
        <f t="shared" si="11"/>
        <v>0</v>
      </c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>
        <f t="shared" si="12"/>
        <v>0</v>
      </c>
      <c r="X84" s="140"/>
      <c r="Y84" s="140"/>
      <c r="Z84" s="142" t="s">
        <v>105</v>
      </c>
      <c r="AA84" s="156"/>
      <c r="AB84" s="142" t="s">
        <v>27</v>
      </c>
      <c r="AC84" s="140"/>
      <c r="AD84" s="156"/>
      <c r="AE84" s="156"/>
      <c r="AF84" s="156"/>
      <c r="AG84" s="156"/>
      <c r="AH84" s="156"/>
      <c r="AI84" s="156"/>
      <c r="AJ84" s="143">
        <f t="shared" si="13"/>
        <v>0</v>
      </c>
      <c r="AK84" s="143"/>
      <c r="AL84" s="156"/>
      <c r="AM84" s="143"/>
      <c r="AN84" s="156"/>
      <c r="AO84" s="156"/>
      <c r="AP84" s="156"/>
      <c r="AQ84" s="156"/>
      <c r="AR84" s="156"/>
      <c r="AS84" s="156"/>
      <c r="AT84" s="143">
        <f t="shared" si="14"/>
        <v>0</v>
      </c>
      <c r="AU84" s="143"/>
      <c r="AV84" s="156">
        <v>0</v>
      </c>
      <c r="AW84" s="156"/>
      <c r="AX84" s="156">
        <v>0</v>
      </c>
      <c r="AY84" s="156"/>
      <c r="AZ84" s="156">
        <f t="shared" si="15"/>
        <v>0</v>
      </c>
      <c r="BA84" s="140"/>
      <c r="BB84" s="142" t="s">
        <v>105</v>
      </c>
      <c r="BD84" s="142" t="s">
        <v>27</v>
      </c>
      <c r="BE84" s="156"/>
      <c r="BF84" s="156"/>
      <c r="BG84" s="156"/>
      <c r="BH84" s="156"/>
      <c r="BI84" s="156"/>
      <c r="BJ84" s="156"/>
      <c r="BK84" s="156"/>
      <c r="BL84" s="156"/>
      <c r="BM84" s="156"/>
      <c r="BN84" s="156">
        <f t="shared" si="16"/>
        <v>0</v>
      </c>
      <c r="BO84" s="158"/>
      <c r="BS84" s="159"/>
      <c r="BT84" s="159"/>
      <c r="BU84" s="160"/>
      <c r="BV84" s="159"/>
      <c r="BW84" s="159"/>
      <c r="BX84" s="159"/>
      <c r="BY84" s="159"/>
      <c r="BZ84" s="159"/>
      <c r="CA84" s="159"/>
      <c r="CB84" s="159"/>
      <c r="CC84" s="159"/>
      <c r="CD84" s="159"/>
      <c r="CE84" s="159"/>
      <c r="CF84" s="159"/>
      <c r="CG84" s="159"/>
      <c r="CH84" s="159"/>
      <c r="CI84" s="159"/>
      <c r="CJ84" s="159"/>
      <c r="CK84" s="159"/>
      <c r="CL84" s="159"/>
      <c r="CM84" s="159"/>
      <c r="CN84" s="159"/>
      <c r="CO84" s="159"/>
      <c r="CP84" s="159"/>
      <c r="CQ84" s="159"/>
    </row>
    <row r="85" spans="1:95" s="35" customFormat="1" ht="12.75" customHeight="1">
      <c r="A85" s="35" t="s">
        <v>106</v>
      </c>
      <c r="B85" s="51"/>
      <c r="C85" s="35" t="s">
        <v>107</v>
      </c>
      <c r="D85" s="44"/>
      <c r="E85" s="53">
        <f t="shared" si="10"/>
        <v>6792385</v>
      </c>
      <c r="F85" s="53"/>
      <c r="G85" s="53">
        <v>51535371</v>
      </c>
      <c r="H85" s="53"/>
      <c r="I85" s="53">
        <v>58327756</v>
      </c>
      <c r="J85" s="53"/>
      <c r="K85" s="53">
        <f t="shared" si="11"/>
        <v>3277433</v>
      </c>
      <c r="L85" s="53"/>
      <c r="M85" s="53">
        <v>11735666</v>
      </c>
      <c r="N85" s="53"/>
      <c r="O85" s="53">
        <v>15013099</v>
      </c>
      <c r="P85" s="53"/>
      <c r="Q85" s="53">
        <v>36985541</v>
      </c>
      <c r="R85" s="53"/>
      <c r="S85" s="53">
        <f>667440+561259</f>
        <v>1228699</v>
      </c>
      <c r="T85" s="53"/>
      <c r="U85" s="53">
        <v>5100417</v>
      </c>
      <c r="V85" s="53"/>
      <c r="W85" s="53">
        <f t="shared" si="12"/>
        <v>43314657</v>
      </c>
      <c r="Z85" s="35" t="s">
        <v>106</v>
      </c>
      <c r="AA85" s="53"/>
      <c r="AB85" s="35" t="s">
        <v>107</v>
      </c>
      <c r="AC85" s="51"/>
      <c r="AD85" s="53">
        <v>7750859</v>
      </c>
      <c r="AE85" s="53"/>
      <c r="AF85" s="53">
        <f>6133951-303633</f>
        <v>5830318</v>
      </c>
      <c r="AG85" s="53"/>
      <c r="AH85" s="53">
        <v>303633</v>
      </c>
      <c r="AI85" s="53"/>
      <c r="AJ85" s="45">
        <f t="shared" si="13"/>
        <v>1616908</v>
      </c>
      <c r="AK85" s="45"/>
      <c r="AL85" s="53">
        <v>-174236</v>
      </c>
      <c r="AM85" s="45"/>
      <c r="AN85" s="53">
        <v>52976</v>
      </c>
      <c r="AO85" s="53"/>
      <c r="AP85" s="53">
        <v>24825</v>
      </c>
      <c r="AQ85" s="53"/>
      <c r="AR85" s="53">
        <v>730258</v>
      </c>
      <c r="AS85" s="53"/>
      <c r="AT85" s="45">
        <f t="shared" si="14"/>
        <v>2201081</v>
      </c>
      <c r="AU85" s="45"/>
      <c r="AV85" s="53">
        <v>0</v>
      </c>
      <c r="AW85" s="53"/>
      <c r="AX85" s="53">
        <v>0</v>
      </c>
      <c r="AY85" s="53"/>
      <c r="AZ85" s="53">
        <f t="shared" si="15"/>
        <v>3514952</v>
      </c>
      <c r="BA85" s="65"/>
      <c r="BB85" s="35" t="s">
        <v>106</v>
      </c>
      <c r="BD85" s="35" t="s">
        <v>107</v>
      </c>
      <c r="BE85" s="53"/>
      <c r="BF85" s="53">
        <v>6997598</v>
      </c>
      <c r="BG85" s="53"/>
      <c r="BH85" s="53">
        <v>0</v>
      </c>
      <c r="BI85" s="53"/>
      <c r="BJ85" s="53">
        <v>4489851</v>
      </c>
      <c r="BK85" s="53"/>
      <c r="BL85" s="53">
        <v>248217</v>
      </c>
      <c r="BM85" s="53"/>
      <c r="BN85" s="53">
        <f t="shared" si="16"/>
        <v>11735666</v>
      </c>
      <c r="BO85" s="54"/>
      <c r="BS85" s="55"/>
      <c r="BT85" s="55"/>
      <c r="BU85" s="84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</row>
    <row r="86" spans="1:95" s="142" customFormat="1" ht="12.75" hidden="1" customHeight="1">
      <c r="A86" s="142" t="s">
        <v>108</v>
      </c>
      <c r="B86" s="140"/>
      <c r="C86" s="142" t="s">
        <v>45</v>
      </c>
      <c r="D86" s="137"/>
      <c r="E86" s="156">
        <f t="shared" si="10"/>
        <v>0</v>
      </c>
      <c r="F86" s="156"/>
      <c r="G86" s="156"/>
      <c r="H86" s="156"/>
      <c r="I86" s="156"/>
      <c r="J86" s="156"/>
      <c r="K86" s="156">
        <f t="shared" si="11"/>
        <v>0</v>
      </c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>
        <f t="shared" si="12"/>
        <v>0</v>
      </c>
      <c r="X86" s="140"/>
      <c r="Y86" s="140"/>
      <c r="Z86" s="142" t="s">
        <v>108</v>
      </c>
      <c r="AA86" s="156"/>
      <c r="AB86" s="142" t="s">
        <v>45</v>
      </c>
      <c r="AC86" s="140"/>
      <c r="AD86" s="156"/>
      <c r="AE86" s="156"/>
      <c r="AF86" s="156"/>
      <c r="AG86" s="156"/>
      <c r="AH86" s="156"/>
      <c r="AI86" s="156"/>
      <c r="AJ86" s="143">
        <f t="shared" si="13"/>
        <v>0</v>
      </c>
      <c r="AK86" s="143"/>
      <c r="AL86" s="156"/>
      <c r="AM86" s="143"/>
      <c r="AN86" s="156"/>
      <c r="AO86" s="156"/>
      <c r="AP86" s="156"/>
      <c r="AQ86" s="156"/>
      <c r="AR86" s="156"/>
      <c r="AS86" s="156"/>
      <c r="AT86" s="143">
        <f t="shared" si="14"/>
        <v>0</v>
      </c>
      <c r="AU86" s="143"/>
      <c r="AV86" s="156">
        <v>0</v>
      </c>
      <c r="AW86" s="156"/>
      <c r="AX86" s="156">
        <v>0</v>
      </c>
      <c r="AY86" s="156"/>
      <c r="AZ86" s="156">
        <f t="shared" si="15"/>
        <v>0</v>
      </c>
      <c r="BA86" s="140"/>
      <c r="BB86" s="142" t="s">
        <v>108</v>
      </c>
      <c r="BD86" s="142" t="s">
        <v>45</v>
      </c>
      <c r="BE86" s="156"/>
      <c r="BF86" s="156"/>
      <c r="BG86" s="156"/>
      <c r="BH86" s="156"/>
      <c r="BI86" s="156"/>
      <c r="BJ86" s="156"/>
      <c r="BK86" s="156"/>
      <c r="BL86" s="156"/>
      <c r="BM86" s="156"/>
      <c r="BN86" s="156">
        <f t="shared" si="16"/>
        <v>0</v>
      </c>
      <c r="BO86" s="158"/>
      <c r="BS86" s="159"/>
      <c r="BT86" s="159"/>
      <c r="BU86" s="160"/>
      <c r="BV86" s="159"/>
      <c r="BW86" s="159"/>
      <c r="BX86" s="159"/>
      <c r="BY86" s="159"/>
      <c r="BZ86" s="159"/>
      <c r="CA86" s="159"/>
      <c r="CB86" s="159"/>
      <c r="CC86" s="159"/>
      <c r="CD86" s="159"/>
      <c r="CE86" s="159"/>
      <c r="CF86" s="159"/>
      <c r="CG86" s="159"/>
      <c r="CH86" s="159"/>
      <c r="CI86" s="159"/>
      <c r="CJ86" s="159"/>
      <c r="CK86" s="159"/>
      <c r="CL86" s="159"/>
      <c r="CM86" s="159"/>
      <c r="CN86" s="159"/>
      <c r="CO86" s="159"/>
      <c r="CP86" s="159"/>
      <c r="CQ86" s="159"/>
    </row>
    <row r="87" spans="1:95" s="35" customFormat="1" ht="12.75" customHeight="1">
      <c r="A87" s="35" t="s">
        <v>109</v>
      </c>
      <c r="C87" s="35" t="s">
        <v>110</v>
      </c>
      <c r="D87" s="44"/>
      <c r="E87" s="53">
        <f t="shared" si="10"/>
        <v>682812</v>
      </c>
      <c r="F87" s="53"/>
      <c r="G87" s="53">
        <v>17169308</v>
      </c>
      <c r="H87" s="53"/>
      <c r="I87" s="53">
        <v>17852120</v>
      </c>
      <c r="J87" s="53"/>
      <c r="K87" s="53">
        <f t="shared" si="11"/>
        <v>556555</v>
      </c>
      <c r="L87" s="53"/>
      <c r="M87" s="53">
        <v>1364282</v>
      </c>
      <c r="N87" s="53"/>
      <c r="O87" s="53">
        <v>1920837</v>
      </c>
      <c r="P87" s="53"/>
      <c r="Q87" s="53">
        <v>15576031</v>
      </c>
      <c r="R87" s="53"/>
      <c r="S87" s="53">
        <v>0</v>
      </c>
      <c r="T87" s="53"/>
      <c r="U87" s="53">
        <v>355252</v>
      </c>
      <c r="V87" s="53"/>
      <c r="W87" s="53">
        <f t="shared" si="12"/>
        <v>15931283</v>
      </c>
      <c r="X87" s="65"/>
      <c r="Y87" s="65"/>
      <c r="Z87" s="35" t="s">
        <v>109</v>
      </c>
      <c r="AA87" s="53"/>
      <c r="AB87" s="35" t="s">
        <v>110</v>
      </c>
      <c r="AD87" s="53">
        <v>2639244</v>
      </c>
      <c r="AE87" s="53"/>
      <c r="AF87" s="53">
        <f>2532998-343148</f>
        <v>2189850</v>
      </c>
      <c r="AG87" s="53"/>
      <c r="AH87" s="53">
        <v>343148</v>
      </c>
      <c r="AI87" s="53"/>
      <c r="AJ87" s="45">
        <f t="shared" si="13"/>
        <v>106246</v>
      </c>
      <c r="AK87" s="45"/>
      <c r="AL87" s="53">
        <v>-139527</v>
      </c>
      <c r="AM87" s="45"/>
      <c r="AN87" s="53">
        <v>19813</v>
      </c>
      <c r="AO87" s="53"/>
      <c r="AP87" s="53">
        <v>0</v>
      </c>
      <c r="AQ87" s="53"/>
      <c r="AR87" s="53">
        <v>0</v>
      </c>
      <c r="AS87" s="53"/>
      <c r="AT87" s="45">
        <f t="shared" si="14"/>
        <v>-13468</v>
      </c>
      <c r="AU87" s="45"/>
      <c r="AV87" s="53">
        <v>0</v>
      </c>
      <c r="AW87" s="53"/>
      <c r="AX87" s="53">
        <v>0</v>
      </c>
      <c r="AY87" s="53"/>
      <c r="AZ87" s="53">
        <f t="shared" si="15"/>
        <v>126257</v>
      </c>
      <c r="BA87" s="65"/>
      <c r="BB87" s="35" t="s">
        <v>109</v>
      </c>
      <c r="BD87" s="35" t="s">
        <v>110</v>
      </c>
      <c r="BE87" s="53"/>
      <c r="BF87" s="53">
        <v>0</v>
      </c>
      <c r="BG87" s="53"/>
      <c r="BH87" s="53">
        <v>0</v>
      </c>
      <c r="BI87" s="53"/>
      <c r="BJ87" s="53">
        <f>4064043+128541</f>
        <v>4192584</v>
      </c>
      <c r="BK87" s="53"/>
      <c r="BL87" s="53">
        <v>0</v>
      </c>
      <c r="BM87" s="53"/>
      <c r="BN87" s="53">
        <f t="shared" si="16"/>
        <v>4192584</v>
      </c>
      <c r="BO87" s="54"/>
      <c r="BS87" s="55"/>
      <c r="BT87" s="55"/>
      <c r="BU87" s="84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</row>
    <row r="88" spans="1:95" s="35" customFormat="1" ht="12.75" customHeight="1">
      <c r="A88" s="35" t="s">
        <v>43</v>
      </c>
      <c r="B88" s="51"/>
      <c r="C88" s="35" t="s">
        <v>111</v>
      </c>
      <c r="D88" s="44"/>
      <c r="E88" s="53">
        <f t="shared" si="10"/>
        <v>1549164</v>
      </c>
      <c r="F88" s="53"/>
      <c r="G88" s="53">
        <v>8705928</v>
      </c>
      <c r="H88" s="53"/>
      <c r="I88" s="53">
        <v>10255092</v>
      </c>
      <c r="J88" s="53"/>
      <c r="K88" s="53">
        <f t="shared" si="11"/>
        <v>954261</v>
      </c>
      <c r="L88" s="53"/>
      <c r="M88" s="53">
        <v>7587825</v>
      </c>
      <c r="N88" s="53"/>
      <c r="O88" s="53">
        <v>8542086</v>
      </c>
      <c r="P88" s="53"/>
      <c r="Q88" s="53">
        <v>-265185</v>
      </c>
      <c r="R88" s="53"/>
      <c r="S88" s="53">
        <f>802640+333769</f>
        <v>1136409</v>
      </c>
      <c r="T88" s="53"/>
      <c r="U88" s="53">
        <v>841782</v>
      </c>
      <c r="V88" s="53"/>
      <c r="W88" s="53">
        <f t="shared" si="12"/>
        <v>1713006</v>
      </c>
      <c r="Z88" s="35" t="s">
        <v>43</v>
      </c>
      <c r="AA88" s="53"/>
      <c r="AB88" s="35" t="s">
        <v>111</v>
      </c>
      <c r="AC88" s="51"/>
      <c r="AD88" s="53">
        <v>2372746</v>
      </c>
      <c r="AE88" s="53"/>
      <c r="AF88" s="53">
        <f>1464057-203741</f>
        <v>1260316</v>
      </c>
      <c r="AG88" s="53"/>
      <c r="AH88" s="53">
        <v>203741</v>
      </c>
      <c r="AI88" s="53"/>
      <c r="AJ88" s="45">
        <f t="shared" si="13"/>
        <v>908689</v>
      </c>
      <c r="AK88" s="45"/>
      <c r="AL88" s="53">
        <v>-362328</v>
      </c>
      <c r="AM88" s="45"/>
      <c r="AN88" s="53">
        <v>24279</v>
      </c>
      <c r="AO88" s="53"/>
      <c r="AP88" s="53">
        <v>47000</v>
      </c>
      <c r="AQ88" s="53"/>
      <c r="AR88" s="53">
        <v>313390</v>
      </c>
      <c r="AS88" s="53"/>
      <c r="AT88" s="45">
        <f t="shared" si="14"/>
        <v>837030</v>
      </c>
      <c r="AU88" s="45"/>
      <c r="AV88" s="53">
        <v>0</v>
      </c>
      <c r="AW88" s="53"/>
      <c r="AX88" s="53">
        <v>0</v>
      </c>
      <c r="AY88" s="53"/>
      <c r="AZ88" s="53">
        <f t="shared" si="15"/>
        <v>594903</v>
      </c>
      <c r="BA88" s="65"/>
      <c r="BB88" s="35" t="s">
        <v>43</v>
      </c>
      <c r="BD88" s="35" t="s">
        <v>111</v>
      </c>
      <c r="BE88" s="53"/>
      <c r="BF88" s="53">
        <v>0</v>
      </c>
      <c r="BG88" s="53"/>
      <c r="BH88" s="53">
        <v>5487028</v>
      </c>
      <c r="BI88" s="53"/>
      <c r="BJ88" s="53">
        <v>2002284</v>
      </c>
      <c r="BK88" s="53"/>
      <c r="BL88" s="53">
        <f>53543+44970</f>
        <v>98513</v>
      </c>
      <c r="BM88" s="53"/>
      <c r="BN88" s="53">
        <f t="shared" si="16"/>
        <v>7587825</v>
      </c>
      <c r="BO88" s="54"/>
      <c r="BS88" s="55"/>
      <c r="BT88" s="55"/>
      <c r="BU88" s="84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</row>
    <row r="89" spans="1:95" s="35" customFormat="1" ht="12.75" customHeight="1">
      <c r="A89" s="35" t="s">
        <v>112</v>
      </c>
      <c r="B89" s="51"/>
      <c r="C89" s="35" t="s">
        <v>76</v>
      </c>
      <c r="D89" s="44"/>
      <c r="E89" s="53">
        <f t="shared" si="10"/>
        <v>4039956</v>
      </c>
      <c r="F89" s="53"/>
      <c r="G89" s="53">
        <v>36186105</v>
      </c>
      <c r="H89" s="53"/>
      <c r="I89" s="53">
        <v>40226061</v>
      </c>
      <c r="J89" s="53"/>
      <c r="K89" s="53">
        <f t="shared" si="11"/>
        <v>860221</v>
      </c>
      <c r="L89" s="53"/>
      <c r="M89" s="53">
        <v>8902053</v>
      </c>
      <c r="N89" s="53"/>
      <c r="O89" s="53">
        <v>9762274</v>
      </c>
      <c r="P89" s="53"/>
      <c r="Q89" s="53">
        <v>27021105</v>
      </c>
      <c r="R89" s="53"/>
      <c r="S89" s="53">
        <v>0</v>
      </c>
      <c r="T89" s="53"/>
      <c r="U89" s="53">
        <v>3442682</v>
      </c>
      <c r="V89" s="53"/>
      <c r="W89" s="53">
        <f t="shared" si="12"/>
        <v>30463787</v>
      </c>
      <c r="X89" s="51"/>
      <c r="Y89" s="51"/>
      <c r="Z89" s="35" t="s">
        <v>112</v>
      </c>
      <c r="AA89" s="53"/>
      <c r="AB89" s="35" t="s">
        <v>76</v>
      </c>
      <c r="AC89" s="51"/>
      <c r="AD89" s="53">
        <v>3483227</v>
      </c>
      <c r="AE89" s="53"/>
      <c r="AF89" s="53">
        <f>3899688-1365072</f>
        <v>2534616</v>
      </c>
      <c r="AG89" s="53"/>
      <c r="AH89" s="53">
        <v>1365072</v>
      </c>
      <c r="AI89" s="53"/>
      <c r="AJ89" s="45">
        <f t="shared" si="13"/>
        <v>-416461</v>
      </c>
      <c r="AK89" s="45"/>
      <c r="AL89" s="53">
        <v>-538862</v>
      </c>
      <c r="AM89" s="45"/>
      <c r="AN89" s="53">
        <v>1112756</v>
      </c>
      <c r="AO89" s="53"/>
      <c r="AP89" s="53">
        <v>0</v>
      </c>
      <c r="AQ89" s="53"/>
      <c r="AR89" s="53">
        <v>0</v>
      </c>
      <c r="AS89" s="53"/>
      <c r="AT89" s="45">
        <f t="shared" si="14"/>
        <v>157433</v>
      </c>
      <c r="AU89" s="45"/>
      <c r="AV89" s="53">
        <v>0</v>
      </c>
      <c r="AW89" s="53"/>
      <c r="AX89" s="53">
        <v>0</v>
      </c>
      <c r="AY89" s="53"/>
      <c r="AZ89" s="53">
        <f t="shared" si="15"/>
        <v>3179735</v>
      </c>
      <c r="BA89" s="51"/>
      <c r="BB89" s="35" t="s">
        <v>112</v>
      </c>
      <c r="BD89" s="35" t="s">
        <v>76</v>
      </c>
      <c r="BE89" s="53"/>
      <c r="BF89" s="53">
        <v>8760000</v>
      </c>
      <c r="BG89" s="53"/>
      <c r="BH89" s="53">
        <v>0</v>
      </c>
      <c r="BI89" s="53"/>
      <c r="BJ89" s="53">
        <v>0</v>
      </c>
      <c r="BK89" s="53"/>
      <c r="BL89" s="53">
        <v>142053</v>
      </c>
      <c r="BM89" s="53"/>
      <c r="BN89" s="53">
        <f t="shared" si="16"/>
        <v>8902053</v>
      </c>
      <c r="BO89" s="54"/>
      <c r="BS89" s="55"/>
      <c r="BT89" s="55"/>
      <c r="BU89" s="84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</row>
    <row r="90" spans="1:95" s="35" customFormat="1" ht="12.75" customHeight="1">
      <c r="A90" s="35" t="s">
        <v>113</v>
      </c>
      <c r="B90" s="51"/>
      <c r="C90" s="35" t="s">
        <v>43</v>
      </c>
      <c r="D90" s="44"/>
      <c r="E90" s="53">
        <f t="shared" si="10"/>
        <v>7023160</v>
      </c>
      <c r="F90" s="53"/>
      <c r="G90" s="53">
        <v>25046512</v>
      </c>
      <c r="H90" s="53"/>
      <c r="I90" s="53">
        <v>32069672</v>
      </c>
      <c r="J90" s="53"/>
      <c r="K90" s="53">
        <f t="shared" si="11"/>
        <v>966216</v>
      </c>
      <c r="L90" s="53"/>
      <c r="M90" s="53">
        <v>341597</v>
      </c>
      <c r="N90" s="53"/>
      <c r="O90" s="53">
        <v>1307813</v>
      </c>
      <c r="P90" s="53"/>
      <c r="Q90" s="53">
        <v>24842857</v>
      </c>
      <c r="R90" s="53"/>
      <c r="S90" s="53">
        <v>0</v>
      </c>
      <c r="T90" s="53"/>
      <c r="U90" s="53">
        <v>5919002</v>
      </c>
      <c r="V90" s="53"/>
      <c r="W90" s="53">
        <f t="shared" si="12"/>
        <v>30761859</v>
      </c>
      <c r="X90" s="66"/>
      <c r="Y90" s="66"/>
      <c r="Z90" s="35" t="s">
        <v>113</v>
      </c>
      <c r="AA90" s="53"/>
      <c r="AB90" s="35" t="s">
        <v>43</v>
      </c>
      <c r="AC90" s="51"/>
      <c r="AD90" s="53">
        <v>4289318</v>
      </c>
      <c r="AE90" s="53"/>
      <c r="AF90" s="53">
        <v>3496598</v>
      </c>
      <c r="AG90" s="53"/>
      <c r="AH90" s="53">
        <v>667092</v>
      </c>
      <c r="AI90" s="53"/>
      <c r="AJ90" s="45">
        <f t="shared" ref="AJ90:AJ97" si="17">+AD90-AF90-AH90</f>
        <v>125628</v>
      </c>
      <c r="AK90" s="45"/>
      <c r="AL90" s="53">
        <v>-16450</v>
      </c>
      <c r="AM90" s="45"/>
      <c r="AN90" s="53">
        <v>0</v>
      </c>
      <c r="AO90" s="53"/>
      <c r="AP90" s="53">
        <v>5000</v>
      </c>
      <c r="AQ90" s="53"/>
      <c r="AR90" s="53">
        <v>0</v>
      </c>
      <c r="AS90" s="53"/>
      <c r="AT90" s="45">
        <f t="shared" ref="AT90:AT97" si="18">+AJ90+AL90+AN90-AP90+AR90</f>
        <v>104178</v>
      </c>
      <c r="AU90" s="45"/>
      <c r="AV90" s="53">
        <v>0</v>
      </c>
      <c r="AW90" s="53"/>
      <c r="AX90" s="53">
        <v>0</v>
      </c>
      <c r="AY90" s="53"/>
      <c r="AZ90" s="53">
        <f t="shared" ref="AZ90:AZ97" si="19">E90-K90</f>
        <v>6056944</v>
      </c>
      <c r="BA90" s="66"/>
      <c r="BB90" s="35" t="s">
        <v>113</v>
      </c>
      <c r="BD90" s="35" t="s">
        <v>43</v>
      </c>
      <c r="BE90" s="53"/>
      <c r="BF90" s="53">
        <v>341597</v>
      </c>
      <c r="BG90" s="53"/>
      <c r="BH90" s="53">
        <v>0</v>
      </c>
      <c r="BI90" s="53"/>
      <c r="BJ90" s="53">
        <v>0</v>
      </c>
      <c r="BK90" s="53"/>
      <c r="BL90" s="53">
        <v>0</v>
      </c>
      <c r="BM90" s="53"/>
      <c r="BN90" s="53">
        <f t="shared" si="16"/>
        <v>341597</v>
      </c>
      <c r="BO90" s="54"/>
      <c r="BS90" s="55"/>
      <c r="BT90" s="55"/>
      <c r="BU90" s="84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</row>
    <row r="91" spans="1:95" s="35" customFormat="1" ht="12.75" customHeight="1">
      <c r="A91" s="35" t="s">
        <v>493</v>
      </c>
      <c r="B91" s="51"/>
      <c r="C91" s="35" t="s">
        <v>57</v>
      </c>
      <c r="D91" s="44"/>
      <c r="E91" s="53">
        <f>I91-G91</f>
        <v>1920629</v>
      </c>
      <c r="F91" s="53"/>
      <c r="G91" s="53">
        <v>8642160</v>
      </c>
      <c r="H91" s="53"/>
      <c r="I91" s="53">
        <v>10562789</v>
      </c>
      <c r="J91" s="53"/>
      <c r="K91" s="53">
        <f>O91-M91</f>
        <v>437470</v>
      </c>
      <c r="L91" s="53"/>
      <c r="M91" s="53">
        <v>6773686</v>
      </c>
      <c r="N91" s="53"/>
      <c r="O91" s="53">
        <v>7211156</v>
      </c>
      <c r="P91" s="53"/>
      <c r="Q91" s="53">
        <v>1622867</v>
      </c>
      <c r="R91" s="53"/>
      <c r="S91" s="53">
        <v>0</v>
      </c>
      <c r="T91" s="53"/>
      <c r="U91" s="53">
        <v>1728766</v>
      </c>
      <c r="V91" s="53"/>
      <c r="W91" s="53">
        <f>SUM(Q91:U91)</f>
        <v>3351633</v>
      </c>
      <c r="X91" s="51"/>
      <c r="Y91" s="66"/>
      <c r="Z91" s="35" t="s">
        <v>493</v>
      </c>
      <c r="AA91" s="53"/>
      <c r="AB91" s="35" t="s">
        <v>57</v>
      </c>
      <c r="AC91" s="51"/>
      <c r="AD91" s="53">
        <v>1801256</v>
      </c>
      <c r="AE91" s="53"/>
      <c r="AF91" s="53">
        <f>1524220-347397</f>
        <v>1176823</v>
      </c>
      <c r="AG91" s="53"/>
      <c r="AH91" s="53">
        <v>347397</v>
      </c>
      <c r="AI91" s="53"/>
      <c r="AJ91" s="45">
        <f>+AD91-AF91-AH91</f>
        <v>277036</v>
      </c>
      <c r="AK91" s="45"/>
      <c r="AL91" s="53">
        <v>-201061</v>
      </c>
      <c r="AM91" s="45"/>
      <c r="AN91" s="53">
        <v>532245</v>
      </c>
      <c r="AO91" s="53"/>
      <c r="AP91" s="53">
        <v>62530</v>
      </c>
      <c r="AQ91" s="53"/>
      <c r="AR91" s="53">
        <v>0</v>
      </c>
      <c r="AS91" s="53"/>
      <c r="AT91" s="45">
        <f>+AJ91+AL91+AN91-AP91+AR91</f>
        <v>545690</v>
      </c>
      <c r="AU91" s="45"/>
      <c r="AV91" s="53">
        <v>0</v>
      </c>
      <c r="AW91" s="53"/>
      <c r="AX91" s="53">
        <v>0</v>
      </c>
      <c r="AY91" s="53"/>
      <c r="AZ91" s="53">
        <f>E91-K91</f>
        <v>1483159</v>
      </c>
      <c r="BA91" s="51"/>
      <c r="BB91" s="35" t="s">
        <v>493</v>
      </c>
      <c r="BD91" s="35" t="s">
        <v>57</v>
      </c>
      <c r="BE91" s="53"/>
      <c r="BF91" s="53">
        <v>0</v>
      </c>
      <c r="BG91" s="53"/>
      <c r="BH91" s="53">
        <v>0</v>
      </c>
      <c r="BI91" s="53"/>
      <c r="BJ91" s="53">
        <f>6480250+154718</f>
        <v>6634968</v>
      </c>
      <c r="BK91" s="53"/>
      <c r="BL91" s="53">
        <f>65305+73413</f>
        <v>138718</v>
      </c>
      <c r="BM91" s="53"/>
      <c r="BN91" s="53">
        <f>SUM(BF91:BL91)</f>
        <v>6773686</v>
      </c>
      <c r="BO91" s="54"/>
      <c r="BS91" s="55"/>
      <c r="BT91" s="55"/>
      <c r="BU91" s="84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</row>
    <row r="92" spans="1:95" s="142" customFormat="1" ht="12.75" hidden="1" customHeight="1">
      <c r="A92" s="142" t="s">
        <v>114</v>
      </c>
      <c r="B92" s="140"/>
      <c r="C92" s="142" t="s">
        <v>27</v>
      </c>
      <c r="D92" s="137"/>
      <c r="E92" s="156">
        <f t="shared" si="10"/>
        <v>0</v>
      </c>
      <c r="F92" s="156"/>
      <c r="G92" s="156"/>
      <c r="H92" s="156"/>
      <c r="I92" s="156"/>
      <c r="J92" s="156"/>
      <c r="K92" s="156">
        <f t="shared" si="11"/>
        <v>0</v>
      </c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>
        <f t="shared" si="12"/>
        <v>0</v>
      </c>
      <c r="X92" s="140"/>
      <c r="Y92" s="140"/>
      <c r="Z92" s="142" t="s">
        <v>114</v>
      </c>
      <c r="AA92" s="156"/>
      <c r="AB92" s="142" t="s">
        <v>27</v>
      </c>
      <c r="AC92" s="140"/>
      <c r="AD92" s="156"/>
      <c r="AE92" s="156"/>
      <c r="AF92" s="156"/>
      <c r="AG92" s="156"/>
      <c r="AH92" s="156"/>
      <c r="AI92" s="156"/>
      <c r="AJ92" s="143">
        <f t="shared" si="17"/>
        <v>0</v>
      </c>
      <c r="AK92" s="143"/>
      <c r="AL92" s="156"/>
      <c r="AM92" s="143"/>
      <c r="AN92" s="156"/>
      <c r="AO92" s="156"/>
      <c r="AP92" s="156"/>
      <c r="AQ92" s="156"/>
      <c r="AR92" s="156"/>
      <c r="AS92" s="156"/>
      <c r="AT92" s="143">
        <f t="shared" si="18"/>
        <v>0</v>
      </c>
      <c r="AU92" s="143"/>
      <c r="AV92" s="156">
        <v>0</v>
      </c>
      <c r="AW92" s="156"/>
      <c r="AX92" s="156">
        <v>0</v>
      </c>
      <c r="AY92" s="156"/>
      <c r="AZ92" s="156">
        <f t="shared" si="19"/>
        <v>0</v>
      </c>
      <c r="BA92" s="140"/>
      <c r="BB92" s="142" t="s">
        <v>114</v>
      </c>
      <c r="BD92" s="142" t="s">
        <v>27</v>
      </c>
      <c r="BE92" s="156"/>
      <c r="BF92" s="156"/>
      <c r="BG92" s="156"/>
      <c r="BH92" s="156"/>
      <c r="BI92" s="156"/>
      <c r="BJ92" s="156"/>
      <c r="BK92" s="156"/>
      <c r="BL92" s="156"/>
      <c r="BM92" s="156"/>
      <c r="BN92" s="156">
        <f t="shared" si="16"/>
        <v>0</v>
      </c>
      <c r="BO92" s="158"/>
      <c r="BS92" s="159"/>
      <c r="BT92" s="159"/>
      <c r="BU92" s="160"/>
      <c r="BV92" s="159"/>
      <c r="BW92" s="159"/>
      <c r="BX92" s="159"/>
      <c r="BY92" s="159"/>
      <c r="BZ92" s="159"/>
      <c r="CA92" s="159"/>
      <c r="CB92" s="159"/>
      <c r="CC92" s="159"/>
      <c r="CD92" s="159"/>
      <c r="CE92" s="159"/>
      <c r="CF92" s="159"/>
      <c r="CG92" s="159"/>
      <c r="CH92" s="159"/>
      <c r="CI92" s="159"/>
      <c r="CJ92" s="159"/>
      <c r="CK92" s="159"/>
      <c r="CL92" s="159"/>
      <c r="CM92" s="159"/>
      <c r="CN92" s="159"/>
      <c r="CO92" s="159"/>
      <c r="CP92" s="159"/>
      <c r="CQ92" s="159"/>
    </row>
    <row r="93" spans="1:95" s="35" customFormat="1" ht="12.75" customHeight="1">
      <c r="A93" s="35" t="s">
        <v>115</v>
      </c>
      <c r="C93" s="35" t="s">
        <v>19</v>
      </c>
      <c r="D93" s="44"/>
      <c r="E93" s="53">
        <f t="shared" si="10"/>
        <v>539700</v>
      </c>
      <c r="F93" s="53"/>
      <c r="G93" s="53">
        <v>6549279</v>
      </c>
      <c r="H93" s="53"/>
      <c r="I93" s="53">
        <v>7088979</v>
      </c>
      <c r="J93" s="53"/>
      <c r="K93" s="53">
        <f t="shared" si="11"/>
        <v>243844</v>
      </c>
      <c r="L93" s="53"/>
      <c r="M93" s="53">
        <v>6133443</v>
      </c>
      <c r="N93" s="53"/>
      <c r="O93" s="53">
        <v>6377287</v>
      </c>
      <c r="P93" s="53"/>
      <c r="Q93" s="53">
        <v>0</v>
      </c>
      <c r="R93" s="53"/>
      <c r="S93" s="53">
        <v>0</v>
      </c>
      <c r="T93" s="53"/>
      <c r="U93" s="53">
        <v>711692</v>
      </c>
      <c r="V93" s="53"/>
      <c r="W93" s="53">
        <f t="shared" si="12"/>
        <v>711692</v>
      </c>
      <c r="X93" s="51"/>
      <c r="Y93" s="51"/>
      <c r="Z93" s="35" t="s">
        <v>115</v>
      </c>
      <c r="AA93" s="53"/>
      <c r="AB93" s="35" t="s">
        <v>19</v>
      </c>
      <c r="AD93" s="53">
        <v>1312291</v>
      </c>
      <c r="AE93" s="53"/>
      <c r="AF93" s="53">
        <v>787414</v>
      </c>
      <c r="AG93" s="53"/>
      <c r="AH93" s="53">
        <v>142828</v>
      </c>
      <c r="AI93" s="53"/>
      <c r="AJ93" s="45">
        <f t="shared" si="17"/>
        <v>382049</v>
      </c>
      <c r="AK93" s="45"/>
      <c r="AL93" s="53">
        <v>-181950</v>
      </c>
      <c r="AM93" s="45"/>
      <c r="AN93" s="53">
        <v>0</v>
      </c>
      <c r="AO93" s="53"/>
      <c r="AP93" s="53">
        <v>22603</v>
      </c>
      <c r="AQ93" s="53"/>
      <c r="AR93" s="53">
        <v>0</v>
      </c>
      <c r="AS93" s="53"/>
      <c r="AT93" s="45">
        <f t="shared" si="18"/>
        <v>177496</v>
      </c>
      <c r="AU93" s="45"/>
      <c r="AV93" s="53">
        <v>0</v>
      </c>
      <c r="AW93" s="53"/>
      <c r="AX93" s="53">
        <v>0</v>
      </c>
      <c r="AY93" s="53"/>
      <c r="AZ93" s="53">
        <f t="shared" si="19"/>
        <v>295856</v>
      </c>
      <c r="BA93" s="51"/>
      <c r="BB93" s="35" t="s">
        <v>115</v>
      </c>
      <c r="BD93" s="35" t="s">
        <v>19</v>
      </c>
      <c r="BE93" s="53"/>
      <c r="BF93" s="53">
        <v>0</v>
      </c>
      <c r="BG93" s="53"/>
      <c r="BH93" s="53">
        <v>0</v>
      </c>
      <c r="BI93" s="53"/>
      <c r="BJ93" s="53">
        <v>0</v>
      </c>
      <c r="BK93" s="53"/>
      <c r="BL93" s="53">
        <v>6133443</v>
      </c>
      <c r="BM93" s="53"/>
      <c r="BN93" s="53">
        <f t="shared" si="16"/>
        <v>6133443</v>
      </c>
      <c r="BO93" s="54"/>
      <c r="BP93" s="55"/>
      <c r="BS93" s="55"/>
      <c r="BT93" s="55"/>
      <c r="BU93" s="84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</row>
    <row r="94" spans="1:95" s="35" customFormat="1" ht="12.75" customHeight="1">
      <c r="D94" s="44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 t="s">
        <v>485</v>
      </c>
      <c r="X94" s="51"/>
      <c r="Y94" s="51"/>
      <c r="AA94" s="53"/>
      <c r="AD94" s="53"/>
      <c r="AE94" s="53"/>
      <c r="AF94" s="53"/>
      <c r="AG94" s="53"/>
      <c r="AH94" s="53"/>
      <c r="AI94" s="53"/>
      <c r="AJ94" s="45"/>
      <c r="AK94" s="45"/>
      <c r="AL94" s="53"/>
      <c r="AM94" s="45"/>
      <c r="AN94" s="53"/>
      <c r="AO94" s="53"/>
      <c r="AP94" s="53"/>
      <c r="AQ94" s="53"/>
      <c r="AR94" s="53"/>
      <c r="AS94" s="53"/>
      <c r="AT94" s="45"/>
      <c r="AU94" s="45"/>
      <c r="AV94" s="53"/>
      <c r="AW94" s="53"/>
      <c r="AX94" s="53"/>
      <c r="AY94" s="53"/>
      <c r="AZ94" s="53" t="s">
        <v>485</v>
      </c>
      <c r="BA94" s="51"/>
      <c r="BE94" s="53"/>
      <c r="BF94" s="53"/>
      <c r="BG94" s="53"/>
      <c r="BH94" s="53"/>
      <c r="BI94" s="53"/>
      <c r="BJ94" s="53"/>
      <c r="BK94" s="53"/>
      <c r="BL94" s="53"/>
      <c r="BM94" s="53"/>
      <c r="BN94" s="53" t="s">
        <v>485</v>
      </c>
      <c r="BO94" s="54"/>
      <c r="BP94" s="55"/>
      <c r="BS94" s="55"/>
      <c r="BT94" s="55"/>
      <c r="BU94" s="84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</row>
    <row r="95" spans="1:95" s="64" customFormat="1" ht="12.75" customHeight="1">
      <c r="A95" s="64" t="s">
        <v>116</v>
      </c>
      <c r="B95" s="66"/>
      <c r="C95" s="64" t="s">
        <v>80</v>
      </c>
      <c r="D95" s="46"/>
      <c r="E95" s="79">
        <f t="shared" si="10"/>
        <v>529493</v>
      </c>
      <c r="F95" s="79"/>
      <c r="G95" s="79">
        <v>3770476</v>
      </c>
      <c r="H95" s="79"/>
      <c r="I95" s="79">
        <v>4299969</v>
      </c>
      <c r="J95" s="79"/>
      <c r="K95" s="79">
        <f t="shared" si="11"/>
        <v>410262</v>
      </c>
      <c r="L95" s="79"/>
      <c r="M95" s="79">
        <v>1770941</v>
      </c>
      <c r="N95" s="79"/>
      <c r="O95" s="79">
        <v>2181203</v>
      </c>
      <c r="P95" s="79"/>
      <c r="Q95" s="79">
        <v>1877637</v>
      </c>
      <c r="R95" s="79"/>
      <c r="S95" s="79">
        <v>0</v>
      </c>
      <c r="T95" s="79"/>
      <c r="U95" s="79">
        <v>241129</v>
      </c>
      <c r="V95" s="79"/>
      <c r="W95" s="79">
        <f t="shared" si="12"/>
        <v>2118766</v>
      </c>
      <c r="X95" s="66"/>
      <c r="Y95" s="66"/>
      <c r="Z95" s="64" t="s">
        <v>116</v>
      </c>
      <c r="AA95" s="79"/>
      <c r="AB95" s="64" t="s">
        <v>80</v>
      </c>
      <c r="AC95" s="66"/>
      <c r="AD95" s="79">
        <v>3004273</v>
      </c>
      <c r="AE95" s="79"/>
      <c r="AF95" s="79">
        <v>2498470</v>
      </c>
      <c r="AG95" s="79"/>
      <c r="AH95" s="79">
        <v>42126</v>
      </c>
      <c r="AI95" s="79"/>
      <c r="AJ95" s="94">
        <f t="shared" si="17"/>
        <v>463677</v>
      </c>
      <c r="AK95" s="94"/>
      <c r="AL95" s="79">
        <v>-428861</v>
      </c>
      <c r="AM95" s="94"/>
      <c r="AN95" s="79">
        <v>0</v>
      </c>
      <c r="AO95" s="79"/>
      <c r="AP95" s="79">
        <v>0</v>
      </c>
      <c r="AQ95" s="79"/>
      <c r="AR95" s="79">
        <v>0</v>
      </c>
      <c r="AS95" s="79"/>
      <c r="AT95" s="94">
        <f t="shared" si="18"/>
        <v>34816</v>
      </c>
      <c r="AU95" s="94"/>
      <c r="AV95" s="79">
        <v>0</v>
      </c>
      <c r="AW95" s="79"/>
      <c r="AX95" s="79">
        <v>0</v>
      </c>
      <c r="AY95" s="79"/>
      <c r="AZ95" s="79">
        <f t="shared" si="19"/>
        <v>119231</v>
      </c>
      <c r="BA95" s="66"/>
      <c r="BB95" s="64" t="s">
        <v>116</v>
      </c>
      <c r="BD95" s="64" t="s">
        <v>80</v>
      </c>
      <c r="BE95" s="79"/>
      <c r="BF95" s="79">
        <v>0</v>
      </c>
      <c r="BG95" s="79"/>
      <c r="BH95" s="79">
        <v>0</v>
      </c>
      <c r="BI95" s="79"/>
      <c r="BJ95" s="79">
        <v>1717314</v>
      </c>
      <c r="BK95" s="79"/>
      <c r="BL95" s="79">
        <v>53627</v>
      </c>
      <c r="BM95" s="79"/>
      <c r="BN95" s="79">
        <f t="shared" si="16"/>
        <v>1770941</v>
      </c>
      <c r="BO95" s="91"/>
      <c r="BS95" s="90"/>
      <c r="BT95" s="90"/>
      <c r="BU95" s="95"/>
      <c r="BV95" s="90"/>
      <c r="BW95" s="90"/>
      <c r="BX95" s="90"/>
      <c r="BY95" s="90"/>
      <c r="BZ95" s="90"/>
      <c r="CA95" s="90"/>
      <c r="CB95" s="90"/>
      <c r="CC95" s="90"/>
      <c r="CD95" s="90"/>
      <c r="CE95" s="90"/>
      <c r="CF95" s="90"/>
      <c r="CG95" s="90"/>
      <c r="CH95" s="90"/>
      <c r="CI95" s="90"/>
      <c r="CJ95" s="90"/>
      <c r="CK95" s="90"/>
      <c r="CL95" s="90"/>
      <c r="CM95" s="90"/>
      <c r="CN95" s="90"/>
      <c r="CO95" s="90"/>
      <c r="CP95" s="90"/>
      <c r="CQ95" s="90"/>
    </row>
    <row r="96" spans="1:95" s="142" customFormat="1" ht="12.75" hidden="1" customHeight="1">
      <c r="A96" s="137" t="s">
        <v>117</v>
      </c>
      <c r="B96" s="140"/>
      <c r="C96" s="142" t="s">
        <v>43</v>
      </c>
      <c r="D96" s="137"/>
      <c r="E96" s="156">
        <f t="shared" si="10"/>
        <v>0</v>
      </c>
      <c r="F96" s="156"/>
      <c r="G96" s="156">
        <v>0</v>
      </c>
      <c r="H96" s="156"/>
      <c r="I96" s="156">
        <v>0</v>
      </c>
      <c r="J96" s="156"/>
      <c r="K96" s="156">
        <f t="shared" si="11"/>
        <v>0</v>
      </c>
      <c r="L96" s="156"/>
      <c r="M96" s="156">
        <v>0</v>
      </c>
      <c r="N96" s="156"/>
      <c r="O96" s="156">
        <v>0</v>
      </c>
      <c r="P96" s="156"/>
      <c r="Q96" s="156">
        <v>0</v>
      </c>
      <c r="R96" s="156"/>
      <c r="S96" s="156">
        <v>0</v>
      </c>
      <c r="T96" s="156"/>
      <c r="U96" s="156">
        <v>0</v>
      </c>
      <c r="V96" s="156"/>
      <c r="W96" s="156">
        <f t="shared" si="12"/>
        <v>0</v>
      </c>
      <c r="X96" s="140"/>
      <c r="Y96" s="140"/>
      <c r="Z96" s="137" t="s">
        <v>117</v>
      </c>
      <c r="AA96" s="156"/>
      <c r="AB96" s="142" t="s">
        <v>43</v>
      </c>
      <c r="AC96" s="140"/>
      <c r="AD96" s="156">
        <v>0</v>
      </c>
      <c r="AE96" s="156"/>
      <c r="AF96" s="156">
        <v>0</v>
      </c>
      <c r="AG96" s="156"/>
      <c r="AH96" s="156">
        <v>0</v>
      </c>
      <c r="AI96" s="156"/>
      <c r="AJ96" s="143">
        <f t="shared" si="17"/>
        <v>0</v>
      </c>
      <c r="AK96" s="143"/>
      <c r="AL96" s="156">
        <v>0</v>
      </c>
      <c r="AM96" s="143"/>
      <c r="AN96" s="156">
        <v>0</v>
      </c>
      <c r="AO96" s="156"/>
      <c r="AP96" s="156">
        <v>0</v>
      </c>
      <c r="AQ96" s="156"/>
      <c r="AR96" s="156">
        <v>0</v>
      </c>
      <c r="AS96" s="156"/>
      <c r="AT96" s="143">
        <f t="shared" si="18"/>
        <v>0</v>
      </c>
      <c r="AU96" s="143"/>
      <c r="AV96" s="156">
        <v>0</v>
      </c>
      <c r="AW96" s="156"/>
      <c r="AX96" s="156">
        <v>0</v>
      </c>
      <c r="AY96" s="156"/>
      <c r="AZ96" s="156">
        <f t="shared" si="19"/>
        <v>0</v>
      </c>
      <c r="BA96" s="140"/>
      <c r="BB96" s="137" t="s">
        <v>117</v>
      </c>
      <c r="BD96" s="142" t="s">
        <v>43</v>
      </c>
      <c r="BE96" s="156"/>
      <c r="BF96" s="156">
        <v>0</v>
      </c>
      <c r="BG96" s="156"/>
      <c r="BH96" s="156">
        <v>0</v>
      </c>
      <c r="BI96" s="156"/>
      <c r="BJ96" s="156">
        <v>0</v>
      </c>
      <c r="BK96" s="156"/>
      <c r="BL96" s="156">
        <v>0</v>
      </c>
      <c r="BM96" s="156"/>
      <c r="BN96" s="156">
        <f t="shared" si="16"/>
        <v>0</v>
      </c>
      <c r="BO96" s="158"/>
      <c r="BS96" s="159"/>
      <c r="BT96" s="159"/>
      <c r="BU96" s="160"/>
      <c r="BV96" s="159"/>
      <c r="BW96" s="159"/>
      <c r="BX96" s="159"/>
      <c r="BY96" s="159"/>
      <c r="BZ96" s="159"/>
      <c r="CA96" s="159"/>
      <c r="CB96" s="159"/>
      <c r="CC96" s="159"/>
      <c r="CD96" s="159"/>
      <c r="CE96" s="159"/>
      <c r="CF96" s="159"/>
      <c r="CG96" s="159"/>
      <c r="CH96" s="159"/>
      <c r="CI96" s="159"/>
      <c r="CJ96" s="159"/>
      <c r="CK96" s="159"/>
      <c r="CL96" s="159"/>
      <c r="CM96" s="159"/>
      <c r="CN96" s="159"/>
      <c r="CO96" s="159"/>
      <c r="CP96" s="159"/>
      <c r="CQ96" s="159"/>
    </row>
    <row r="97" spans="1:95" s="142" customFormat="1" ht="12.75" hidden="1" customHeight="1">
      <c r="A97" s="142" t="s">
        <v>118</v>
      </c>
      <c r="B97" s="140"/>
      <c r="C97" s="142" t="s">
        <v>13</v>
      </c>
      <c r="D97" s="137"/>
      <c r="E97" s="156">
        <f t="shared" si="10"/>
        <v>0</v>
      </c>
      <c r="F97" s="156"/>
      <c r="G97" s="156"/>
      <c r="H97" s="156"/>
      <c r="I97" s="156"/>
      <c r="J97" s="156"/>
      <c r="K97" s="156">
        <f t="shared" si="11"/>
        <v>0</v>
      </c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>
        <f t="shared" si="12"/>
        <v>0</v>
      </c>
      <c r="X97" s="140"/>
      <c r="Y97" s="140"/>
      <c r="Z97" s="142" t="s">
        <v>118</v>
      </c>
      <c r="AA97" s="156"/>
      <c r="AB97" s="142" t="s">
        <v>13</v>
      </c>
      <c r="AC97" s="140"/>
      <c r="AD97" s="156"/>
      <c r="AE97" s="156"/>
      <c r="AF97" s="156"/>
      <c r="AG97" s="156"/>
      <c r="AH97" s="156"/>
      <c r="AI97" s="156"/>
      <c r="AJ97" s="143">
        <f t="shared" si="17"/>
        <v>0</v>
      </c>
      <c r="AK97" s="143"/>
      <c r="AL97" s="156"/>
      <c r="AM97" s="143"/>
      <c r="AN97" s="156"/>
      <c r="AO97" s="156"/>
      <c r="AP97" s="156"/>
      <c r="AQ97" s="156"/>
      <c r="AR97" s="156"/>
      <c r="AS97" s="156"/>
      <c r="AT97" s="143">
        <f t="shared" si="18"/>
        <v>0</v>
      </c>
      <c r="AU97" s="143"/>
      <c r="AV97" s="156">
        <v>0</v>
      </c>
      <c r="AW97" s="156"/>
      <c r="AX97" s="156">
        <v>0</v>
      </c>
      <c r="AY97" s="156"/>
      <c r="AZ97" s="156">
        <f t="shared" si="19"/>
        <v>0</v>
      </c>
      <c r="BA97" s="140"/>
      <c r="BB97" s="142" t="s">
        <v>118</v>
      </c>
      <c r="BD97" s="142" t="s">
        <v>13</v>
      </c>
      <c r="BE97" s="156"/>
      <c r="BF97" s="156"/>
      <c r="BG97" s="156"/>
      <c r="BH97" s="156"/>
      <c r="BI97" s="156"/>
      <c r="BJ97" s="156"/>
      <c r="BK97" s="156"/>
      <c r="BL97" s="156"/>
      <c r="BM97" s="156"/>
      <c r="BN97" s="156">
        <f t="shared" si="16"/>
        <v>0</v>
      </c>
      <c r="BO97" s="158"/>
      <c r="BS97" s="159"/>
      <c r="BT97" s="159"/>
      <c r="BU97" s="160"/>
      <c r="BV97" s="159"/>
      <c r="BW97" s="159"/>
      <c r="BX97" s="159"/>
      <c r="BY97" s="159"/>
      <c r="BZ97" s="159"/>
      <c r="CA97" s="159"/>
      <c r="CB97" s="159"/>
      <c r="CC97" s="159"/>
      <c r="CD97" s="159"/>
      <c r="CE97" s="159"/>
      <c r="CF97" s="159"/>
      <c r="CG97" s="159"/>
      <c r="CH97" s="159"/>
      <c r="CI97" s="159"/>
      <c r="CJ97" s="159"/>
      <c r="CK97" s="159"/>
      <c r="CL97" s="159"/>
      <c r="CM97" s="159"/>
      <c r="CN97" s="159"/>
      <c r="CO97" s="159"/>
      <c r="CP97" s="159"/>
      <c r="CQ97" s="159"/>
    </row>
    <row r="98" spans="1:95" s="35" customFormat="1" ht="12.75" customHeight="1">
      <c r="A98" s="35" t="s">
        <v>120</v>
      </c>
      <c r="B98" s="51"/>
      <c r="C98" s="35" t="s">
        <v>121</v>
      </c>
      <c r="D98" s="44"/>
      <c r="E98" s="53">
        <f t="shared" si="10"/>
        <v>2332722</v>
      </c>
      <c r="F98" s="53"/>
      <c r="G98" s="53">
        <v>8209303</v>
      </c>
      <c r="H98" s="53"/>
      <c r="I98" s="53">
        <v>10542025</v>
      </c>
      <c r="J98" s="53"/>
      <c r="K98" s="53">
        <f t="shared" si="11"/>
        <v>119859</v>
      </c>
      <c r="L98" s="53"/>
      <c r="M98" s="53">
        <v>62902</v>
      </c>
      <c r="N98" s="53"/>
      <c r="O98" s="53">
        <v>182761</v>
      </c>
      <c r="P98" s="53"/>
      <c r="Q98" s="53">
        <v>8209303</v>
      </c>
      <c r="R98" s="53"/>
      <c r="S98" s="53">
        <v>0</v>
      </c>
      <c r="T98" s="53"/>
      <c r="U98" s="53">
        <v>2149961</v>
      </c>
      <c r="V98" s="53"/>
      <c r="W98" s="53">
        <f t="shared" si="12"/>
        <v>10359264</v>
      </c>
      <c r="X98" s="51"/>
      <c r="Y98" s="51"/>
      <c r="Z98" s="35" t="s">
        <v>120</v>
      </c>
      <c r="AA98" s="53"/>
      <c r="AB98" s="35" t="s">
        <v>121</v>
      </c>
      <c r="AC98" s="51"/>
      <c r="AD98" s="53">
        <v>1365740</v>
      </c>
      <c r="AE98" s="53"/>
      <c r="AF98" s="53">
        <v>1084098</v>
      </c>
      <c r="AG98" s="53"/>
      <c r="AH98" s="53">
        <v>273814</v>
      </c>
      <c r="AI98" s="53"/>
      <c r="AJ98" s="45">
        <f t="shared" ref="AJ98:AJ106" si="20">+AD98-AF98-AH98</f>
        <v>7828</v>
      </c>
      <c r="AK98" s="45"/>
      <c r="AL98" s="53">
        <v>120904</v>
      </c>
      <c r="AM98" s="45"/>
      <c r="AN98" s="53">
        <v>0</v>
      </c>
      <c r="AO98" s="53"/>
      <c r="AP98" s="53">
        <v>0</v>
      </c>
      <c r="AQ98" s="53"/>
      <c r="AR98" s="53">
        <v>48273</v>
      </c>
      <c r="AS98" s="53"/>
      <c r="AT98" s="45">
        <f t="shared" ref="AT98:AT129" si="21">+AJ98+AL98+AN98-AP98+AR98</f>
        <v>177005</v>
      </c>
      <c r="AU98" s="45"/>
      <c r="AV98" s="53">
        <v>0</v>
      </c>
      <c r="AW98" s="53"/>
      <c r="AX98" s="53">
        <v>0</v>
      </c>
      <c r="AY98" s="53"/>
      <c r="AZ98" s="53">
        <f t="shared" ref="AZ98:AZ129" si="22">E98-K98</f>
        <v>2212863</v>
      </c>
      <c r="BA98" s="51"/>
      <c r="BB98" s="35" t="s">
        <v>120</v>
      </c>
      <c r="BD98" s="35" t="s">
        <v>121</v>
      </c>
      <c r="BE98" s="53"/>
      <c r="BF98" s="53">
        <v>0</v>
      </c>
      <c r="BG98" s="53"/>
      <c r="BH98" s="53">
        <v>0</v>
      </c>
      <c r="BI98" s="53"/>
      <c r="BJ98" s="53">
        <v>0</v>
      </c>
      <c r="BK98" s="53"/>
      <c r="BL98" s="53">
        <v>62902</v>
      </c>
      <c r="BM98" s="53"/>
      <c r="BN98" s="53">
        <f t="shared" si="16"/>
        <v>62902</v>
      </c>
      <c r="BO98" s="54"/>
      <c r="BS98" s="55"/>
      <c r="BT98" s="55"/>
      <c r="BU98" s="84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</row>
    <row r="99" spans="1:95" s="35" customFormat="1" ht="12.75" customHeight="1">
      <c r="A99" s="35" t="s">
        <v>122</v>
      </c>
      <c r="B99" s="51"/>
      <c r="C99" s="35" t="s">
        <v>43</v>
      </c>
      <c r="D99" s="44"/>
      <c r="E99" s="53">
        <f t="shared" si="10"/>
        <v>2694715</v>
      </c>
      <c r="F99" s="53"/>
      <c r="G99" s="53">
        <v>20927084</v>
      </c>
      <c r="H99" s="53"/>
      <c r="I99" s="53">
        <v>23621799</v>
      </c>
      <c r="J99" s="53"/>
      <c r="K99" s="53">
        <f t="shared" si="11"/>
        <v>30176</v>
      </c>
      <c r="L99" s="53"/>
      <c r="M99" s="53">
        <v>148547</v>
      </c>
      <c r="N99" s="53"/>
      <c r="O99" s="53">
        <v>178723</v>
      </c>
      <c r="P99" s="53"/>
      <c r="Q99" s="53">
        <v>20755188</v>
      </c>
      <c r="R99" s="53"/>
      <c r="S99" s="53">
        <v>0</v>
      </c>
      <c r="T99" s="53"/>
      <c r="U99" s="53">
        <v>2687888</v>
      </c>
      <c r="V99" s="53"/>
      <c r="W99" s="53">
        <f t="shared" si="12"/>
        <v>23443076</v>
      </c>
      <c r="X99" s="51"/>
      <c r="Y99" s="51"/>
      <c r="Z99" s="35" t="s">
        <v>122</v>
      </c>
      <c r="AA99" s="53"/>
      <c r="AB99" s="35" t="s">
        <v>43</v>
      </c>
      <c r="AC99" s="51"/>
      <c r="AD99" s="53">
        <v>766947</v>
      </c>
      <c r="AE99" s="53"/>
      <c r="AF99" s="53">
        <v>118279</v>
      </c>
      <c r="AG99" s="53"/>
      <c r="AH99" s="53">
        <v>549685</v>
      </c>
      <c r="AI99" s="53"/>
      <c r="AJ99" s="45">
        <f t="shared" si="20"/>
        <v>98983</v>
      </c>
      <c r="AK99" s="45"/>
      <c r="AL99" s="53">
        <v>-5572</v>
      </c>
      <c r="AM99" s="45"/>
      <c r="AN99" s="53">
        <v>0</v>
      </c>
      <c r="AO99" s="53"/>
      <c r="AP99" s="53">
        <v>158243</v>
      </c>
      <c r="AQ99" s="53"/>
      <c r="AR99" s="53">
        <v>174282</v>
      </c>
      <c r="AS99" s="53"/>
      <c r="AT99" s="45">
        <f t="shared" si="21"/>
        <v>109450</v>
      </c>
      <c r="AU99" s="45"/>
      <c r="AV99" s="53">
        <v>0</v>
      </c>
      <c r="AW99" s="53"/>
      <c r="AX99" s="53">
        <v>0</v>
      </c>
      <c r="AY99" s="53"/>
      <c r="AZ99" s="53">
        <f t="shared" si="22"/>
        <v>2664539</v>
      </c>
      <c r="BA99" s="51"/>
      <c r="BB99" s="35" t="s">
        <v>122</v>
      </c>
      <c r="BD99" s="35" t="s">
        <v>43</v>
      </c>
      <c r="BE99" s="53"/>
      <c r="BF99" s="53">
        <v>0</v>
      </c>
      <c r="BG99" s="53"/>
      <c r="BH99" s="53">
        <v>0</v>
      </c>
      <c r="BI99" s="53"/>
      <c r="BJ99" s="53">
        <v>146600</v>
      </c>
      <c r="BK99" s="53"/>
      <c r="BL99" s="53">
        <v>1947</v>
      </c>
      <c r="BM99" s="53"/>
      <c r="BN99" s="53">
        <f t="shared" si="16"/>
        <v>148547</v>
      </c>
      <c r="BO99" s="54"/>
      <c r="BS99" s="55"/>
      <c r="BT99" s="55"/>
      <c r="BU99" s="84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</row>
    <row r="100" spans="1:95" s="35" customFormat="1" ht="12.75" customHeight="1">
      <c r="A100" s="44" t="s">
        <v>45</v>
      </c>
      <c r="B100" s="51"/>
      <c r="C100" s="35" t="s">
        <v>103</v>
      </c>
      <c r="D100" s="44"/>
      <c r="E100" s="53">
        <f t="shared" si="10"/>
        <v>16129061</v>
      </c>
      <c r="F100" s="53"/>
      <c r="G100" s="53">
        <v>90561363</v>
      </c>
      <c r="H100" s="53"/>
      <c r="I100" s="53">
        <v>106690424</v>
      </c>
      <c r="J100" s="53"/>
      <c r="K100" s="53">
        <f t="shared" si="11"/>
        <v>12623081</v>
      </c>
      <c r="L100" s="53"/>
      <c r="M100" s="53">
        <v>8487344</v>
      </c>
      <c r="N100" s="53"/>
      <c r="O100" s="53">
        <v>21110425</v>
      </c>
      <c r="P100" s="53"/>
      <c r="Q100" s="53">
        <v>71934399</v>
      </c>
      <c r="R100" s="53"/>
      <c r="S100" s="53">
        <v>1270524</v>
      </c>
      <c r="T100" s="53"/>
      <c r="U100" s="53">
        <v>12375076</v>
      </c>
      <c r="V100" s="53"/>
      <c r="W100" s="53">
        <f t="shared" si="12"/>
        <v>85579999</v>
      </c>
      <c r="X100" s="51"/>
      <c r="Y100" s="51"/>
      <c r="Z100" s="44" t="s">
        <v>45</v>
      </c>
      <c r="AA100" s="53"/>
      <c r="AB100" s="35" t="s">
        <v>103</v>
      </c>
      <c r="AC100" s="51"/>
      <c r="AD100" s="53">
        <v>15828437</v>
      </c>
      <c r="AE100" s="53"/>
      <c r="AF100" s="53">
        <v>11084545</v>
      </c>
      <c r="AG100" s="53"/>
      <c r="AH100" s="53">
        <v>2633598</v>
      </c>
      <c r="AI100" s="53"/>
      <c r="AJ100" s="45">
        <f t="shared" si="20"/>
        <v>2110294</v>
      </c>
      <c r="AK100" s="45"/>
      <c r="AL100" s="53">
        <v>-935768</v>
      </c>
      <c r="AM100" s="45"/>
      <c r="AN100" s="53">
        <v>0</v>
      </c>
      <c r="AO100" s="53"/>
      <c r="AP100" s="53">
        <v>0</v>
      </c>
      <c r="AQ100" s="53"/>
      <c r="AR100" s="53">
        <v>0</v>
      </c>
      <c r="AS100" s="53"/>
      <c r="AT100" s="45">
        <f t="shared" si="21"/>
        <v>1174526</v>
      </c>
      <c r="AU100" s="45"/>
      <c r="AV100" s="53">
        <v>0</v>
      </c>
      <c r="AW100" s="53"/>
      <c r="AX100" s="53">
        <v>0</v>
      </c>
      <c r="AY100" s="53"/>
      <c r="AZ100" s="53">
        <f t="shared" si="22"/>
        <v>3505980</v>
      </c>
      <c r="BA100" s="51"/>
      <c r="BB100" s="44" t="s">
        <v>45</v>
      </c>
      <c r="BD100" s="35" t="s">
        <v>103</v>
      </c>
      <c r="BE100" s="53"/>
      <c r="BF100" s="53">
        <v>0</v>
      </c>
      <c r="BG100" s="53"/>
      <c r="BH100" s="53">
        <v>8097011</v>
      </c>
      <c r="BI100" s="53"/>
      <c r="BJ100" s="53">
        <v>0</v>
      </c>
      <c r="BK100" s="53"/>
      <c r="BL100" s="53">
        <v>390333</v>
      </c>
      <c r="BM100" s="53"/>
      <c r="BN100" s="53">
        <f t="shared" si="16"/>
        <v>8487344</v>
      </c>
      <c r="BO100" s="54"/>
      <c r="BS100" s="55"/>
      <c r="BT100" s="55"/>
      <c r="BU100" s="84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</row>
    <row r="101" spans="1:95" s="35" customFormat="1" ht="12.75" customHeight="1">
      <c r="A101" s="44" t="s">
        <v>123</v>
      </c>
      <c r="B101" s="51"/>
      <c r="C101" s="35" t="s">
        <v>45</v>
      </c>
      <c r="D101" s="44"/>
      <c r="E101" s="53">
        <f t="shared" si="10"/>
        <v>2372816</v>
      </c>
      <c r="F101" s="53"/>
      <c r="G101" s="53">
        <v>12096716</v>
      </c>
      <c r="H101" s="53"/>
      <c r="I101" s="53">
        <v>14469532</v>
      </c>
      <c r="J101" s="53"/>
      <c r="K101" s="53">
        <f t="shared" si="11"/>
        <v>392257</v>
      </c>
      <c r="L101" s="53"/>
      <c r="M101" s="53">
        <v>3055952</v>
      </c>
      <c r="N101" s="53"/>
      <c r="O101" s="53">
        <v>3448209</v>
      </c>
      <c r="P101" s="53"/>
      <c r="Q101" s="53">
        <v>8795825</v>
      </c>
      <c r="R101" s="53"/>
      <c r="S101" s="53">
        <v>0</v>
      </c>
      <c r="T101" s="53"/>
      <c r="U101" s="53">
        <v>2225498</v>
      </c>
      <c r="V101" s="53"/>
      <c r="W101" s="53">
        <f t="shared" si="12"/>
        <v>11021323</v>
      </c>
      <c r="X101" s="51"/>
      <c r="Y101" s="51"/>
      <c r="Z101" s="44" t="s">
        <v>123</v>
      </c>
      <c r="AA101" s="53"/>
      <c r="AB101" s="35" t="s">
        <v>45</v>
      </c>
      <c r="AC101" s="51"/>
      <c r="AD101" s="53">
        <v>1440960</v>
      </c>
      <c r="AE101" s="53"/>
      <c r="AF101" s="53">
        <v>512480</v>
      </c>
      <c r="AG101" s="53"/>
      <c r="AH101" s="53">
        <v>302714</v>
      </c>
      <c r="AI101" s="53"/>
      <c r="AJ101" s="45">
        <f t="shared" si="20"/>
        <v>625766</v>
      </c>
      <c r="AK101" s="45"/>
      <c r="AL101" s="53">
        <v>-78929</v>
      </c>
      <c r="AM101" s="45"/>
      <c r="AN101" s="53">
        <v>0</v>
      </c>
      <c r="AO101" s="53"/>
      <c r="AP101" s="53">
        <v>0</v>
      </c>
      <c r="AQ101" s="53"/>
      <c r="AR101" s="53">
        <v>0</v>
      </c>
      <c r="AS101" s="53"/>
      <c r="AT101" s="45">
        <f t="shared" si="21"/>
        <v>546837</v>
      </c>
      <c r="AU101" s="45"/>
      <c r="AV101" s="53">
        <v>0</v>
      </c>
      <c r="AW101" s="53"/>
      <c r="AX101" s="53">
        <v>0</v>
      </c>
      <c r="AY101" s="53"/>
      <c r="AZ101" s="53">
        <f t="shared" si="22"/>
        <v>1980559</v>
      </c>
      <c r="BA101" s="51"/>
      <c r="BB101" s="44" t="s">
        <v>123</v>
      </c>
      <c r="BD101" s="35" t="s">
        <v>45</v>
      </c>
      <c r="BE101" s="53"/>
      <c r="BF101" s="53">
        <v>0</v>
      </c>
      <c r="BG101" s="53"/>
      <c r="BH101" s="53">
        <v>0</v>
      </c>
      <c r="BI101" s="53"/>
      <c r="BJ101" s="53">
        <v>3007305</v>
      </c>
      <c r="BK101" s="53"/>
      <c r="BL101" s="53">
        <v>48647</v>
      </c>
      <c r="BM101" s="53"/>
      <c r="BN101" s="53">
        <f t="shared" si="16"/>
        <v>3055952</v>
      </c>
      <c r="BO101" s="54"/>
      <c r="BS101" s="55"/>
      <c r="BT101" s="55"/>
      <c r="BU101" s="84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</row>
    <row r="102" spans="1:95" s="35" customFormat="1" ht="12.75" customHeight="1">
      <c r="A102" s="35" t="s">
        <v>124</v>
      </c>
      <c r="B102" s="51"/>
      <c r="C102" s="35" t="s">
        <v>125</v>
      </c>
      <c r="D102" s="44"/>
      <c r="E102" s="53">
        <f t="shared" si="10"/>
        <v>1018928</v>
      </c>
      <c r="F102" s="53"/>
      <c r="G102" s="53">
        <v>9398472</v>
      </c>
      <c r="H102" s="53"/>
      <c r="I102" s="53">
        <v>10417400</v>
      </c>
      <c r="J102" s="53"/>
      <c r="K102" s="53">
        <f t="shared" si="11"/>
        <v>394229</v>
      </c>
      <c r="L102" s="53"/>
      <c r="M102" s="53">
        <v>2075937</v>
      </c>
      <c r="N102" s="53"/>
      <c r="O102" s="53">
        <v>2470166</v>
      </c>
      <c r="P102" s="53"/>
      <c r="Q102" s="53">
        <v>7218472</v>
      </c>
      <c r="R102" s="53"/>
      <c r="S102" s="53">
        <v>0</v>
      </c>
      <c r="T102" s="53"/>
      <c r="U102" s="53">
        <v>728762</v>
      </c>
      <c r="V102" s="53"/>
      <c r="W102" s="53">
        <f t="shared" si="12"/>
        <v>7947234</v>
      </c>
      <c r="X102" s="51"/>
      <c r="Y102" s="51"/>
      <c r="Z102" s="35" t="s">
        <v>124</v>
      </c>
      <c r="AA102" s="53"/>
      <c r="AB102" s="35" t="s">
        <v>125</v>
      </c>
      <c r="AC102" s="51"/>
      <c r="AD102" s="53">
        <v>1409782</v>
      </c>
      <c r="AE102" s="53"/>
      <c r="AF102" s="53">
        <v>1111136</v>
      </c>
      <c r="AG102" s="53"/>
      <c r="AH102" s="53">
        <v>351700</v>
      </c>
      <c r="AI102" s="53"/>
      <c r="AJ102" s="45">
        <f t="shared" si="20"/>
        <v>-53054</v>
      </c>
      <c r="AK102" s="45"/>
      <c r="AL102" s="53">
        <v>-107634</v>
      </c>
      <c r="AM102" s="45"/>
      <c r="AN102" s="53">
        <v>0</v>
      </c>
      <c r="AO102" s="53"/>
      <c r="AP102" s="53">
        <v>0</v>
      </c>
      <c r="AQ102" s="53"/>
      <c r="AR102" s="53">
        <v>0</v>
      </c>
      <c r="AS102" s="53"/>
      <c r="AT102" s="45">
        <f t="shared" si="21"/>
        <v>-160688</v>
      </c>
      <c r="AU102" s="45"/>
      <c r="AV102" s="53">
        <v>0</v>
      </c>
      <c r="AW102" s="53"/>
      <c r="AX102" s="53">
        <v>0</v>
      </c>
      <c r="AY102" s="53"/>
      <c r="AZ102" s="53">
        <f t="shared" si="22"/>
        <v>624699</v>
      </c>
      <c r="BA102" s="51"/>
      <c r="BB102" s="35" t="s">
        <v>124</v>
      </c>
      <c r="BD102" s="35" t="s">
        <v>125</v>
      </c>
      <c r="BE102" s="53"/>
      <c r="BF102" s="53">
        <v>2025000</v>
      </c>
      <c r="BG102" s="53"/>
      <c r="BH102" s="53">
        <v>0</v>
      </c>
      <c r="BI102" s="53"/>
      <c r="BJ102" s="53">
        <v>0</v>
      </c>
      <c r="BK102" s="53"/>
      <c r="BL102" s="53">
        <v>50937</v>
      </c>
      <c r="BM102" s="53"/>
      <c r="BN102" s="53">
        <f t="shared" si="16"/>
        <v>2075937</v>
      </c>
      <c r="BO102" s="54"/>
      <c r="BS102" s="55"/>
      <c r="BT102" s="55"/>
      <c r="BU102" s="84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</row>
    <row r="103" spans="1:95" s="142" customFormat="1" ht="12.75" hidden="1" customHeight="1">
      <c r="A103" s="142" t="s">
        <v>126</v>
      </c>
      <c r="B103" s="140"/>
      <c r="C103" s="142" t="s">
        <v>27</v>
      </c>
      <c r="D103" s="137"/>
      <c r="E103" s="156">
        <f t="shared" si="10"/>
        <v>0</v>
      </c>
      <c r="F103" s="156"/>
      <c r="G103" s="156">
        <v>0</v>
      </c>
      <c r="H103" s="156"/>
      <c r="I103" s="156">
        <v>0</v>
      </c>
      <c r="J103" s="156"/>
      <c r="K103" s="156">
        <f t="shared" si="11"/>
        <v>0</v>
      </c>
      <c r="L103" s="156"/>
      <c r="M103" s="156">
        <v>0</v>
      </c>
      <c r="N103" s="156"/>
      <c r="O103" s="156">
        <v>0</v>
      </c>
      <c r="P103" s="156"/>
      <c r="Q103" s="156">
        <v>0</v>
      </c>
      <c r="R103" s="156"/>
      <c r="S103" s="156">
        <v>0</v>
      </c>
      <c r="T103" s="156"/>
      <c r="U103" s="156">
        <v>0</v>
      </c>
      <c r="V103" s="156"/>
      <c r="W103" s="156">
        <f t="shared" si="12"/>
        <v>0</v>
      </c>
      <c r="X103" s="140"/>
      <c r="Y103" s="140"/>
      <c r="Z103" s="142" t="s">
        <v>126</v>
      </c>
      <c r="AA103" s="156"/>
      <c r="AB103" s="142" t="s">
        <v>27</v>
      </c>
      <c r="AC103" s="140"/>
      <c r="AD103" s="156">
        <v>0</v>
      </c>
      <c r="AE103" s="156"/>
      <c r="AF103" s="156">
        <v>0</v>
      </c>
      <c r="AG103" s="156"/>
      <c r="AH103" s="156">
        <v>0</v>
      </c>
      <c r="AI103" s="156"/>
      <c r="AJ103" s="143">
        <f t="shared" si="20"/>
        <v>0</v>
      </c>
      <c r="AK103" s="143"/>
      <c r="AL103" s="156">
        <v>0</v>
      </c>
      <c r="AM103" s="143"/>
      <c r="AN103" s="156">
        <v>0</v>
      </c>
      <c r="AO103" s="156"/>
      <c r="AP103" s="156">
        <v>0</v>
      </c>
      <c r="AQ103" s="156"/>
      <c r="AR103" s="156">
        <v>0</v>
      </c>
      <c r="AS103" s="156"/>
      <c r="AT103" s="143">
        <f t="shared" si="21"/>
        <v>0</v>
      </c>
      <c r="AU103" s="143"/>
      <c r="AV103" s="156">
        <v>0</v>
      </c>
      <c r="AW103" s="156"/>
      <c r="AX103" s="156">
        <v>0</v>
      </c>
      <c r="AY103" s="156"/>
      <c r="AZ103" s="156">
        <f t="shared" si="22"/>
        <v>0</v>
      </c>
      <c r="BA103" s="140"/>
      <c r="BB103" s="142" t="s">
        <v>126</v>
      </c>
      <c r="BD103" s="142" t="s">
        <v>27</v>
      </c>
      <c r="BE103" s="156"/>
      <c r="BF103" s="156">
        <v>0</v>
      </c>
      <c r="BG103" s="156"/>
      <c r="BH103" s="156">
        <v>0</v>
      </c>
      <c r="BI103" s="156"/>
      <c r="BJ103" s="156">
        <v>0</v>
      </c>
      <c r="BK103" s="156"/>
      <c r="BL103" s="156">
        <v>0</v>
      </c>
      <c r="BM103" s="156"/>
      <c r="BN103" s="156">
        <f t="shared" si="16"/>
        <v>0</v>
      </c>
      <c r="BO103" s="158"/>
      <c r="BS103" s="159"/>
      <c r="BT103" s="159"/>
      <c r="BU103" s="160"/>
      <c r="BV103" s="159"/>
      <c r="BW103" s="159"/>
      <c r="BX103" s="159"/>
      <c r="BY103" s="159"/>
      <c r="BZ103" s="159"/>
      <c r="CA103" s="159"/>
      <c r="CB103" s="159"/>
      <c r="CC103" s="159"/>
      <c r="CD103" s="159"/>
      <c r="CE103" s="159"/>
      <c r="CF103" s="159"/>
      <c r="CG103" s="159"/>
      <c r="CH103" s="159"/>
      <c r="CI103" s="159"/>
      <c r="CJ103" s="159"/>
      <c r="CK103" s="159"/>
      <c r="CL103" s="159"/>
      <c r="CM103" s="159"/>
      <c r="CN103" s="159"/>
      <c r="CO103" s="159"/>
      <c r="CP103" s="159"/>
      <c r="CQ103" s="159"/>
    </row>
    <row r="104" spans="1:95" s="142" customFormat="1" ht="12.75" hidden="1" customHeight="1">
      <c r="A104" s="142" t="s">
        <v>127</v>
      </c>
      <c r="B104" s="140"/>
      <c r="C104" s="142" t="s">
        <v>43</v>
      </c>
      <c r="D104" s="137"/>
      <c r="E104" s="156">
        <f t="shared" si="10"/>
        <v>0</v>
      </c>
      <c r="F104" s="156"/>
      <c r="G104" s="156">
        <v>0</v>
      </c>
      <c r="H104" s="156"/>
      <c r="I104" s="156">
        <v>0</v>
      </c>
      <c r="J104" s="156"/>
      <c r="K104" s="156">
        <f t="shared" si="11"/>
        <v>0</v>
      </c>
      <c r="L104" s="156"/>
      <c r="M104" s="156">
        <v>0</v>
      </c>
      <c r="N104" s="156"/>
      <c r="O104" s="156">
        <v>0</v>
      </c>
      <c r="P104" s="156"/>
      <c r="Q104" s="156">
        <v>0</v>
      </c>
      <c r="R104" s="156"/>
      <c r="S104" s="156">
        <v>0</v>
      </c>
      <c r="T104" s="156"/>
      <c r="U104" s="156">
        <v>0</v>
      </c>
      <c r="V104" s="156"/>
      <c r="W104" s="156">
        <f t="shared" si="12"/>
        <v>0</v>
      </c>
      <c r="X104" s="140"/>
      <c r="Y104" s="140"/>
      <c r="Z104" s="142" t="s">
        <v>127</v>
      </c>
      <c r="AA104" s="156"/>
      <c r="AB104" s="142" t="s">
        <v>43</v>
      </c>
      <c r="AC104" s="140"/>
      <c r="AD104" s="156">
        <v>0</v>
      </c>
      <c r="AE104" s="156"/>
      <c r="AF104" s="156">
        <v>0</v>
      </c>
      <c r="AG104" s="156"/>
      <c r="AH104" s="156">
        <v>0</v>
      </c>
      <c r="AI104" s="156"/>
      <c r="AJ104" s="143">
        <f t="shared" si="20"/>
        <v>0</v>
      </c>
      <c r="AK104" s="143"/>
      <c r="AL104" s="156">
        <v>0</v>
      </c>
      <c r="AM104" s="143"/>
      <c r="AN104" s="156">
        <v>0</v>
      </c>
      <c r="AO104" s="156"/>
      <c r="AP104" s="156">
        <v>0</v>
      </c>
      <c r="AQ104" s="156"/>
      <c r="AR104" s="156">
        <v>0</v>
      </c>
      <c r="AS104" s="156"/>
      <c r="AT104" s="143">
        <f t="shared" si="21"/>
        <v>0</v>
      </c>
      <c r="AU104" s="143"/>
      <c r="AV104" s="156">
        <v>0</v>
      </c>
      <c r="AW104" s="156"/>
      <c r="AX104" s="156">
        <v>0</v>
      </c>
      <c r="AY104" s="156"/>
      <c r="AZ104" s="156">
        <f t="shared" si="22"/>
        <v>0</v>
      </c>
      <c r="BA104" s="140"/>
      <c r="BB104" s="142" t="s">
        <v>127</v>
      </c>
      <c r="BD104" s="142" t="s">
        <v>43</v>
      </c>
      <c r="BE104" s="156"/>
      <c r="BF104" s="156">
        <v>0</v>
      </c>
      <c r="BG104" s="156"/>
      <c r="BH104" s="156">
        <v>0</v>
      </c>
      <c r="BI104" s="156"/>
      <c r="BJ104" s="156">
        <v>0</v>
      </c>
      <c r="BK104" s="156"/>
      <c r="BL104" s="156">
        <v>0</v>
      </c>
      <c r="BM104" s="156"/>
      <c r="BN104" s="156">
        <f t="shared" si="16"/>
        <v>0</v>
      </c>
      <c r="BO104" s="158"/>
      <c r="BS104" s="159"/>
      <c r="BT104" s="159"/>
      <c r="BU104" s="160"/>
      <c r="BV104" s="159"/>
      <c r="BW104" s="159"/>
      <c r="BX104" s="159"/>
      <c r="BY104" s="159"/>
      <c r="BZ104" s="159"/>
      <c r="CA104" s="159"/>
      <c r="CB104" s="159"/>
      <c r="CC104" s="159"/>
      <c r="CD104" s="159"/>
      <c r="CE104" s="159"/>
      <c r="CF104" s="159"/>
      <c r="CG104" s="159"/>
      <c r="CH104" s="159"/>
      <c r="CI104" s="159"/>
      <c r="CJ104" s="159"/>
      <c r="CK104" s="159"/>
      <c r="CL104" s="159"/>
      <c r="CM104" s="159"/>
      <c r="CN104" s="159"/>
      <c r="CO104" s="159"/>
      <c r="CP104" s="159"/>
      <c r="CQ104" s="159"/>
    </row>
    <row r="105" spans="1:95" s="35" customFormat="1" ht="12.75" customHeight="1">
      <c r="A105" s="35" t="s">
        <v>128</v>
      </c>
      <c r="B105" s="51"/>
      <c r="C105" s="35" t="s">
        <v>119</v>
      </c>
      <c r="D105" s="44"/>
      <c r="E105" s="53">
        <f t="shared" si="10"/>
        <v>537733</v>
      </c>
      <c r="F105" s="53"/>
      <c r="G105" s="53">
        <v>7956175</v>
      </c>
      <c r="H105" s="53"/>
      <c r="I105" s="53">
        <v>8493908</v>
      </c>
      <c r="J105" s="53"/>
      <c r="K105" s="53">
        <f t="shared" si="11"/>
        <v>106943</v>
      </c>
      <c r="L105" s="53"/>
      <c r="M105" s="53">
        <v>6110998</v>
      </c>
      <c r="N105" s="53"/>
      <c r="O105" s="53">
        <v>6217941</v>
      </c>
      <c r="P105" s="53"/>
      <c r="Q105" s="53">
        <v>1955842</v>
      </c>
      <c r="R105" s="53"/>
      <c r="S105" s="53">
        <v>0</v>
      </c>
      <c r="T105" s="53"/>
      <c r="U105" s="53">
        <v>395125</v>
      </c>
      <c r="V105" s="53"/>
      <c r="W105" s="53">
        <f t="shared" si="12"/>
        <v>2350967</v>
      </c>
      <c r="Z105" s="35" t="s">
        <v>128</v>
      </c>
      <c r="AA105" s="53"/>
      <c r="AB105" s="35" t="s">
        <v>119</v>
      </c>
      <c r="AC105" s="51"/>
      <c r="AD105" s="53">
        <v>1353208</v>
      </c>
      <c r="AE105" s="53"/>
      <c r="AF105" s="53">
        <v>1418948</v>
      </c>
      <c r="AG105" s="53"/>
      <c r="AH105" s="53">
        <v>0</v>
      </c>
      <c r="AI105" s="53"/>
      <c r="AJ105" s="45">
        <f t="shared" si="20"/>
        <v>-65740</v>
      </c>
      <c r="AK105" s="45"/>
      <c r="AL105" s="53">
        <v>74617</v>
      </c>
      <c r="AM105" s="45"/>
      <c r="AN105" s="53">
        <v>0</v>
      </c>
      <c r="AO105" s="53"/>
      <c r="AP105" s="53">
        <v>0</v>
      </c>
      <c r="AQ105" s="53"/>
      <c r="AR105" s="53">
        <v>0</v>
      </c>
      <c r="AS105" s="53"/>
      <c r="AT105" s="45">
        <f t="shared" si="21"/>
        <v>8877</v>
      </c>
      <c r="AU105" s="45"/>
      <c r="AV105" s="53">
        <v>0</v>
      </c>
      <c r="AW105" s="53"/>
      <c r="AX105" s="53">
        <v>0</v>
      </c>
      <c r="AY105" s="53"/>
      <c r="AZ105" s="53">
        <f t="shared" si="22"/>
        <v>430790</v>
      </c>
      <c r="BA105" s="51"/>
      <c r="BB105" s="35" t="s">
        <v>128</v>
      </c>
      <c r="BD105" s="35" t="s">
        <v>119</v>
      </c>
      <c r="BE105" s="53"/>
      <c r="BF105" s="53">
        <v>0</v>
      </c>
      <c r="BG105" s="53"/>
      <c r="BH105" s="53">
        <v>6000333</v>
      </c>
      <c r="BI105" s="53"/>
      <c r="BJ105" s="53">
        <v>0</v>
      </c>
      <c r="BK105" s="53"/>
      <c r="BL105" s="53">
        <v>110665</v>
      </c>
      <c r="BM105" s="53"/>
      <c r="BN105" s="53">
        <f t="shared" si="16"/>
        <v>6110998</v>
      </c>
      <c r="BO105" s="54"/>
      <c r="BS105" s="55"/>
      <c r="BT105" s="55"/>
      <c r="BU105" s="84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</row>
    <row r="106" spans="1:95" s="35" customFormat="1" ht="12.75" customHeight="1">
      <c r="A106" s="35" t="s">
        <v>129</v>
      </c>
      <c r="B106" s="51"/>
      <c r="C106" s="35" t="s">
        <v>80</v>
      </c>
      <c r="D106" s="44"/>
      <c r="E106" s="53">
        <f t="shared" si="10"/>
        <v>1110712</v>
      </c>
      <c r="F106" s="53"/>
      <c r="G106" s="53">
        <v>5144804</v>
      </c>
      <c r="H106" s="53"/>
      <c r="I106" s="53">
        <v>6255516</v>
      </c>
      <c r="J106" s="53"/>
      <c r="K106" s="53">
        <f t="shared" si="11"/>
        <v>227866</v>
      </c>
      <c r="L106" s="53"/>
      <c r="M106" s="53">
        <v>2363700</v>
      </c>
      <c r="N106" s="53"/>
      <c r="O106" s="53">
        <v>2591566</v>
      </c>
      <c r="P106" s="53"/>
      <c r="Q106" s="53">
        <v>2676871</v>
      </c>
      <c r="R106" s="53"/>
      <c r="S106" s="53">
        <v>0</v>
      </c>
      <c r="T106" s="53"/>
      <c r="U106" s="53">
        <v>987079</v>
      </c>
      <c r="V106" s="53"/>
      <c r="W106" s="53">
        <f t="shared" si="12"/>
        <v>3663950</v>
      </c>
      <c r="X106" s="51"/>
      <c r="Y106" s="51"/>
      <c r="Z106" s="35" t="s">
        <v>129</v>
      </c>
      <c r="AA106" s="53"/>
      <c r="AB106" s="35" t="s">
        <v>80</v>
      </c>
      <c r="AC106" s="51"/>
      <c r="AD106" s="53">
        <v>1352343</v>
      </c>
      <c r="AE106" s="53"/>
      <c r="AF106" s="53">
        <v>1201791</v>
      </c>
      <c r="AG106" s="53"/>
      <c r="AH106" s="53">
        <v>161861</v>
      </c>
      <c r="AI106" s="53"/>
      <c r="AJ106" s="45">
        <f t="shared" si="20"/>
        <v>-11309</v>
      </c>
      <c r="AK106" s="45"/>
      <c r="AL106" s="53">
        <v>-125572</v>
      </c>
      <c r="AM106" s="45"/>
      <c r="AN106" s="53">
        <v>0</v>
      </c>
      <c r="AO106" s="53"/>
      <c r="AP106" s="53">
        <v>0</v>
      </c>
      <c r="AQ106" s="53"/>
      <c r="AR106" s="53">
        <v>0</v>
      </c>
      <c r="AS106" s="53"/>
      <c r="AT106" s="45">
        <f t="shared" si="21"/>
        <v>-136881</v>
      </c>
      <c r="AU106" s="45"/>
      <c r="AV106" s="53">
        <v>0</v>
      </c>
      <c r="AW106" s="53"/>
      <c r="AX106" s="53">
        <v>0</v>
      </c>
      <c r="AY106" s="53"/>
      <c r="AZ106" s="53">
        <f t="shared" si="22"/>
        <v>882846</v>
      </c>
      <c r="BA106" s="51"/>
      <c r="BB106" s="35" t="s">
        <v>129</v>
      </c>
      <c r="BD106" s="35" t="s">
        <v>80</v>
      </c>
      <c r="BE106" s="53"/>
      <c r="BF106" s="53">
        <v>0</v>
      </c>
      <c r="BG106" s="53"/>
      <c r="BH106" s="53">
        <v>0</v>
      </c>
      <c r="BI106" s="53"/>
      <c r="BJ106" s="53">
        <v>2325502</v>
      </c>
      <c r="BK106" s="53"/>
      <c r="BL106" s="53">
        <v>38198</v>
      </c>
      <c r="BM106" s="53"/>
      <c r="BN106" s="53">
        <f t="shared" si="16"/>
        <v>2363700</v>
      </c>
      <c r="BO106" s="54"/>
      <c r="BS106" s="55"/>
      <c r="BT106" s="55"/>
      <c r="BU106" s="84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</row>
    <row r="107" spans="1:95" s="35" customFormat="1" ht="12.75" customHeight="1">
      <c r="A107" s="35" t="s">
        <v>130</v>
      </c>
      <c r="B107" s="51"/>
      <c r="C107" s="35" t="s">
        <v>66</v>
      </c>
      <c r="D107" s="44"/>
      <c r="E107" s="53">
        <f t="shared" si="10"/>
        <v>10229165</v>
      </c>
      <c r="F107" s="53"/>
      <c r="G107" s="53">
        <v>27370514</v>
      </c>
      <c r="H107" s="53"/>
      <c r="I107" s="53">
        <v>37599679</v>
      </c>
      <c r="J107" s="53"/>
      <c r="K107" s="53">
        <f t="shared" si="11"/>
        <v>21592489</v>
      </c>
      <c r="L107" s="53"/>
      <c r="M107" s="53">
        <v>1068502</v>
      </c>
      <c r="N107" s="53"/>
      <c r="O107" s="53">
        <v>22660991</v>
      </c>
      <c r="P107" s="53"/>
      <c r="Q107" s="53">
        <v>9452286</v>
      </c>
      <c r="R107" s="53"/>
      <c r="S107" s="53">
        <v>1200000</v>
      </c>
      <c r="T107" s="53"/>
      <c r="U107" s="53">
        <v>4286402</v>
      </c>
      <c r="V107" s="53"/>
      <c r="W107" s="53">
        <f t="shared" si="12"/>
        <v>14938688</v>
      </c>
      <c r="Z107" s="35" t="s">
        <v>130</v>
      </c>
      <c r="AA107" s="53"/>
      <c r="AB107" s="35" t="s">
        <v>66</v>
      </c>
      <c r="AC107" s="51"/>
      <c r="AD107" s="53">
        <v>4685254</v>
      </c>
      <c r="AE107" s="53"/>
      <c r="AF107" s="53">
        <v>1943224</v>
      </c>
      <c r="AG107" s="53"/>
      <c r="AH107" s="53">
        <v>611317</v>
      </c>
      <c r="AI107" s="53"/>
      <c r="AJ107" s="45">
        <f t="shared" ref="AJ107:AJ138" si="23">+AD107-AF107-AH107</f>
        <v>2130713</v>
      </c>
      <c r="AK107" s="45"/>
      <c r="AL107" s="53">
        <v>441109</v>
      </c>
      <c r="AM107" s="45"/>
      <c r="AN107" s="53">
        <v>400</v>
      </c>
      <c r="AO107" s="53"/>
      <c r="AP107" s="53">
        <v>130212</v>
      </c>
      <c r="AQ107" s="53"/>
      <c r="AR107" s="53">
        <v>0</v>
      </c>
      <c r="AS107" s="53"/>
      <c r="AT107" s="45">
        <f t="shared" si="21"/>
        <v>2442010</v>
      </c>
      <c r="AU107" s="45"/>
      <c r="AV107" s="53">
        <v>0</v>
      </c>
      <c r="AW107" s="53"/>
      <c r="AX107" s="53">
        <v>0</v>
      </c>
      <c r="AY107" s="53"/>
      <c r="AZ107" s="53">
        <f t="shared" si="22"/>
        <v>-11363324</v>
      </c>
      <c r="BA107" s="51"/>
      <c r="BB107" s="35" t="s">
        <v>130</v>
      </c>
      <c r="BD107" s="35" t="s">
        <v>66</v>
      </c>
      <c r="BE107" s="53"/>
      <c r="BF107" s="53">
        <v>0</v>
      </c>
      <c r="BG107" s="53"/>
      <c r="BH107" s="53">
        <v>1065000</v>
      </c>
      <c r="BI107" s="53"/>
      <c r="BJ107" s="53">
        <v>3502</v>
      </c>
      <c r="BK107" s="53"/>
      <c r="BL107" s="53">
        <v>0</v>
      </c>
      <c r="BM107" s="53"/>
      <c r="BN107" s="53">
        <f t="shared" si="16"/>
        <v>1068502</v>
      </c>
      <c r="BO107" s="54"/>
      <c r="BP107" s="55"/>
      <c r="BS107" s="55"/>
      <c r="BT107" s="55"/>
      <c r="BU107" s="84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</row>
    <row r="108" spans="1:95" s="35" customFormat="1" ht="12.75" customHeight="1">
      <c r="A108" s="35" t="s">
        <v>131</v>
      </c>
      <c r="C108" s="35" t="s">
        <v>13</v>
      </c>
      <c r="D108" s="44"/>
      <c r="E108" s="53">
        <f t="shared" si="10"/>
        <v>1985450</v>
      </c>
      <c r="F108" s="53"/>
      <c r="G108" s="53">
        <v>10425226</v>
      </c>
      <c r="H108" s="53"/>
      <c r="I108" s="53">
        <v>12410676</v>
      </c>
      <c r="J108" s="53"/>
      <c r="K108" s="53">
        <f t="shared" si="11"/>
        <v>450952</v>
      </c>
      <c r="L108" s="53"/>
      <c r="M108" s="53">
        <v>6376424</v>
      </c>
      <c r="N108" s="53"/>
      <c r="O108" s="53">
        <v>6827376</v>
      </c>
      <c r="P108" s="53"/>
      <c r="Q108" s="53">
        <v>3880226</v>
      </c>
      <c r="R108" s="53"/>
      <c r="S108" s="53">
        <v>0</v>
      </c>
      <c r="T108" s="53"/>
      <c r="U108" s="53">
        <v>1703074</v>
      </c>
      <c r="V108" s="53"/>
      <c r="W108" s="53">
        <f t="shared" si="12"/>
        <v>5583300</v>
      </c>
      <c r="X108" s="51"/>
      <c r="Y108" s="51"/>
      <c r="Z108" s="35" t="s">
        <v>131</v>
      </c>
      <c r="AA108" s="53"/>
      <c r="AB108" s="35" t="s">
        <v>13</v>
      </c>
      <c r="AD108" s="53">
        <v>1526539</v>
      </c>
      <c r="AE108" s="53"/>
      <c r="AF108" s="53">
        <v>1033696</v>
      </c>
      <c r="AG108" s="53"/>
      <c r="AH108" s="53">
        <v>311437</v>
      </c>
      <c r="AI108" s="53"/>
      <c r="AJ108" s="45">
        <f t="shared" si="23"/>
        <v>181406</v>
      </c>
      <c r="AK108" s="45"/>
      <c r="AL108" s="53">
        <v>-237625</v>
      </c>
      <c r="AM108" s="45"/>
      <c r="AN108" s="53">
        <v>0</v>
      </c>
      <c r="AO108" s="53"/>
      <c r="AP108" s="53">
        <v>0</v>
      </c>
      <c r="AQ108" s="53"/>
      <c r="AR108" s="53">
        <v>0</v>
      </c>
      <c r="AS108" s="53"/>
      <c r="AT108" s="45">
        <f t="shared" si="21"/>
        <v>-56219</v>
      </c>
      <c r="AU108" s="45"/>
      <c r="AV108" s="53">
        <v>0</v>
      </c>
      <c r="AW108" s="53"/>
      <c r="AX108" s="53">
        <v>0</v>
      </c>
      <c r="AY108" s="53"/>
      <c r="AZ108" s="53">
        <f t="shared" si="22"/>
        <v>1534498</v>
      </c>
      <c r="BA108" s="51"/>
      <c r="BB108" s="35" t="s">
        <v>131</v>
      </c>
      <c r="BD108" s="35" t="s">
        <v>13</v>
      </c>
      <c r="BE108" s="53"/>
      <c r="BF108" s="53">
        <v>6245000</v>
      </c>
      <c r="BG108" s="53"/>
      <c r="BH108" s="53">
        <v>0</v>
      </c>
      <c r="BI108" s="53"/>
      <c r="BJ108" s="53">
        <v>0</v>
      </c>
      <c r="BK108" s="53"/>
      <c r="BL108" s="53">
        <v>131424</v>
      </c>
      <c r="BM108" s="53"/>
      <c r="BN108" s="53">
        <f t="shared" si="16"/>
        <v>6376424</v>
      </c>
      <c r="BO108" s="54"/>
      <c r="BS108" s="55"/>
      <c r="BT108" s="55"/>
      <c r="BU108" s="84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</row>
    <row r="109" spans="1:95" s="142" customFormat="1" ht="12.75" hidden="1" customHeight="1">
      <c r="A109" s="142" t="s">
        <v>38</v>
      </c>
      <c r="B109" s="140"/>
      <c r="C109" s="142" t="s">
        <v>132</v>
      </c>
      <c r="D109" s="137"/>
      <c r="E109" s="156">
        <f t="shared" si="10"/>
        <v>0</v>
      </c>
      <c r="F109" s="156"/>
      <c r="G109" s="156"/>
      <c r="H109" s="156"/>
      <c r="I109" s="156"/>
      <c r="J109" s="156"/>
      <c r="K109" s="156">
        <f t="shared" si="11"/>
        <v>0</v>
      </c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>
        <f t="shared" si="12"/>
        <v>0</v>
      </c>
      <c r="X109" s="140"/>
      <c r="Y109" s="140"/>
      <c r="Z109" s="142" t="s">
        <v>38</v>
      </c>
      <c r="AA109" s="156"/>
      <c r="AB109" s="142" t="s">
        <v>132</v>
      </c>
      <c r="AC109" s="140"/>
      <c r="AD109" s="156"/>
      <c r="AE109" s="156"/>
      <c r="AF109" s="156"/>
      <c r="AG109" s="156"/>
      <c r="AH109" s="156"/>
      <c r="AI109" s="156"/>
      <c r="AJ109" s="143">
        <f t="shared" si="23"/>
        <v>0</v>
      </c>
      <c r="AK109" s="143"/>
      <c r="AL109" s="156"/>
      <c r="AM109" s="143"/>
      <c r="AN109" s="156"/>
      <c r="AO109" s="156"/>
      <c r="AP109" s="156"/>
      <c r="AQ109" s="156"/>
      <c r="AR109" s="156"/>
      <c r="AS109" s="156"/>
      <c r="AT109" s="143">
        <f t="shared" si="21"/>
        <v>0</v>
      </c>
      <c r="AU109" s="143"/>
      <c r="AV109" s="156">
        <v>0</v>
      </c>
      <c r="AW109" s="156"/>
      <c r="AX109" s="156">
        <v>0</v>
      </c>
      <c r="AY109" s="156"/>
      <c r="AZ109" s="156">
        <f t="shared" si="22"/>
        <v>0</v>
      </c>
      <c r="BA109" s="140"/>
      <c r="BB109" s="142" t="s">
        <v>38</v>
      </c>
      <c r="BD109" s="142" t="s">
        <v>132</v>
      </c>
      <c r="BE109" s="156"/>
      <c r="BF109" s="156"/>
      <c r="BG109" s="156"/>
      <c r="BH109" s="156"/>
      <c r="BI109" s="156"/>
      <c r="BJ109" s="156"/>
      <c r="BK109" s="156"/>
      <c r="BL109" s="156"/>
      <c r="BM109" s="156"/>
      <c r="BN109" s="156">
        <f t="shared" si="16"/>
        <v>0</v>
      </c>
      <c r="BO109" s="158"/>
      <c r="BS109" s="159"/>
      <c r="BT109" s="159"/>
      <c r="BU109" s="160"/>
      <c r="BV109" s="159"/>
      <c r="BW109" s="159"/>
      <c r="BX109" s="159"/>
      <c r="BY109" s="159"/>
      <c r="BZ109" s="159"/>
      <c r="CA109" s="159"/>
      <c r="CB109" s="159"/>
      <c r="CC109" s="159"/>
      <c r="CD109" s="159"/>
      <c r="CE109" s="159"/>
      <c r="CF109" s="159"/>
      <c r="CG109" s="159"/>
      <c r="CH109" s="159"/>
      <c r="CI109" s="159"/>
      <c r="CJ109" s="159"/>
      <c r="CK109" s="159"/>
      <c r="CL109" s="159"/>
      <c r="CM109" s="159"/>
      <c r="CN109" s="159"/>
      <c r="CO109" s="159"/>
      <c r="CP109" s="159"/>
      <c r="CQ109" s="159"/>
    </row>
    <row r="110" spans="1:95" s="142" customFormat="1" ht="12.75" hidden="1" customHeight="1">
      <c r="A110" s="142" t="s">
        <v>133</v>
      </c>
      <c r="B110" s="140"/>
      <c r="C110" s="142" t="s">
        <v>27</v>
      </c>
      <c r="D110" s="137"/>
      <c r="E110" s="156">
        <f t="shared" si="10"/>
        <v>0</v>
      </c>
      <c r="F110" s="156"/>
      <c r="G110" s="156">
        <v>0</v>
      </c>
      <c r="H110" s="156"/>
      <c r="I110" s="156">
        <v>0</v>
      </c>
      <c r="J110" s="156"/>
      <c r="K110" s="156">
        <f t="shared" si="11"/>
        <v>0</v>
      </c>
      <c r="L110" s="156"/>
      <c r="M110" s="156">
        <v>0</v>
      </c>
      <c r="N110" s="156"/>
      <c r="O110" s="156">
        <v>0</v>
      </c>
      <c r="P110" s="156"/>
      <c r="Q110" s="156">
        <v>0</v>
      </c>
      <c r="R110" s="156"/>
      <c r="S110" s="156">
        <v>0</v>
      </c>
      <c r="T110" s="156"/>
      <c r="U110" s="156">
        <v>0</v>
      </c>
      <c r="V110" s="156"/>
      <c r="W110" s="156">
        <f t="shared" si="12"/>
        <v>0</v>
      </c>
      <c r="X110" s="140"/>
      <c r="Y110" s="140"/>
      <c r="Z110" s="142" t="s">
        <v>133</v>
      </c>
      <c r="AA110" s="156"/>
      <c r="AB110" s="142" t="s">
        <v>27</v>
      </c>
      <c r="AC110" s="140"/>
      <c r="AD110" s="156">
        <v>0</v>
      </c>
      <c r="AE110" s="156"/>
      <c r="AF110" s="156">
        <v>0</v>
      </c>
      <c r="AG110" s="156"/>
      <c r="AH110" s="156">
        <v>0</v>
      </c>
      <c r="AI110" s="156"/>
      <c r="AJ110" s="143">
        <f t="shared" si="23"/>
        <v>0</v>
      </c>
      <c r="AK110" s="143"/>
      <c r="AL110" s="156">
        <v>0</v>
      </c>
      <c r="AM110" s="143"/>
      <c r="AN110" s="156">
        <v>0</v>
      </c>
      <c r="AO110" s="156"/>
      <c r="AP110" s="156">
        <v>0</v>
      </c>
      <c r="AQ110" s="156"/>
      <c r="AR110" s="156">
        <v>0</v>
      </c>
      <c r="AS110" s="156"/>
      <c r="AT110" s="143">
        <f t="shared" si="21"/>
        <v>0</v>
      </c>
      <c r="AU110" s="143"/>
      <c r="AV110" s="156">
        <v>0</v>
      </c>
      <c r="AW110" s="156"/>
      <c r="AX110" s="156">
        <v>0</v>
      </c>
      <c r="AY110" s="156"/>
      <c r="AZ110" s="156">
        <f t="shared" si="22"/>
        <v>0</v>
      </c>
      <c r="BA110" s="140"/>
      <c r="BB110" s="142" t="s">
        <v>133</v>
      </c>
      <c r="BD110" s="142" t="s">
        <v>27</v>
      </c>
      <c r="BE110" s="156"/>
      <c r="BF110" s="156">
        <v>0</v>
      </c>
      <c r="BG110" s="156"/>
      <c r="BH110" s="156">
        <v>0</v>
      </c>
      <c r="BI110" s="156"/>
      <c r="BJ110" s="156">
        <v>0</v>
      </c>
      <c r="BK110" s="156"/>
      <c r="BL110" s="156">
        <v>0</v>
      </c>
      <c r="BM110" s="156"/>
      <c r="BN110" s="156">
        <f t="shared" si="16"/>
        <v>0</v>
      </c>
      <c r="BO110" s="158"/>
      <c r="BS110" s="159"/>
      <c r="BT110" s="159"/>
      <c r="BU110" s="160"/>
      <c r="BV110" s="159"/>
      <c r="BW110" s="159"/>
      <c r="BX110" s="159"/>
      <c r="BY110" s="159"/>
      <c r="BZ110" s="159"/>
      <c r="CA110" s="159"/>
      <c r="CB110" s="159"/>
      <c r="CC110" s="159"/>
      <c r="CD110" s="159"/>
      <c r="CE110" s="159"/>
      <c r="CF110" s="159"/>
      <c r="CG110" s="159"/>
      <c r="CH110" s="159"/>
      <c r="CI110" s="159"/>
      <c r="CJ110" s="159"/>
      <c r="CK110" s="159"/>
      <c r="CL110" s="159"/>
      <c r="CM110" s="159"/>
      <c r="CN110" s="159"/>
      <c r="CO110" s="159"/>
      <c r="CP110" s="159"/>
      <c r="CQ110" s="159"/>
    </row>
    <row r="111" spans="1:95" s="142" customFormat="1" ht="12.75" hidden="1" customHeight="1">
      <c r="A111" s="142" t="s">
        <v>478</v>
      </c>
      <c r="B111" s="140"/>
      <c r="C111" s="142" t="s">
        <v>45</v>
      </c>
      <c r="D111" s="137"/>
      <c r="E111" s="156">
        <f>I111-G111</f>
        <v>0</v>
      </c>
      <c r="F111" s="156"/>
      <c r="G111" s="156">
        <v>0</v>
      </c>
      <c r="H111" s="156"/>
      <c r="I111" s="156">
        <v>0</v>
      </c>
      <c r="J111" s="156"/>
      <c r="K111" s="156">
        <f t="shared" si="11"/>
        <v>0</v>
      </c>
      <c r="L111" s="156"/>
      <c r="M111" s="156">
        <v>0</v>
      </c>
      <c r="N111" s="156"/>
      <c r="O111" s="156">
        <v>0</v>
      </c>
      <c r="P111" s="156"/>
      <c r="Q111" s="156">
        <v>0</v>
      </c>
      <c r="R111" s="156"/>
      <c r="S111" s="156">
        <v>0</v>
      </c>
      <c r="T111" s="156"/>
      <c r="U111" s="156">
        <v>0</v>
      </c>
      <c r="V111" s="156"/>
      <c r="W111" s="156">
        <f t="shared" si="12"/>
        <v>0</v>
      </c>
      <c r="X111" s="140"/>
      <c r="Y111" s="140"/>
      <c r="Z111" s="142" t="s">
        <v>478</v>
      </c>
      <c r="AA111" s="156"/>
      <c r="AB111" s="142" t="s">
        <v>45</v>
      </c>
      <c r="AC111" s="140"/>
      <c r="AD111" s="156">
        <v>0</v>
      </c>
      <c r="AE111" s="156"/>
      <c r="AF111" s="156">
        <v>0</v>
      </c>
      <c r="AG111" s="156"/>
      <c r="AH111" s="156">
        <v>0</v>
      </c>
      <c r="AI111" s="156"/>
      <c r="AJ111" s="143">
        <f t="shared" si="23"/>
        <v>0</v>
      </c>
      <c r="AK111" s="143"/>
      <c r="AL111" s="156">
        <v>0</v>
      </c>
      <c r="AM111" s="143"/>
      <c r="AN111" s="156">
        <v>0</v>
      </c>
      <c r="AO111" s="156"/>
      <c r="AP111" s="156">
        <v>0</v>
      </c>
      <c r="AQ111" s="156"/>
      <c r="AR111" s="156">
        <v>0</v>
      </c>
      <c r="AS111" s="156"/>
      <c r="AT111" s="143">
        <f t="shared" si="21"/>
        <v>0</v>
      </c>
      <c r="AU111" s="143"/>
      <c r="AV111" s="156"/>
      <c r="AW111" s="156"/>
      <c r="AX111" s="156"/>
      <c r="AY111" s="156"/>
      <c r="AZ111" s="156">
        <f t="shared" si="22"/>
        <v>0</v>
      </c>
      <c r="BA111" s="140"/>
      <c r="BB111" s="142" t="s">
        <v>478</v>
      </c>
      <c r="BD111" s="142" t="s">
        <v>45</v>
      </c>
      <c r="BE111" s="156"/>
      <c r="BF111" s="156">
        <v>0</v>
      </c>
      <c r="BG111" s="156"/>
      <c r="BH111" s="156">
        <v>0</v>
      </c>
      <c r="BI111" s="156"/>
      <c r="BJ111" s="156">
        <v>0</v>
      </c>
      <c r="BK111" s="156"/>
      <c r="BL111" s="156">
        <v>0</v>
      </c>
      <c r="BM111" s="156"/>
      <c r="BN111" s="156">
        <f t="shared" si="16"/>
        <v>0</v>
      </c>
      <c r="BO111" s="158"/>
      <c r="BS111" s="159"/>
      <c r="BT111" s="159"/>
      <c r="BU111" s="160"/>
      <c r="BV111" s="159"/>
      <c r="BW111" s="159"/>
      <c r="BX111" s="159"/>
      <c r="BY111" s="159"/>
      <c r="BZ111" s="159"/>
      <c r="CA111" s="159"/>
      <c r="CB111" s="159"/>
      <c r="CC111" s="159"/>
      <c r="CD111" s="159"/>
      <c r="CE111" s="159"/>
      <c r="CF111" s="159"/>
      <c r="CG111" s="159"/>
      <c r="CH111" s="159"/>
      <c r="CI111" s="159"/>
      <c r="CJ111" s="159"/>
      <c r="CK111" s="159"/>
      <c r="CL111" s="159"/>
      <c r="CM111" s="159"/>
      <c r="CN111" s="159"/>
      <c r="CO111" s="159"/>
      <c r="CP111" s="159"/>
      <c r="CQ111" s="159"/>
    </row>
    <row r="112" spans="1:95" s="35" customFormat="1" ht="12.75" customHeight="1">
      <c r="A112" s="35" t="s">
        <v>134</v>
      </c>
      <c r="B112" s="51"/>
      <c r="C112" s="35" t="s">
        <v>135</v>
      </c>
      <c r="D112" s="44"/>
      <c r="E112" s="53">
        <f t="shared" si="10"/>
        <v>1125116</v>
      </c>
      <c r="F112" s="53"/>
      <c r="G112" s="53">
        <v>5147628</v>
      </c>
      <c r="H112" s="53"/>
      <c r="I112" s="53">
        <v>6272744</v>
      </c>
      <c r="J112" s="53"/>
      <c r="K112" s="53">
        <f t="shared" si="11"/>
        <v>465846</v>
      </c>
      <c r="L112" s="53"/>
      <c r="M112" s="53">
        <v>2853005</v>
      </c>
      <c r="N112" s="53"/>
      <c r="O112" s="53">
        <v>3318851</v>
      </c>
      <c r="P112" s="53"/>
      <c r="Q112" s="53">
        <v>2054890</v>
      </c>
      <c r="R112" s="53"/>
      <c r="S112" s="53">
        <v>0</v>
      </c>
      <c r="T112" s="53"/>
      <c r="U112" s="53">
        <v>899003</v>
      </c>
      <c r="V112" s="53"/>
      <c r="W112" s="53">
        <f t="shared" si="12"/>
        <v>2953893</v>
      </c>
      <c r="X112" s="51"/>
      <c r="Y112" s="51"/>
      <c r="Z112" s="35" t="s">
        <v>134</v>
      </c>
      <c r="AA112" s="53"/>
      <c r="AB112" s="35" t="s">
        <v>135</v>
      </c>
      <c r="AC112" s="51"/>
      <c r="AD112" s="53">
        <v>1482047</v>
      </c>
      <c r="AE112" s="53"/>
      <c r="AF112" s="53">
        <v>1849713</v>
      </c>
      <c r="AG112" s="53"/>
      <c r="AH112" s="53">
        <v>205513</v>
      </c>
      <c r="AI112" s="53"/>
      <c r="AJ112" s="45">
        <f t="shared" si="23"/>
        <v>-573179</v>
      </c>
      <c r="AK112" s="45"/>
      <c r="AL112" s="53">
        <v>190591</v>
      </c>
      <c r="AM112" s="45"/>
      <c r="AN112" s="53">
        <v>0</v>
      </c>
      <c r="AO112" s="53"/>
      <c r="AP112" s="53">
        <v>0</v>
      </c>
      <c r="AQ112" s="53"/>
      <c r="AR112" s="53">
        <v>0</v>
      </c>
      <c r="AS112" s="53"/>
      <c r="AT112" s="45">
        <f t="shared" si="21"/>
        <v>-382588</v>
      </c>
      <c r="AU112" s="45"/>
      <c r="AV112" s="53">
        <v>0</v>
      </c>
      <c r="AW112" s="53"/>
      <c r="AX112" s="53">
        <v>0</v>
      </c>
      <c r="AY112" s="53"/>
      <c r="AZ112" s="53">
        <f t="shared" si="22"/>
        <v>659270</v>
      </c>
      <c r="BA112" s="51"/>
      <c r="BB112" s="35" t="s">
        <v>134</v>
      </c>
      <c r="BD112" s="35" t="s">
        <v>135</v>
      </c>
      <c r="BE112" s="53"/>
      <c r="BF112" s="53">
        <v>0</v>
      </c>
      <c r="BG112" s="53"/>
      <c r="BH112" s="53">
        <v>0</v>
      </c>
      <c r="BI112" s="53"/>
      <c r="BJ112" s="53">
        <v>2838588</v>
      </c>
      <c r="BK112" s="53"/>
      <c r="BL112" s="53">
        <v>14417</v>
      </c>
      <c r="BM112" s="53"/>
      <c r="BN112" s="53">
        <f t="shared" si="16"/>
        <v>2853005</v>
      </c>
      <c r="BO112" s="54"/>
      <c r="BS112" s="55"/>
      <c r="BT112" s="55"/>
      <c r="BU112" s="84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  <c r="CQ112" s="55"/>
    </row>
    <row r="113" spans="1:95" s="35" customFormat="1" ht="12.75" customHeight="1">
      <c r="A113" s="35" t="s">
        <v>136</v>
      </c>
      <c r="B113" s="51"/>
      <c r="C113" s="35" t="s">
        <v>136</v>
      </c>
      <c r="D113" s="44"/>
      <c r="E113" s="53">
        <f t="shared" si="10"/>
        <v>2973172</v>
      </c>
      <c r="F113" s="53"/>
      <c r="G113" s="53">
        <v>4866875</v>
      </c>
      <c r="H113" s="53"/>
      <c r="I113" s="53">
        <v>7840047</v>
      </c>
      <c r="J113" s="53"/>
      <c r="K113" s="53">
        <f t="shared" si="11"/>
        <v>257983</v>
      </c>
      <c r="L113" s="53"/>
      <c r="M113" s="53">
        <v>2622084</v>
      </c>
      <c r="N113" s="53"/>
      <c r="O113" s="53">
        <v>2880067</v>
      </c>
      <c r="P113" s="53"/>
      <c r="Q113" s="53">
        <v>2240195</v>
      </c>
      <c r="R113" s="53"/>
      <c r="S113" s="53">
        <v>56768</v>
      </c>
      <c r="T113" s="53"/>
      <c r="U113" s="53">
        <v>2663017</v>
      </c>
      <c r="V113" s="53"/>
      <c r="W113" s="53">
        <f t="shared" si="12"/>
        <v>4959980</v>
      </c>
      <c r="X113" s="51"/>
      <c r="Y113" s="51"/>
      <c r="Z113" s="35" t="s">
        <v>136</v>
      </c>
      <c r="AA113" s="53"/>
      <c r="AB113" s="35" t="s">
        <v>136</v>
      </c>
      <c r="AC113" s="51"/>
      <c r="AD113" s="53">
        <v>1565185</v>
      </c>
      <c r="AE113" s="53"/>
      <c r="AF113" s="53">
        <v>1421954</v>
      </c>
      <c r="AG113" s="53"/>
      <c r="AH113" s="53">
        <v>198596</v>
      </c>
      <c r="AI113" s="53"/>
      <c r="AJ113" s="45">
        <f t="shared" si="23"/>
        <v>-55365</v>
      </c>
      <c r="AK113" s="45"/>
      <c r="AL113" s="53">
        <v>-106685</v>
      </c>
      <c r="AM113" s="45"/>
      <c r="AN113" s="53">
        <v>0</v>
      </c>
      <c r="AO113" s="53"/>
      <c r="AP113" s="53">
        <v>0</v>
      </c>
      <c r="AQ113" s="53"/>
      <c r="AR113" s="53">
        <v>0</v>
      </c>
      <c r="AS113" s="53"/>
      <c r="AT113" s="45">
        <f t="shared" si="21"/>
        <v>-162050</v>
      </c>
      <c r="AU113" s="45"/>
      <c r="AV113" s="53">
        <v>0</v>
      </c>
      <c r="AW113" s="53"/>
      <c r="AX113" s="53">
        <v>0</v>
      </c>
      <c r="AY113" s="53"/>
      <c r="AZ113" s="53">
        <f t="shared" si="22"/>
        <v>2715189</v>
      </c>
      <c r="BA113" s="51"/>
      <c r="BB113" s="35" t="s">
        <v>136</v>
      </c>
      <c r="BD113" s="35" t="s">
        <v>136</v>
      </c>
      <c r="BE113" s="53"/>
      <c r="BF113" s="53">
        <v>0</v>
      </c>
      <c r="BG113" s="53"/>
      <c r="BH113" s="53">
        <v>2248552</v>
      </c>
      <c r="BI113" s="53"/>
      <c r="BJ113" s="53">
        <v>0</v>
      </c>
      <c r="BK113" s="53"/>
      <c r="BL113" s="53">
        <v>373532</v>
      </c>
      <c r="BM113" s="53"/>
      <c r="BN113" s="53">
        <f t="shared" si="16"/>
        <v>2622084</v>
      </c>
      <c r="BO113" s="54"/>
      <c r="BS113" s="55"/>
      <c r="BT113" s="55"/>
      <c r="BU113" s="84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</row>
    <row r="114" spans="1:95" s="35" customFormat="1" ht="12.75" customHeight="1">
      <c r="A114" s="35" t="s">
        <v>137</v>
      </c>
      <c r="B114" s="65"/>
      <c r="C114" s="35" t="s">
        <v>22</v>
      </c>
      <c r="D114" s="44"/>
      <c r="E114" s="53">
        <f t="shared" si="10"/>
        <v>4513920</v>
      </c>
      <c r="F114" s="53"/>
      <c r="G114" s="53">
        <v>15418643</v>
      </c>
      <c r="H114" s="53"/>
      <c r="I114" s="53">
        <v>19932563</v>
      </c>
      <c r="J114" s="53"/>
      <c r="K114" s="53">
        <f t="shared" si="11"/>
        <v>747186</v>
      </c>
      <c r="L114" s="53"/>
      <c r="M114" s="53">
        <v>654687</v>
      </c>
      <c r="N114" s="53"/>
      <c r="O114" s="53">
        <v>1401873</v>
      </c>
      <c r="P114" s="53"/>
      <c r="Q114" s="53">
        <v>14740279</v>
      </c>
      <c r="R114" s="53"/>
      <c r="S114" s="53">
        <v>0</v>
      </c>
      <c r="T114" s="53"/>
      <c r="U114" s="53">
        <v>3790411</v>
      </c>
      <c r="V114" s="53"/>
      <c r="W114" s="53">
        <f t="shared" si="12"/>
        <v>18530690</v>
      </c>
      <c r="X114" s="65"/>
      <c r="Y114" s="65"/>
      <c r="Z114" s="35" t="s">
        <v>137</v>
      </c>
      <c r="AA114" s="53"/>
      <c r="AB114" s="35" t="s">
        <v>22</v>
      </c>
      <c r="AC114" s="65"/>
      <c r="AD114" s="53">
        <v>2808341</v>
      </c>
      <c r="AE114" s="53"/>
      <c r="AF114" s="53">
        <v>2400539</v>
      </c>
      <c r="AG114" s="53"/>
      <c r="AH114" s="53">
        <v>644329</v>
      </c>
      <c r="AI114" s="53"/>
      <c r="AJ114" s="45">
        <f t="shared" si="23"/>
        <v>-236527</v>
      </c>
      <c r="AK114" s="45"/>
      <c r="AL114" s="53">
        <v>123896</v>
      </c>
      <c r="AM114" s="45"/>
      <c r="AN114" s="53">
        <v>0</v>
      </c>
      <c r="AO114" s="53"/>
      <c r="AP114" s="53">
        <v>0</v>
      </c>
      <c r="AQ114" s="53"/>
      <c r="AR114" s="53">
        <v>732442</v>
      </c>
      <c r="AS114" s="53"/>
      <c r="AT114" s="45">
        <f t="shared" si="21"/>
        <v>619811</v>
      </c>
      <c r="AU114" s="45"/>
      <c r="AV114" s="53">
        <v>0</v>
      </c>
      <c r="AW114" s="53"/>
      <c r="AX114" s="53">
        <v>0</v>
      </c>
      <c r="AY114" s="53"/>
      <c r="AZ114" s="53">
        <f t="shared" si="22"/>
        <v>3766734</v>
      </c>
      <c r="BA114" s="65"/>
      <c r="BB114" s="35" t="s">
        <v>137</v>
      </c>
      <c r="BD114" s="35" t="s">
        <v>22</v>
      </c>
      <c r="BE114" s="53"/>
      <c r="BF114" s="53">
        <v>0</v>
      </c>
      <c r="BG114" s="53"/>
      <c r="BH114" s="53">
        <v>0</v>
      </c>
      <c r="BI114" s="53"/>
      <c r="BJ114" s="53">
        <v>649504</v>
      </c>
      <c r="BK114" s="53"/>
      <c r="BL114" s="53">
        <v>5183</v>
      </c>
      <c r="BM114" s="53"/>
      <c r="BN114" s="53">
        <f t="shared" si="16"/>
        <v>654687</v>
      </c>
      <c r="BO114" s="54"/>
      <c r="BS114" s="55"/>
      <c r="BT114" s="55"/>
      <c r="BU114" s="84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</row>
    <row r="115" spans="1:95" s="142" customFormat="1" ht="12" hidden="1" customHeight="1">
      <c r="A115" s="142" t="s">
        <v>138</v>
      </c>
      <c r="B115" s="140"/>
      <c r="C115" s="142" t="s">
        <v>139</v>
      </c>
      <c r="D115" s="137"/>
      <c r="E115" s="156">
        <f t="shared" si="10"/>
        <v>0</v>
      </c>
      <c r="F115" s="156"/>
      <c r="G115" s="156"/>
      <c r="H115" s="156"/>
      <c r="I115" s="156"/>
      <c r="J115" s="156"/>
      <c r="K115" s="156">
        <f t="shared" si="11"/>
        <v>0</v>
      </c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>
        <f t="shared" si="12"/>
        <v>0</v>
      </c>
      <c r="X115" s="140"/>
      <c r="Y115" s="140"/>
      <c r="Z115" s="142" t="s">
        <v>138</v>
      </c>
      <c r="AA115" s="156"/>
      <c r="AB115" s="142" t="s">
        <v>139</v>
      </c>
      <c r="AC115" s="140"/>
      <c r="AD115" s="156">
        <v>1568770</v>
      </c>
      <c r="AE115" s="156"/>
      <c r="AF115" s="156">
        <v>1133049</v>
      </c>
      <c r="AG115" s="156"/>
      <c r="AH115" s="156">
        <v>0</v>
      </c>
      <c r="AI115" s="156"/>
      <c r="AJ115" s="143">
        <f t="shared" si="23"/>
        <v>435721</v>
      </c>
      <c r="AK115" s="143"/>
      <c r="AL115" s="156">
        <v>-364927</v>
      </c>
      <c r="AM115" s="143"/>
      <c r="AN115" s="156">
        <v>0</v>
      </c>
      <c r="AO115" s="156"/>
      <c r="AP115" s="156">
        <v>0</v>
      </c>
      <c r="AQ115" s="156"/>
      <c r="AR115" s="156">
        <v>0</v>
      </c>
      <c r="AS115" s="156"/>
      <c r="AT115" s="143">
        <f t="shared" si="21"/>
        <v>70794</v>
      </c>
      <c r="AU115" s="143"/>
      <c r="AV115" s="156">
        <v>0</v>
      </c>
      <c r="AW115" s="156"/>
      <c r="AX115" s="156">
        <v>0</v>
      </c>
      <c r="AY115" s="156"/>
      <c r="AZ115" s="156">
        <f t="shared" si="22"/>
        <v>0</v>
      </c>
      <c r="BA115" s="140"/>
      <c r="BB115" s="142" t="s">
        <v>138</v>
      </c>
      <c r="BD115" s="142" t="s">
        <v>139</v>
      </c>
      <c r="BE115" s="156"/>
      <c r="BF115" s="156"/>
      <c r="BG115" s="156"/>
      <c r="BH115" s="156">
        <v>0</v>
      </c>
      <c r="BI115" s="156"/>
      <c r="BJ115" s="156">
        <v>0</v>
      </c>
      <c r="BK115" s="156"/>
      <c r="BL115" s="156">
        <v>0</v>
      </c>
      <c r="BM115" s="156"/>
      <c r="BN115" s="156">
        <f t="shared" si="16"/>
        <v>0</v>
      </c>
      <c r="BO115" s="158"/>
      <c r="BS115" s="159"/>
      <c r="BT115" s="159"/>
      <c r="BU115" s="160"/>
      <c r="BV115" s="159"/>
      <c r="BW115" s="159"/>
      <c r="BX115" s="159"/>
      <c r="BY115" s="159"/>
      <c r="BZ115" s="159"/>
      <c r="CA115" s="159"/>
      <c r="CB115" s="159"/>
      <c r="CC115" s="159"/>
      <c r="CD115" s="159"/>
      <c r="CE115" s="159"/>
      <c r="CF115" s="159"/>
      <c r="CG115" s="159"/>
      <c r="CH115" s="159"/>
      <c r="CI115" s="159"/>
      <c r="CJ115" s="159"/>
      <c r="CK115" s="159"/>
      <c r="CL115" s="159"/>
      <c r="CM115" s="159"/>
      <c r="CN115" s="159"/>
      <c r="CO115" s="159"/>
      <c r="CP115" s="159"/>
      <c r="CQ115" s="159"/>
    </row>
    <row r="116" spans="1:95" s="142" customFormat="1" ht="12.75" hidden="1" customHeight="1">
      <c r="A116" s="142" t="s">
        <v>140</v>
      </c>
      <c r="B116" s="140"/>
      <c r="C116" s="142" t="s">
        <v>66</v>
      </c>
      <c r="D116" s="137"/>
      <c r="E116" s="156">
        <f t="shared" si="10"/>
        <v>0</v>
      </c>
      <c r="F116" s="156"/>
      <c r="G116" s="156">
        <v>0</v>
      </c>
      <c r="H116" s="156"/>
      <c r="I116" s="156">
        <v>0</v>
      </c>
      <c r="J116" s="156"/>
      <c r="K116" s="156">
        <f t="shared" si="11"/>
        <v>0</v>
      </c>
      <c r="L116" s="156"/>
      <c r="M116" s="156">
        <v>0</v>
      </c>
      <c r="N116" s="156"/>
      <c r="O116" s="156">
        <v>0</v>
      </c>
      <c r="P116" s="156"/>
      <c r="Q116" s="156">
        <v>0</v>
      </c>
      <c r="R116" s="156"/>
      <c r="S116" s="156">
        <v>0</v>
      </c>
      <c r="T116" s="156"/>
      <c r="U116" s="156">
        <v>0</v>
      </c>
      <c r="V116" s="156"/>
      <c r="W116" s="156">
        <f t="shared" si="12"/>
        <v>0</v>
      </c>
      <c r="X116" s="140"/>
      <c r="Y116" s="140"/>
      <c r="Z116" s="142" t="s">
        <v>140</v>
      </c>
      <c r="AA116" s="156"/>
      <c r="AB116" s="142" t="s">
        <v>66</v>
      </c>
      <c r="AC116" s="140"/>
      <c r="AD116" s="156">
        <v>0</v>
      </c>
      <c r="AE116" s="156"/>
      <c r="AF116" s="156">
        <v>0</v>
      </c>
      <c r="AG116" s="156"/>
      <c r="AH116" s="156">
        <v>0</v>
      </c>
      <c r="AI116" s="156"/>
      <c r="AJ116" s="143">
        <f t="shared" si="23"/>
        <v>0</v>
      </c>
      <c r="AK116" s="143"/>
      <c r="AL116" s="156">
        <v>0</v>
      </c>
      <c r="AM116" s="143"/>
      <c r="AN116" s="156">
        <v>0</v>
      </c>
      <c r="AO116" s="156"/>
      <c r="AP116" s="156">
        <v>0</v>
      </c>
      <c r="AQ116" s="156"/>
      <c r="AR116" s="156">
        <v>0</v>
      </c>
      <c r="AS116" s="156"/>
      <c r="AT116" s="143">
        <f t="shared" si="21"/>
        <v>0</v>
      </c>
      <c r="AU116" s="143"/>
      <c r="AV116" s="156">
        <v>0</v>
      </c>
      <c r="AW116" s="156"/>
      <c r="AX116" s="156">
        <v>0</v>
      </c>
      <c r="AY116" s="156"/>
      <c r="AZ116" s="156">
        <f t="shared" si="22"/>
        <v>0</v>
      </c>
      <c r="BA116" s="140"/>
      <c r="BB116" s="142" t="s">
        <v>140</v>
      </c>
      <c r="BD116" s="142" t="s">
        <v>66</v>
      </c>
      <c r="BE116" s="156"/>
      <c r="BF116" s="156">
        <v>0</v>
      </c>
      <c r="BG116" s="156"/>
      <c r="BH116" s="156">
        <v>0</v>
      </c>
      <c r="BI116" s="156"/>
      <c r="BJ116" s="156">
        <v>0</v>
      </c>
      <c r="BK116" s="156"/>
      <c r="BL116" s="156">
        <v>0</v>
      </c>
      <c r="BM116" s="156"/>
      <c r="BN116" s="156">
        <f t="shared" si="16"/>
        <v>0</v>
      </c>
      <c r="BO116" s="158"/>
      <c r="BS116" s="159"/>
      <c r="BT116" s="159"/>
      <c r="BU116" s="160"/>
      <c r="BV116" s="159"/>
      <c r="BW116" s="159"/>
      <c r="BX116" s="159"/>
      <c r="BY116" s="159"/>
      <c r="BZ116" s="159"/>
      <c r="CA116" s="159"/>
      <c r="CB116" s="159"/>
      <c r="CC116" s="159"/>
      <c r="CD116" s="159"/>
      <c r="CE116" s="159"/>
      <c r="CF116" s="159"/>
      <c r="CG116" s="159"/>
      <c r="CH116" s="159"/>
      <c r="CI116" s="159"/>
      <c r="CJ116" s="159"/>
      <c r="CK116" s="159"/>
      <c r="CL116" s="159"/>
      <c r="CM116" s="159"/>
      <c r="CN116" s="159"/>
      <c r="CO116" s="159"/>
      <c r="CP116" s="159"/>
      <c r="CQ116" s="159"/>
    </row>
    <row r="117" spans="1:95" s="35" customFormat="1" ht="12.75" customHeight="1">
      <c r="A117" s="35" t="s">
        <v>479</v>
      </c>
      <c r="B117" s="51"/>
      <c r="C117" s="35" t="s">
        <v>92</v>
      </c>
      <c r="D117" s="44"/>
      <c r="E117" s="53">
        <f t="shared" si="10"/>
        <v>70114</v>
      </c>
      <c r="F117" s="53"/>
      <c r="G117" s="53">
        <v>789445</v>
      </c>
      <c r="H117" s="53"/>
      <c r="I117" s="53">
        <v>859559</v>
      </c>
      <c r="J117" s="53"/>
      <c r="K117" s="53">
        <f t="shared" si="11"/>
        <v>13760</v>
      </c>
      <c r="L117" s="53"/>
      <c r="M117" s="53">
        <v>64699</v>
      </c>
      <c r="N117" s="53"/>
      <c r="O117" s="53">
        <v>78459</v>
      </c>
      <c r="P117" s="53"/>
      <c r="Q117" s="53">
        <v>715026</v>
      </c>
      <c r="R117" s="53"/>
      <c r="S117" s="53">
        <v>0</v>
      </c>
      <c r="T117" s="53"/>
      <c r="U117" s="53">
        <v>66074</v>
      </c>
      <c r="V117" s="53"/>
      <c r="W117" s="53">
        <f t="shared" si="12"/>
        <v>781100</v>
      </c>
      <c r="X117" s="51"/>
      <c r="Y117" s="51"/>
      <c r="Z117" s="35" t="s">
        <v>479</v>
      </c>
      <c r="AA117" s="53"/>
      <c r="AB117" s="35" t="s">
        <v>92</v>
      </c>
      <c r="AC117" s="51"/>
      <c r="AD117" s="53">
        <v>75970</v>
      </c>
      <c r="AE117" s="53"/>
      <c r="AF117" s="53">
        <v>58889</v>
      </c>
      <c r="AG117" s="53"/>
      <c r="AH117" s="53">
        <v>14645</v>
      </c>
      <c r="AI117" s="53"/>
      <c r="AJ117" s="45">
        <f t="shared" si="23"/>
        <v>2436</v>
      </c>
      <c r="AK117" s="45"/>
      <c r="AL117" s="53">
        <v>-8194</v>
      </c>
      <c r="AM117" s="45"/>
      <c r="AN117" s="53">
        <v>0</v>
      </c>
      <c r="AO117" s="53"/>
      <c r="AP117" s="53">
        <v>0</v>
      </c>
      <c r="AQ117" s="53"/>
      <c r="AR117" s="53">
        <v>0</v>
      </c>
      <c r="AS117" s="53"/>
      <c r="AT117" s="45">
        <f t="shared" si="21"/>
        <v>-5758</v>
      </c>
      <c r="AU117" s="45"/>
      <c r="AV117" s="53"/>
      <c r="AW117" s="53"/>
      <c r="AX117" s="53"/>
      <c r="AY117" s="53"/>
      <c r="AZ117" s="53">
        <f t="shared" si="22"/>
        <v>56354</v>
      </c>
      <c r="BA117" s="51"/>
      <c r="BB117" s="35" t="s">
        <v>481</v>
      </c>
      <c r="BD117" s="35" t="s">
        <v>92</v>
      </c>
      <c r="BE117" s="53"/>
      <c r="BF117" s="53">
        <v>64699</v>
      </c>
      <c r="BG117" s="53"/>
      <c r="BH117" s="53">
        <v>0</v>
      </c>
      <c r="BI117" s="53"/>
      <c r="BJ117" s="53">
        <v>0</v>
      </c>
      <c r="BK117" s="53"/>
      <c r="BL117" s="53">
        <v>0</v>
      </c>
      <c r="BM117" s="53"/>
      <c r="BN117" s="53">
        <f>SUM(BF117:BL117)</f>
        <v>64699</v>
      </c>
      <c r="BO117" s="54"/>
      <c r="BS117" s="55"/>
      <c r="BT117" s="55"/>
      <c r="BU117" s="84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</row>
    <row r="118" spans="1:95" s="64" customFormat="1" ht="12.75" customHeight="1">
      <c r="A118" s="35" t="s">
        <v>141</v>
      </c>
      <c r="B118" s="35"/>
      <c r="C118" s="35" t="s">
        <v>27</v>
      </c>
      <c r="D118" s="44"/>
      <c r="E118" s="53">
        <f t="shared" si="10"/>
        <v>4435756</v>
      </c>
      <c r="F118" s="53"/>
      <c r="G118" s="53">
        <v>42797464</v>
      </c>
      <c r="H118" s="53"/>
      <c r="I118" s="53">
        <v>47233220</v>
      </c>
      <c r="J118" s="53"/>
      <c r="K118" s="53">
        <f t="shared" si="11"/>
        <v>2039450</v>
      </c>
      <c r="L118" s="53"/>
      <c r="M118" s="53">
        <v>17959133</v>
      </c>
      <c r="N118" s="53"/>
      <c r="O118" s="53">
        <v>19998583</v>
      </c>
      <c r="P118" s="53"/>
      <c r="Q118" s="53">
        <v>22900243</v>
      </c>
      <c r="R118" s="53"/>
      <c r="S118" s="53">
        <f>676847+193550</f>
        <v>870397</v>
      </c>
      <c r="T118" s="53"/>
      <c r="U118" s="53">
        <v>3463997</v>
      </c>
      <c r="V118" s="53"/>
      <c r="W118" s="53">
        <f t="shared" si="12"/>
        <v>27234637</v>
      </c>
      <c r="X118" s="51"/>
      <c r="Y118" s="51"/>
      <c r="Z118" s="35" t="s">
        <v>141</v>
      </c>
      <c r="AA118" s="53"/>
      <c r="AB118" s="35" t="s">
        <v>27</v>
      </c>
      <c r="AC118" s="35"/>
      <c r="AD118" s="53">
        <v>10156366</v>
      </c>
      <c r="AE118" s="53"/>
      <c r="AF118" s="53">
        <f>8938737-468176</f>
        <v>8470561</v>
      </c>
      <c r="AG118" s="53"/>
      <c r="AH118" s="53">
        <v>468176</v>
      </c>
      <c r="AI118" s="53"/>
      <c r="AJ118" s="45">
        <f t="shared" si="23"/>
        <v>1217629</v>
      </c>
      <c r="AK118" s="45"/>
      <c r="AL118" s="53">
        <v>654548</v>
      </c>
      <c r="AM118" s="45"/>
      <c r="AN118" s="53">
        <v>0</v>
      </c>
      <c r="AO118" s="53"/>
      <c r="AP118" s="53">
        <v>0</v>
      </c>
      <c r="AQ118" s="53"/>
      <c r="AR118" s="53">
        <v>0</v>
      </c>
      <c r="AS118" s="53"/>
      <c r="AT118" s="45">
        <f t="shared" si="21"/>
        <v>1872177</v>
      </c>
      <c r="AU118" s="45"/>
      <c r="AV118" s="53">
        <v>0</v>
      </c>
      <c r="AW118" s="53"/>
      <c r="AX118" s="53">
        <v>0</v>
      </c>
      <c r="AY118" s="53"/>
      <c r="AZ118" s="53">
        <f t="shared" si="22"/>
        <v>2396306</v>
      </c>
      <c r="BA118" s="51"/>
      <c r="BB118" s="35" t="s">
        <v>141</v>
      </c>
      <c r="BC118" s="35"/>
      <c r="BD118" s="35" t="s">
        <v>27</v>
      </c>
      <c r="BE118" s="53"/>
      <c r="BF118" s="53">
        <v>0</v>
      </c>
      <c r="BG118" s="53"/>
      <c r="BH118" s="53">
        <f>2190000+1915000-118320+566941+495+9975000-118229+20072</f>
        <v>14430959</v>
      </c>
      <c r="BI118" s="53"/>
      <c r="BJ118" s="53">
        <f>686650+1263608+770826+1234452+399826</f>
        <v>4355362</v>
      </c>
      <c r="BK118" s="53"/>
      <c r="BL118" s="53">
        <v>175000</v>
      </c>
      <c r="BM118" s="53"/>
      <c r="BN118" s="53">
        <f t="shared" si="16"/>
        <v>18961321</v>
      </c>
      <c r="BO118" s="91"/>
      <c r="BS118" s="90"/>
      <c r="BT118" s="90"/>
      <c r="BU118" s="95"/>
      <c r="BV118" s="90"/>
      <c r="BW118" s="90"/>
      <c r="BX118" s="90"/>
      <c r="BY118" s="90"/>
      <c r="BZ118" s="90"/>
      <c r="CA118" s="90"/>
      <c r="CB118" s="90"/>
      <c r="CC118" s="90"/>
      <c r="CD118" s="90"/>
      <c r="CE118" s="90"/>
      <c r="CF118" s="90"/>
      <c r="CG118" s="90"/>
      <c r="CH118" s="90"/>
      <c r="CI118" s="90"/>
      <c r="CJ118" s="90"/>
      <c r="CK118" s="90"/>
      <c r="CL118" s="90"/>
      <c r="CM118" s="90"/>
      <c r="CN118" s="90"/>
      <c r="CO118" s="90"/>
      <c r="CP118" s="90"/>
      <c r="CQ118" s="90"/>
    </row>
    <row r="119" spans="1:95" s="35" customFormat="1" ht="12.75" customHeight="1">
      <c r="A119" s="35" t="s">
        <v>142</v>
      </c>
      <c r="B119" s="51"/>
      <c r="C119" s="35" t="s">
        <v>102</v>
      </c>
      <c r="D119" s="44"/>
      <c r="E119" s="53">
        <f t="shared" si="10"/>
        <v>11565004</v>
      </c>
      <c r="F119" s="53"/>
      <c r="G119" s="53">
        <v>39923568</v>
      </c>
      <c r="H119" s="53"/>
      <c r="I119" s="53">
        <v>51488572</v>
      </c>
      <c r="J119" s="53"/>
      <c r="K119" s="53">
        <f t="shared" si="11"/>
        <v>2657844</v>
      </c>
      <c r="L119" s="53"/>
      <c r="M119" s="53">
        <v>29101847</v>
      </c>
      <c r="N119" s="53"/>
      <c r="O119" s="53">
        <v>31759691</v>
      </c>
      <c r="P119" s="53"/>
      <c r="Q119" s="53">
        <v>10294678</v>
      </c>
      <c r="R119" s="53"/>
      <c r="S119" s="53">
        <v>647848</v>
      </c>
      <c r="T119" s="53"/>
      <c r="U119" s="53">
        <v>8786355</v>
      </c>
      <c r="V119" s="53"/>
      <c r="W119" s="53">
        <f t="shared" si="12"/>
        <v>19728881</v>
      </c>
      <c r="X119" s="51"/>
      <c r="Y119" s="51"/>
      <c r="Z119" s="35" t="s">
        <v>142</v>
      </c>
      <c r="AA119" s="53"/>
      <c r="AB119" s="35" t="s">
        <v>102</v>
      </c>
      <c r="AC119" s="51"/>
      <c r="AD119" s="53">
        <v>8904524</v>
      </c>
      <c r="AE119" s="53"/>
      <c r="AF119" s="53">
        <v>5436732</v>
      </c>
      <c r="AG119" s="53"/>
      <c r="AH119" s="53">
        <v>2001662</v>
      </c>
      <c r="AI119" s="53"/>
      <c r="AJ119" s="45">
        <f t="shared" si="23"/>
        <v>1466130</v>
      </c>
      <c r="AK119" s="45"/>
      <c r="AL119" s="53">
        <v>-788930</v>
      </c>
      <c r="AM119" s="45"/>
      <c r="AN119" s="53">
        <v>0</v>
      </c>
      <c r="AO119" s="53"/>
      <c r="AP119" s="53">
        <v>24000</v>
      </c>
      <c r="AQ119" s="53"/>
      <c r="AR119" s="53">
        <v>405107</v>
      </c>
      <c r="AS119" s="53"/>
      <c r="AT119" s="45">
        <f t="shared" si="21"/>
        <v>1058307</v>
      </c>
      <c r="AU119" s="45"/>
      <c r="AV119" s="53">
        <v>0</v>
      </c>
      <c r="AW119" s="53"/>
      <c r="AX119" s="53">
        <v>0</v>
      </c>
      <c r="AY119" s="53"/>
      <c r="AZ119" s="53">
        <f t="shared" si="22"/>
        <v>8907160</v>
      </c>
      <c r="BA119" s="51"/>
      <c r="BB119" s="35" t="s">
        <v>142</v>
      </c>
      <c r="BD119" s="35" t="s">
        <v>102</v>
      </c>
      <c r="BE119" s="53"/>
      <c r="BF119" s="53">
        <v>0</v>
      </c>
      <c r="BG119" s="53"/>
      <c r="BH119" s="53">
        <v>7482410</v>
      </c>
      <c r="BI119" s="53"/>
      <c r="BJ119" s="53">
        <v>21168198</v>
      </c>
      <c r="BK119" s="53"/>
      <c r="BL119" s="53">
        <v>451239</v>
      </c>
      <c r="BM119" s="53"/>
      <c r="BN119" s="53">
        <f t="shared" si="16"/>
        <v>29101847</v>
      </c>
      <c r="BO119" s="54"/>
      <c r="BS119" s="55"/>
      <c r="BT119" s="55"/>
      <c r="BU119" s="84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</row>
    <row r="120" spans="1:95" s="35" customFormat="1" ht="12.75" customHeight="1">
      <c r="A120" s="35" t="s">
        <v>143</v>
      </c>
      <c r="B120" s="51"/>
      <c r="C120" s="35" t="s">
        <v>111</v>
      </c>
      <c r="D120" s="44"/>
      <c r="E120" s="53">
        <f t="shared" si="10"/>
        <v>4963406</v>
      </c>
      <c r="F120" s="53"/>
      <c r="G120" s="53">
        <v>25585367</v>
      </c>
      <c r="H120" s="53"/>
      <c r="I120" s="53">
        <v>30548773</v>
      </c>
      <c r="J120" s="53"/>
      <c r="K120" s="53">
        <f t="shared" si="11"/>
        <v>646329</v>
      </c>
      <c r="L120" s="53"/>
      <c r="M120" s="53">
        <v>6770582</v>
      </c>
      <c r="N120" s="53"/>
      <c r="O120" s="53">
        <v>7416911</v>
      </c>
      <c r="P120" s="53"/>
      <c r="Q120" s="53">
        <v>15016293</v>
      </c>
      <c r="R120" s="53"/>
      <c r="S120" s="53">
        <v>1029634</v>
      </c>
      <c r="T120" s="53"/>
      <c r="U120" s="53">
        <v>7085935</v>
      </c>
      <c r="V120" s="53"/>
      <c r="W120" s="53">
        <f t="shared" si="12"/>
        <v>23131862</v>
      </c>
      <c r="X120" s="51"/>
      <c r="Y120" s="51"/>
      <c r="Z120" s="35" t="s">
        <v>143</v>
      </c>
      <c r="AA120" s="53"/>
      <c r="AB120" s="35" t="s">
        <v>111</v>
      </c>
      <c r="AC120" s="51"/>
      <c r="AD120" s="53">
        <v>15318</v>
      </c>
      <c r="AE120" s="53"/>
      <c r="AF120" s="53">
        <v>1436995</v>
      </c>
      <c r="AG120" s="53"/>
      <c r="AH120" s="53">
        <v>717891</v>
      </c>
      <c r="AI120" s="53"/>
      <c r="AJ120" s="45">
        <f t="shared" si="23"/>
        <v>-2139568</v>
      </c>
      <c r="AK120" s="45"/>
      <c r="AL120" s="53">
        <v>608176</v>
      </c>
      <c r="AM120" s="45"/>
      <c r="AN120" s="53">
        <v>0</v>
      </c>
      <c r="AO120" s="53"/>
      <c r="AP120" s="53">
        <v>0</v>
      </c>
      <c r="AQ120" s="53"/>
      <c r="AR120" s="53">
        <v>0</v>
      </c>
      <c r="AS120" s="53"/>
      <c r="AT120" s="45">
        <f t="shared" si="21"/>
        <v>-1531392</v>
      </c>
      <c r="AU120" s="45"/>
      <c r="AV120" s="53">
        <v>0</v>
      </c>
      <c r="AW120" s="53"/>
      <c r="AX120" s="53">
        <v>0</v>
      </c>
      <c r="AY120" s="53"/>
      <c r="AZ120" s="53">
        <f t="shared" si="22"/>
        <v>4317077</v>
      </c>
      <c r="BA120" s="51"/>
      <c r="BB120" s="35" t="s">
        <v>143</v>
      </c>
      <c r="BD120" s="35" t="s">
        <v>111</v>
      </c>
      <c r="BE120" s="53"/>
      <c r="BF120" s="53">
        <v>0</v>
      </c>
      <c r="BG120" s="53"/>
      <c r="BH120" s="53">
        <v>6721846</v>
      </c>
      <c r="BI120" s="53"/>
      <c r="BJ120" s="53">
        <v>0</v>
      </c>
      <c r="BK120" s="53"/>
      <c r="BL120" s="53">
        <v>48736</v>
      </c>
      <c r="BM120" s="53"/>
      <c r="BN120" s="53">
        <f t="shared" si="16"/>
        <v>6770582</v>
      </c>
      <c r="BO120" s="54"/>
      <c r="BS120" s="55"/>
      <c r="BT120" s="55"/>
      <c r="BU120" s="84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</row>
    <row r="121" spans="1:95" s="35" customFormat="1" ht="12.75" customHeight="1">
      <c r="A121" s="35" t="s">
        <v>144</v>
      </c>
      <c r="B121" s="51"/>
      <c r="C121" s="35" t="s">
        <v>88</v>
      </c>
      <c r="D121" s="44"/>
      <c r="E121" s="53">
        <f t="shared" si="10"/>
        <v>10143335</v>
      </c>
      <c r="F121" s="53"/>
      <c r="G121" s="53">
        <v>25359131</v>
      </c>
      <c r="H121" s="53"/>
      <c r="I121" s="53">
        <v>35502466</v>
      </c>
      <c r="J121" s="53"/>
      <c r="K121" s="53">
        <f t="shared" si="11"/>
        <v>7003989</v>
      </c>
      <c r="L121" s="53"/>
      <c r="M121" s="53">
        <v>4478765</v>
      </c>
      <c r="N121" s="53"/>
      <c r="O121" s="53">
        <v>11482754</v>
      </c>
      <c r="P121" s="53"/>
      <c r="Q121" s="53">
        <v>20446094</v>
      </c>
      <c r="R121" s="53"/>
      <c r="S121" s="53">
        <v>0</v>
      </c>
      <c r="T121" s="53"/>
      <c r="U121" s="53">
        <v>3573618</v>
      </c>
      <c r="V121" s="53"/>
      <c r="W121" s="53">
        <f t="shared" si="12"/>
        <v>24019712</v>
      </c>
      <c r="X121" s="51"/>
      <c r="Y121" s="51"/>
      <c r="Z121" s="35" t="s">
        <v>144</v>
      </c>
      <c r="AA121" s="53"/>
      <c r="AB121" s="35" t="s">
        <v>88</v>
      </c>
      <c r="AC121" s="51"/>
      <c r="AD121" s="53">
        <v>9489618</v>
      </c>
      <c r="AE121" s="53"/>
      <c r="AF121" s="53">
        <v>7206679</v>
      </c>
      <c r="AG121" s="53"/>
      <c r="AH121" s="53">
        <v>1265733</v>
      </c>
      <c r="AI121" s="53"/>
      <c r="AJ121" s="45">
        <f t="shared" si="23"/>
        <v>1017206</v>
      </c>
      <c r="AK121" s="45"/>
      <c r="AL121" s="53">
        <v>-197945</v>
      </c>
      <c r="AM121" s="45"/>
      <c r="AN121" s="53">
        <v>0</v>
      </c>
      <c r="AO121" s="53"/>
      <c r="AP121" s="53">
        <v>0</v>
      </c>
      <c r="AQ121" s="53"/>
      <c r="AR121" s="53">
        <v>0</v>
      </c>
      <c r="AS121" s="53"/>
      <c r="AT121" s="45">
        <f t="shared" si="21"/>
        <v>819261</v>
      </c>
      <c r="AU121" s="45"/>
      <c r="AV121" s="53">
        <v>0</v>
      </c>
      <c r="AW121" s="53"/>
      <c r="AX121" s="53">
        <v>0</v>
      </c>
      <c r="AY121" s="53"/>
      <c r="AZ121" s="53">
        <f t="shared" si="22"/>
        <v>3139346</v>
      </c>
      <c r="BA121" s="51"/>
      <c r="BB121" s="35" t="s">
        <v>144</v>
      </c>
      <c r="BD121" s="35" t="s">
        <v>88</v>
      </c>
      <c r="BE121" s="53"/>
      <c r="BF121" s="53">
        <v>1971300</v>
      </c>
      <c r="BG121" s="53"/>
      <c r="BH121" s="53">
        <v>0</v>
      </c>
      <c r="BI121" s="53"/>
      <c r="BJ121" s="53">
        <v>0</v>
      </c>
      <c r="BK121" s="53"/>
      <c r="BL121" s="53">
        <v>2507465</v>
      </c>
      <c r="BM121" s="53"/>
      <c r="BN121" s="53">
        <f t="shared" si="16"/>
        <v>4478765</v>
      </c>
      <c r="BO121" s="54"/>
      <c r="BS121" s="55"/>
      <c r="BT121" s="55"/>
      <c r="BU121" s="84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</row>
    <row r="122" spans="1:95" s="35" customFormat="1" ht="12.75" customHeight="1">
      <c r="A122" s="35" t="s">
        <v>36</v>
      </c>
      <c r="B122" s="51"/>
      <c r="C122" s="35" t="s">
        <v>145</v>
      </c>
      <c r="D122" s="44"/>
      <c r="E122" s="53">
        <f t="shared" si="10"/>
        <v>910189</v>
      </c>
      <c r="F122" s="53"/>
      <c r="G122" s="53">
        <v>3923723</v>
      </c>
      <c r="H122" s="53"/>
      <c r="I122" s="53">
        <v>4833912</v>
      </c>
      <c r="J122" s="53"/>
      <c r="K122" s="53">
        <f t="shared" si="11"/>
        <v>401303</v>
      </c>
      <c r="L122" s="53"/>
      <c r="M122" s="53">
        <v>1287184</v>
      </c>
      <c r="N122" s="53"/>
      <c r="O122" s="53">
        <v>1688487</v>
      </c>
      <c r="P122" s="53"/>
      <c r="Q122" s="53">
        <v>2374166</v>
      </c>
      <c r="R122" s="53"/>
      <c r="S122" s="53">
        <v>0</v>
      </c>
      <c r="T122" s="53"/>
      <c r="U122" s="53">
        <v>771259</v>
      </c>
      <c r="V122" s="53"/>
      <c r="W122" s="53">
        <f t="shared" si="12"/>
        <v>3145425</v>
      </c>
      <c r="X122" s="51"/>
      <c r="Y122" s="51"/>
      <c r="Z122" s="35" t="s">
        <v>36</v>
      </c>
      <c r="AA122" s="53"/>
      <c r="AB122" s="35" t="s">
        <v>145</v>
      </c>
      <c r="AC122" s="51"/>
      <c r="AD122" s="53">
        <v>1390090</v>
      </c>
      <c r="AE122" s="53"/>
      <c r="AF122" s="53">
        <v>1108962</v>
      </c>
      <c r="AG122" s="53"/>
      <c r="AH122" s="53">
        <v>145366</v>
      </c>
      <c r="AI122" s="53"/>
      <c r="AJ122" s="45">
        <f t="shared" si="23"/>
        <v>135762</v>
      </c>
      <c r="AK122" s="45"/>
      <c r="AL122" s="53">
        <v>-85135</v>
      </c>
      <c r="AM122" s="45"/>
      <c r="AN122" s="53">
        <v>0</v>
      </c>
      <c r="AO122" s="53"/>
      <c r="AP122" s="53">
        <v>0</v>
      </c>
      <c r="AQ122" s="53"/>
      <c r="AR122" s="53">
        <v>234408</v>
      </c>
      <c r="AS122" s="53"/>
      <c r="AT122" s="45">
        <f t="shared" si="21"/>
        <v>285035</v>
      </c>
      <c r="AU122" s="45"/>
      <c r="AV122" s="53">
        <v>0</v>
      </c>
      <c r="AW122" s="53"/>
      <c r="AX122" s="53">
        <v>0</v>
      </c>
      <c r="AY122" s="53"/>
      <c r="AZ122" s="53">
        <f t="shared" si="22"/>
        <v>508886</v>
      </c>
      <c r="BA122" s="51"/>
      <c r="BB122" s="35" t="s">
        <v>36</v>
      </c>
      <c r="BD122" s="35" t="s">
        <v>145</v>
      </c>
      <c r="BE122" s="53"/>
      <c r="BF122" s="53">
        <v>0</v>
      </c>
      <c r="BG122" s="53"/>
      <c r="BH122" s="53">
        <v>814500</v>
      </c>
      <c r="BI122" s="53"/>
      <c r="BJ122" s="53">
        <v>0</v>
      </c>
      <c r="BK122" s="53"/>
      <c r="BL122" s="53">
        <v>472684</v>
      </c>
      <c r="BM122" s="53"/>
      <c r="BN122" s="53">
        <f t="shared" si="16"/>
        <v>1287184</v>
      </c>
      <c r="BO122" s="54"/>
      <c r="BS122" s="55"/>
      <c r="BT122" s="55"/>
      <c r="BU122" s="84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</row>
    <row r="123" spans="1:95" s="35" customFormat="1" ht="12.75" customHeight="1">
      <c r="A123" s="35" t="s">
        <v>146</v>
      </c>
      <c r="C123" s="35" t="s">
        <v>147</v>
      </c>
      <c r="D123" s="44"/>
      <c r="E123" s="53">
        <f t="shared" si="10"/>
        <v>1329916</v>
      </c>
      <c r="F123" s="53"/>
      <c r="G123" s="53">
        <v>3274420</v>
      </c>
      <c r="H123" s="53"/>
      <c r="I123" s="53">
        <v>4604336</v>
      </c>
      <c r="J123" s="53"/>
      <c r="K123" s="53">
        <f t="shared" si="11"/>
        <v>357073</v>
      </c>
      <c r="L123" s="53"/>
      <c r="M123" s="53">
        <v>1208195</v>
      </c>
      <c r="N123" s="53"/>
      <c r="O123" s="53">
        <v>1565268</v>
      </c>
      <c r="P123" s="53"/>
      <c r="Q123" s="53">
        <v>1933769</v>
      </c>
      <c r="R123" s="53"/>
      <c r="S123" s="53">
        <v>0</v>
      </c>
      <c r="T123" s="53"/>
      <c r="U123" s="53">
        <v>1105299</v>
      </c>
      <c r="V123" s="53"/>
      <c r="W123" s="53">
        <f t="shared" si="12"/>
        <v>3039068</v>
      </c>
      <c r="Z123" s="35" t="s">
        <v>146</v>
      </c>
      <c r="AA123" s="53"/>
      <c r="AB123" s="35" t="s">
        <v>147</v>
      </c>
      <c r="AD123" s="53">
        <v>1366590</v>
      </c>
      <c r="AE123" s="53"/>
      <c r="AF123" s="53">
        <v>1210864</v>
      </c>
      <c r="AG123" s="53"/>
      <c r="AH123" s="53">
        <v>164593</v>
      </c>
      <c r="AI123" s="53"/>
      <c r="AJ123" s="45">
        <f t="shared" si="23"/>
        <v>-8867</v>
      </c>
      <c r="AK123" s="45"/>
      <c r="AL123" s="53">
        <v>-44938</v>
      </c>
      <c r="AM123" s="45"/>
      <c r="AN123" s="53">
        <v>132000</v>
      </c>
      <c r="AO123" s="53"/>
      <c r="AP123" s="53">
        <v>0</v>
      </c>
      <c r="AQ123" s="53"/>
      <c r="AR123" s="53">
        <v>0</v>
      </c>
      <c r="AS123" s="53"/>
      <c r="AT123" s="45">
        <f t="shared" si="21"/>
        <v>78195</v>
      </c>
      <c r="AU123" s="45"/>
      <c r="AV123" s="53">
        <v>0</v>
      </c>
      <c r="AW123" s="53"/>
      <c r="AX123" s="53">
        <v>0</v>
      </c>
      <c r="AY123" s="53"/>
      <c r="AZ123" s="53">
        <f t="shared" si="22"/>
        <v>972843</v>
      </c>
      <c r="BA123" s="51"/>
      <c r="BB123" s="35" t="s">
        <v>146</v>
      </c>
      <c r="BD123" s="35" t="s">
        <v>147</v>
      </c>
      <c r="BE123" s="53"/>
      <c r="BF123" s="53">
        <v>0</v>
      </c>
      <c r="BG123" s="53"/>
      <c r="BH123" s="53">
        <v>0</v>
      </c>
      <c r="BI123" s="53"/>
      <c r="BJ123" s="53">
        <v>1154188</v>
      </c>
      <c r="BK123" s="53"/>
      <c r="BL123" s="53">
        <v>54007</v>
      </c>
      <c r="BM123" s="53"/>
      <c r="BN123" s="53">
        <f t="shared" si="16"/>
        <v>1208195</v>
      </c>
      <c r="BO123" s="54"/>
      <c r="BS123" s="55"/>
      <c r="BT123" s="55"/>
      <c r="BU123" s="84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</row>
    <row r="124" spans="1:95" s="35" customFormat="1" ht="12.75" customHeight="1">
      <c r="A124" s="35" t="s">
        <v>17</v>
      </c>
      <c r="C124" s="35" t="s">
        <v>17</v>
      </c>
      <c r="D124" s="44"/>
      <c r="E124" s="53">
        <f t="shared" si="10"/>
        <v>3842666</v>
      </c>
      <c r="F124" s="53"/>
      <c r="G124" s="53">
        <v>26462077</v>
      </c>
      <c r="H124" s="53"/>
      <c r="I124" s="53">
        <v>30304743</v>
      </c>
      <c r="J124" s="53"/>
      <c r="K124" s="53">
        <f t="shared" si="11"/>
        <v>1712338</v>
      </c>
      <c r="L124" s="53"/>
      <c r="M124" s="53">
        <v>16039903</v>
      </c>
      <c r="N124" s="53"/>
      <c r="O124" s="53">
        <v>17752241</v>
      </c>
      <c r="P124" s="53"/>
      <c r="Q124" s="53">
        <v>8567343</v>
      </c>
      <c r="R124" s="53"/>
      <c r="S124" s="53">
        <f>1202127+150000+333929</f>
        <v>1686056</v>
      </c>
      <c r="T124" s="53"/>
      <c r="U124" s="53">
        <v>2299103</v>
      </c>
      <c r="V124" s="53"/>
      <c r="W124" s="53">
        <f t="shared" si="12"/>
        <v>12552502</v>
      </c>
      <c r="X124" s="51"/>
      <c r="Y124" s="51"/>
      <c r="Z124" s="35" t="s">
        <v>17</v>
      </c>
      <c r="AA124" s="53"/>
      <c r="AB124" s="35" t="s">
        <v>17</v>
      </c>
      <c r="AD124" s="53">
        <v>7966168</v>
      </c>
      <c r="AE124" s="53"/>
      <c r="AF124" s="53">
        <f>6773944-809990</f>
        <v>5963954</v>
      </c>
      <c r="AG124" s="53"/>
      <c r="AH124" s="53">
        <v>809990</v>
      </c>
      <c r="AI124" s="53"/>
      <c r="AJ124" s="45">
        <f t="shared" si="23"/>
        <v>1192224</v>
      </c>
      <c r="AK124" s="45"/>
      <c r="AL124" s="53">
        <v>-805426</v>
      </c>
      <c r="AM124" s="45"/>
      <c r="AN124" s="53">
        <v>0</v>
      </c>
      <c r="AO124" s="53"/>
      <c r="AP124" s="53">
        <v>0</v>
      </c>
      <c r="AQ124" s="53"/>
      <c r="AR124" s="53">
        <v>975624</v>
      </c>
      <c r="AS124" s="53"/>
      <c r="AT124" s="45">
        <f t="shared" si="21"/>
        <v>1362422</v>
      </c>
      <c r="AU124" s="45"/>
      <c r="AV124" s="53">
        <v>0</v>
      </c>
      <c r="AW124" s="53"/>
      <c r="AX124" s="53">
        <v>0</v>
      </c>
      <c r="AY124" s="53"/>
      <c r="AZ124" s="53">
        <f t="shared" si="22"/>
        <v>2130328</v>
      </c>
      <c r="BA124" s="51"/>
      <c r="BB124" s="35" t="s">
        <v>17</v>
      </c>
      <c r="BD124" s="35" t="s">
        <v>17</v>
      </c>
      <c r="BE124" s="53"/>
      <c r="BF124" s="53">
        <f>955000+62085</f>
        <v>1017085</v>
      </c>
      <c r="BG124" s="53"/>
      <c r="BH124" s="53">
        <f>5720000-63008</f>
        <v>5656992</v>
      </c>
      <c r="BI124" s="53"/>
      <c r="BJ124" s="53">
        <v>43621429</v>
      </c>
      <c r="BK124" s="53"/>
      <c r="BL124" s="53">
        <f>256966+1259690</f>
        <v>1516656</v>
      </c>
      <c r="BM124" s="53"/>
      <c r="BN124" s="53">
        <f t="shared" si="16"/>
        <v>51812162</v>
      </c>
      <c r="BO124" s="54"/>
      <c r="BS124" s="55"/>
      <c r="BT124" s="55"/>
      <c r="BU124" s="84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</row>
    <row r="125" spans="1:95" s="35" customFormat="1" ht="12.75" customHeight="1">
      <c r="A125" s="35" t="s">
        <v>148</v>
      </c>
      <c r="C125" s="35" t="s">
        <v>15</v>
      </c>
      <c r="D125" s="44"/>
      <c r="E125" s="53">
        <f t="shared" si="10"/>
        <v>776671</v>
      </c>
      <c r="F125" s="53"/>
      <c r="G125" s="53">
        <v>6193968</v>
      </c>
      <c r="H125" s="53"/>
      <c r="I125" s="53">
        <v>6970639</v>
      </c>
      <c r="J125" s="53"/>
      <c r="K125" s="53">
        <f t="shared" si="11"/>
        <v>236989</v>
      </c>
      <c r="L125" s="53"/>
      <c r="M125" s="53">
        <v>1928769</v>
      </c>
      <c r="N125" s="53"/>
      <c r="O125" s="53">
        <v>2165758</v>
      </c>
      <c r="P125" s="53"/>
      <c r="Q125" s="53">
        <v>4134824</v>
      </c>
      <c r="R125" s="53"/>
      <c r="S125" s="53">
        <v>0</v>
      </c>
      <c r="T125" s="53"/>
      <c r="U125" s="53">
        <v>670057</v>
      </c>
      <c r="V125" s="53"/>
      <c r="W125" s="53">
        <f t="shared" si="12"/>
        <v>4804881</v>
      </c>
      <c r="Z125" s="35" t="s">
        <v>148</v>
      </c>
      <c r="AA125" s="53"/>
      <c r="AB125" s="35" t="s">
        <v>15</v>
      </c>
      <c r="AD125" s="53">
        <v>735974</v>
      </c>
      <c r="AE125" s="53"/>
      <c r="AF125" s="53">
        <f>906316-199516</f>
        <v>706800</v>
      </c>
      <c r="AG125" s="53"/>
      <c r="AH125" s="53">
        <v>199516</v>
      </c>
      <c r="AI125" s="53"/>
      <c r="AJ125" s="45">
        <f t="shared" si="23"/>
        <v>-170342</v>
      </c>
      <c r="AK125" s="45"/>
      <c r="AL125" s="53">
        <v>321943</v>
      </c>
      <c r="AM125" s="45"/>
      <c r="AN125" s="53">
        <v>0</v>
      </c>
      <c r="AO125" s="53"/>
      <c r="AP125" s="53">
        <v>0</v>
      </c>
      <c r="AQ125" s="53"/>
      <c r="AR125" s="53">
        <v>0</v>
      </c>
      <c r="AS125" s="53"/>
      <c r="AT125" s="45">
        <f t="shared" si="21"/>
        <v>151601</v>
      </c>
      <c r="AU125" s="45"/>
      <c r="AV125" s="53">
        <v>0</v>
      </c>
      <c r="AW125" s="53"/>
      <c r="AX125" s="53">
        <v>0</v>
      </c>
      <c r="AY125" s="53"/>
      <c r="AZ125" s="53">
        <f t="shared" si="22"/>
        <v>539682</v>
      </c>
      <c r="BA125" s="51"/>
      <c r="BB125" s="35" t="s">
        <v>148</v>
      </c>
      <c r="BD125" s="35" t="s">
        <v>15</v>
      </c>
      <c r="BE125" s="53"/>
      <c r="BF125" s="53">
        <v>0</v>
      </c>
      <c r="BG125" s="53"/>
      <c r="BH125" s="53">
        <v>0</v>
      </c>
      <c r="BI125" s="53"/>
      <c r="BJ125" s="53">
        <v>736509</v>
      </c>
      <c r="BK125" s="53"/>
      <c r="BL125" s="53">
        <v>0</v>
      </c>
      <c r="BM125" s="53"/>
      <c r="BN125" s="53">
        <f t="shared" si="16"/>
        <v>736509</v>
      </c>
      <c r="BO125" s="54"/>
      <c r="BS125" s="55"/>
      <c r="BT125" s="55"/>
      <c r="BU125" s="84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</row>
    <row r="126" spans="1:95" s="35" customFormat="1" ht="12.75" customHeight="1">
      <c r="A126" s="35" t="s">
        <v>149</v>
      </c>
      <c r="B126" s="51"/>
      <c r="C126" s="35" t="s">
        <v>45</v>
      </c>
      <c r="D126" s="44"/>
      <c r="E126" s="53">
        <f t="shared" si="10"/>
        <v>2439877</v>
      </c>
      <c r="F126" s="53"/>
      <c r="G126" s="53">
        <f>183050+9653449</f>
        <v>9836499</v>
      </c>
      <c r="H126" s="53"/>
      <c r="I126" s="53">
        <v>12276376</v>
      </c>
      <c r="J126" s="53"/>
      <c r="K126" s="53">
        <f t="shared" si="11"/>
        <v>40854</v>
      </c>
      <c r="L126" s="53"/>
      <c r="M126" s="53">
        <f>95855+1630000</f>
        <v>1725855</v>
      </c>
      <c r="N126" s="53"/>
      <c r="O126" s="53">
        <v>1766709</v>
      </c>
      <c r="P126" s="53"/>
      <c r="Q126" s="53">
        <v>8206499</v>
      </c>
      <c r="R126" s="53"/>
      <c r="S126" s="53">
        <v>0</v>
      </c>
      <c r="T126" s="53"/>
      <c r="U126" s="53">
        <v>1303168</v>
      </c>
      <c r="V126" s="53"/>
      <c r="W126" s="53">
        <f t="shared" si="12"/>
        <v>9509667</v>
      </c>
      <c r="X126" s="51"/>
      <c r="Y126" s="51"/>
      <c r="Z126" s="35" t="s">
        <v>149</v>
      </c>
      <c r="AA126" s="53"/>
      <c r="AB126" s="35" t="s">
        <v>45</v>
      </c>
      <c r="AC126" s="51"/>
      <c r="AD126" s="53">
        <v>1598865</v>
      </c>
      <c r="AE126" s="53"/>
      <c r="AF126" s="53">
        <f>1142791-267191</f>
        <v>875600</v>
      </c>
      <c r="AG126" s="53"/>
      <c r="AH126" s="53">
        <v>267191</v>
      </c>
      <c r="AI126" s="53"/>
      <c r="AJ126" s="45">
        <f t="shared" si="23"/>
        <v>456074</v>
      </c>
      <c r="AK126" s="45"/>
      <c r="AL126" s="53">
        <v>-39690</v>
      </c>
      <c r="AM126" s="45"/>
      <c r="AN126" s="53">
        <v>0</v>
      </c>
      <c r="AO126" s="53"/>
      <c r="AP126" s="53">
        <v>-267947</v>
      </c>
      <c r="AQ126" s="53"/>
      <c r="AR126" s="53">
        <v>403403</v>
      </c>
      <c r="AS126" s="53"/>
      <c r="AT126" s="45">
        <f t="shared" si="21"/>
        <v>1087734</v>
      </c>
      <c r="AU126" s="45"/>
      <c r="AV126" s="53">
        <v>0</v>
      </c>
      <c r="AW126" s="53"/>
      <c r="AX126" s="53">
        <v>0</v>
      </c>
      <c r="AY126" s="53"/>
      <c r="AZ126" s="53">
        <f t="shared" si="22"/>
        <v>2399023</v>
      </c>
      <c r="BA126" s="51"/>
      <c r="BB126" s="35" t="s">
        <v>149</v>
      </c>
      <c r="BD126" s="35" t="s">
        <v>45</v>
      </c>
      <c r="BE126" s="53"/>
      <c r="BF126" s="53">
        <v>1630000</v>
      </c>
      <c r="BG126" s="53"/>
      <c r="BH126" s="53">
        <v>0</v>
      </c>
      <c r="BI126" s="53"/>
      <c r="BJ126" s="53">
        <v>0</v>
      </c>
      <c r="BK126" s="53"/>
      <c r="BL126" s="53">
        <v>212144</v>
      </c>
      <c r="BM126" s="53"/>
      <c r="BN126" s="53">
        <f t="shared" si="16"/>
        <v>1842144</v>
      </c>
      <c r="BO126" s="54"/>
      <c r="BS126" s="55"/>
      <c r="BT126" s="55"/>
      <c r="BU126" s="84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</row>
    <row r="127" spans="1:95" s="142" customFormat="1" ht="12.75" hidden="1" customHeight="1">
      <c r="A127" s="142" t="s">
        <v>150</v>
      </c>
      <c r="B127" s="140"/>
      <c r="C127" s="142" t="s">
        <v>27</v>
      </c>
      <c r="D127" s="137"/>
      <c r="E127" s="156">
        <f t="shared" si="10"/>
        <v>0</v>
      </c>
      <c r="F127" s="156"/>
      <c r="G127" s="156">
        <v>0</v>
      </c>
      <c r="H127" s="156"/>
      <c r="I127" s="156">
        <v>0</v>
      </c>
      <c r="J127" s="156"/>
      <c r="K127" s="156">
        <f t="shared" si="11"/>
        <v>0</v>
      </c>
      <c r="L127" s="156"/>
      <c r="M127" s="156">
        <v>0</v>
      </c>
      <c r="N127" s="156"/>
      <c r="O127" s="156">
        <v>0</v>
      </c>
      <c r="P127" s="156"/>
      <c r="Q127" s="156">
        <v>0</v>
      </c>
      <c r="R127" s="156"/>
      <c r="S127" s="156">
        <v>0</v>
      </c>
      <c r="T127" s="156"/>
      <c r="U127" s="156">
        <v>0</v>
      </c>
      <c r="V127" s="156"/>
      <c r="W127" s="156">
        <f t="shared" si="12"/>
        <v>0</v>
      </c>
      <c r="X127" s="140"/>
      <c r="Y127" s="140"/>
      <c r="Z127" s="142" t="s">
        <v>150</v>
      </c>
      <c r="AA127" s="156"/>
      <c r="AB127" s="142" t="s">
        <v>27</v>
      </c>
      <c r="AC127" s="140"/>
      <c r="AD127" s="156">
        <v>0</v>
      </c>
      <c r="AE127" s="156"/>
      <c r="AF127" s="156">
        <v>0</v>
      </c>
      <c r="AG127" s="156"/>
      <c r="AH127" s="156">
        <v>0</v>
      </c>
      <c r="AI127" s="156"/>
      <c r="AJ127" s="143">
        <f t="shared" si="23"/>
        <v>0</v>
      </c>
      <c r="AK127" s="143"/>
      <c r="AL127" s="156">
        <v>0</v>
      </c>
      <c r="AM127" s="143"/>
      <c r="AN127" s="156">
        <v>0</v>
      </c>
      <c r="AO127" s="156"/>
      <c r="AP127" s="156">
        <v>0</v>
      </c>
      <c r="AQ127" s="156"/>
      <c r="AR127" s="156">
        <v>0</v>
      </c>
      <c r="AS127" s="156"/>
      <c r="AT127" s="143">
        <f t="shared" si="21"/>
        <v>0</v>
      </c>
      <c r="AU127" s="143"/>
      <c r="AV127" s="156">
        <v>0</v>
      </c>
      <c r="AW127" s="156"/>
      <c r="AX127" s="156">
        <v>0</v>
      </c>
      <c r="AY127" s="156"/>
      <c r="AZ127" s="156">
        <f t="shared" si="22"/>
        <v>0</v>
      </c>
      <c r="BA127" s="140"/>
      <c r="BB127" s="142" t="s">
        <v>150</v>
      </c>
      <c r="BD127" s="142" t="s">
        <v>27</v>
      </c>
      <c r="BE127" s="156"/>
      <c r="BF127" s="156">
        <v>0</v>
      </c>
      <c r="BG127" s="156"/>
      <c r="BH127" s="156">
        <v>0</v>
      </c>
      <c r="BI127" s="156"/>
      <c r="BJ127" s="156">
        <v>0</v>
      </c>
      <c r="BK127" s="156"/>
      <c r="BL127" s="156">
        <v>0</v>
      </c>
      <c r="BM127" s="156"/>
      <c r="BN127" s="156">
        <f t="shared" si="16"/>
        <v>0</v>
      </c>
      <c r="BO127" s="158"/>
      <c r="BS127" s="159"/>
      <c r="BT127" s="159"/>
      <c r="BU127" s="160"/>
      <c r="BV127" s="159"/>
      <c r="BW127" s="159"/>
      <c r="BX127" s="159"/>
      <c r="BY127" s="159"/>
      <c r="BZ127" s="159"/>
      <c r="CA127" s="159"/>
      <c r="CB127" s="159"/>
      <c r="CC127" s="159"/>
      <c r="CD127" s="159"/>
      <c r="CE127" s="159"/>
      <c r="CF127" s="159"/>
      <c r="CG127" s="159"/>
      <c r="CH127" s="159"/>
      <c r="CI127" s="159"/>
      <c r="CJ127" s="159"/>
      <c r="CK127" s="159"/>
      <c r="CL127" s="159"/>
      <c r="CM127" s="159"/>
      <c r="CN127" s="159"/>
      <c r="CO127" s="159"/>
      <c r="CP127" s="159"/>
      <c r="CQ127" s="159"/>
    </row>
    <row r="128" spans="1:95" s="142" customFormat="1" ht="12.75" hidden="1" customHeight="1">
      <c r="A128" s="142" t="s">
        <v>151</v>
      </c>
      <c r="B128" s="140"/>
      <c r="C128" s="142" t="s">
        <v>13</v>
      </c>
      <c r="D128" s="137"/>
      <c r="E128" s="156">
        <f t="shared" si="10"/>
        <v>0</v>
      </c>
      <c r="F128" s="156"/>
      <c r="G128" s="156">
        <v>0</v>
      </c>
      <c r="H128" s="156"/>
      <c r="I128" s="156">
        <v>0</v>
      </c>
      <c r="J128" s="156"/>
      <c r="K128" s="156">
        <f t="shared" si="11"/>
        <v>0</v>
      </c>
      <c r="L128" s="156"/>
      <c r="M128" s="156">
        <v>0</v>
      </c>
      <c r="N128" s="156"/>
      <c r="O128" s="156">
        <v>0</v>
      </c>
      <c r="P128" s="156"/>
      <c r="Q128" s="156">
        <v>0</v>
      </c>
      <c r="R128" s="156"/>
      <c r="S128" s="156">
        <v>0</v>
      </c>
      <c r="T128" s="156"/>
      <c r="U128" s="156">
        <v>0</v>
      </c>
      <c r="V128" s="156"/>
      <c r="W128" s="156">
        <f t="shared" si="12"/>
        <v>0</v>
      </c>
      <c r="X128" s="140"/>
      <c r="Y128" s="140"/>
      <c r="Z128" s="142" t="s">
        <v>151</v>
      </c>
      <c r="AA128" s="156"/>
      <c r="AB128" s="142" t="s">
        <v>13</v>
      </c>
      <c r="AC128" s="140"/>
      <c r="AD128" s="156">
        <v>0</v>
      </c>
      <c r="AE128" s="156"/>
      <c r="AF128" s="156">
        <v>0</v>
      </c>
      <c r="AG128" s="156"/>
      <c r="AH128" s="156">
        <v>0</v>
      </c>
      <c r="AI128" s="156"/>
      <c r="AJ128" s="143">
        <f t="shared" si="23"/>
        <v>0</v>
      </c>
      <c r="AK128" s="143"/>
      <c r="AL128" s="156">
        <v>0</v>
      </c>
      <c r="AM128" s="143"/>
      <c r="AN128" s="156">
        <v>0</v>
      </c>
      <c r="AO128" s="156"/>
      <c r="AP128" s="156">
        <v>0</v>
      </c>
      <c r="AQ128" s="156"/>
      <c r="AR128" s="156">
        <v>0</v>
      </c>
      <c r="AS128" s="156"/>
      <c r="AT128" s="143">
        <f t="shared" si="21"/>
        <v>0</v>
      </c>
      <c r="AU128" s="143"/>
      <c r="AV128" s="156">
        <v>0</v>
      </c>
      <c r="AW128" s="156"/>
      <c r="AX128" s="156">
        <v>0</v>
      </c>
      <c r="AY128" s="156"/>
      <c r="AZ128" s="156">
        <f t="shared" si="22"/>
        <v>0</v>
      </c>
      <c r="BA128" s="140"/>
      <c r="BB128" s="142" t="s">
        <v>151</v>
      </c>
      <c r="BD128" s="142" t="s">
        <v>13</v>
      </c>
      <c r="BE128" s="156"/>
      <c r="BF128" s="156">
        <v>0</v>
      </c>
      <c r="BG128" s="156"/>
      <c r="BH128" s="156">
        <v>0</v>
      </c>
      <c r="BI128" s="156"/>
      <c r="BJ128" s="156">
        <v>0</v>
      </c>
      <c r="BK128" s="156"/>
      <c r="BL128" s="156">
        <v>0</v>
      </c>
      <c r="BM128" s="156"/>
      <c r="BN128" s="156">
        <f t="shared" si="16"/>
        <v>0</v>
      </c>
      <c r="BO128" s="158"/>
      <c r="BS128" s="159"/>
      <c r="BT128" s="159"/>
      <c r="BU128" s="160"/>
      <c r="BV128" s="159"/>
      <c r="BW128" s="159"/>
      <c r="BX128" s="159"/>
      <c r="BY128" s="159"/>
      <c r="BZ128" s="159"/>
      <c r="CA128" s="159"/>
      <c r="CB128" s="159"/>
      <c r="CC128" s="159"/>
      <c r="CD128" s="159"/>
      <c r="CE128" s="159"/>
      <c r="CF128" s="159"/>
      <c r="CG128" s="159"/>
      <c r="CH128" s="159"/>
      <c r="CI128" s="159"/>
      <c r="CJ128" s="159"/>
      <c r="CK128" s="159"/>
      <c r="CL128" s="159"/>
      <c r="CM128" s="159"/>
      <c r="CN128" s="159"/>
      <c r="CO128" s="159"/>
      <c r="CP128" s="159"/>
      <c r="CQ128" s="159"/>
    </row>
    <row r="129" spans="1:95" s="35" customFormat="1" ht="12.75" customHeight="1">
      <c r="A129" s="35" t="s">
        <v>152</v>
      </c>
      <c r="B129" s="51"/>
      <c r="C129" s="35" t="s">
        <v>153</v>
      </c>
      <c r="D129" s="44"/>
      <c r="E129" s="53">
        <f t="shared" si="10"/>
        <v>5462878</v>
      </c>
      <c r="F129" s="53"/>
      <c r="G129" s="53">
        <v>9810322</v>
      </c>
      <c r="H129" s="53"/>
      <c r="I129" s="53">
        <v>15273200</v>
      </c>
      <c r="J129" s="53"/>
      <c r="K129" s="53">
        <f t="shared" si="11"/>
        <v>998407</v>
      </c>
      <c r="L129" s="53"/>
      <c r="M129" s="53">
        <v>3048051</v>
      </c>
      <c r="N129" s="53"/>
      <c r="O129" s="53">
        <v>4046458</v>
      </c>
      <c r="P129" s="53"/>
      <c r="Q129" s="53">
        <v>7221821</v>
      </c>
      <c r="R129" s="53"/>
      <c r="S129" s="53">
        <v>0</v>
      </c>
      <c r="T129" s="53"/>
      <c r="U129" s="53">
        <v>4004921</v>
      </c>
      <c r="V129" s="53"/>
      <c r="W129" s="53">
        <f t="shared" si="12"/>
        <v>11226742</v>
      </c>
      <c r="X129" s="51"/>
      <c r="Y129" s="51"/>
      <c r="Z129" s="35" t="s">
        <v>152</v>
      </c>
      <c r="AA129" s="53"/>
      <c r="AB129" s="35" t="s">
        <v>153</v>
      </c>
      <c r="AC129" s="51"/>
      <c r="AD129" s="53">
        <v>8000960</v>
      </c>
      <c r="AE129" s="53"/>
      <c r="AF129" s="53">
        <v>7709061</v>
      </c>
      <c r="AG129" s="53"/>
      <c r="AH129" s="53">
        <v>575328</v>
      </c>
      <c r="AI129" s="53"/>
      <c r="AJ129" s="45">
        <f t="shared" si="23"/>
        <v>-283429</v>
      </c>
      <c r="AK129" s="45"/>
      <c r="AL129" s="53">
        <v>-69023</v>
      </c>
      <c r="AM129" s="45"/>
      <c r="AN129" s="53">
        <v>0</v>
      </c>
      <c r="AO129" s="53"/>
      <c r="AP129" s="53">
        <v>0</v>
      </c>
      <c r="AQ129" s="53"/>
      <c r="AR129" s="53">
        <v>510983</v>
      </c>
      <c r="AS129" s="53"/>
      <c r="AT129" s="45">
        <f t="shared" si="21"/>
        <v>158531</v>
      </c>
      <c r="AU129" s="45"/>
      <c r="AV129" s="53">
        <v>0</v>
      </c>
      <c r="AW129" s="53"/>
      <c r="AX129" s="53">
        <v>0</v>
      </c>
      <c r="AY129" s="53"/>
      <c r="AZ129" s="53">
        <f t="shared" si="22"/>
        <v>4464471</v>
      </c>
      <c r="BA129" s="51"/>
      <c r="BB129" s="35" t="s">
        <v>152</v>
      </c>
      <c r="BD129" s="35" t="s">
        <v>153</v>
      </c>
      <c r="BE129" s="53"/>
      <c r="BF129" s="53">
        <v>1995000</v>
      </c>
      <c r="BG129" s="53"/>
      <c r="BH129" s="53">
        <v>0</v>
      </c>
      <c r="BI129" s="53"/>
      <c r="BJ129" s="53">
        <v>98501</v>
      </c>
      <c r="BK129" s="53"/>
      <c r="BL129" s="53">
        <v>954550</v>
      </c>
      <c r="BM129" s="53"/>
      <c r="BN129" s="53">
        <f t="shared" si="16"/>
        <v>3048051</v>
      </c>
      <c r="BO129" s="54"/>
      <c r="BS129" s="55"/>
      <c r="BT129" s="55"/>
      <c r="BU129" s="84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</row>
    <row r="130" spans="1:95" s="142" customFormat="1" ht="12.75" hidden="1" customHeight="1">
      <c r="A130" s="142" t="s">
        <v>154</v>
      </c>
      <c r="B130" s="140"/>
      <c r="C130" s="142" t="s">
        <v>27</v>
      </c>
      <c r="D130" s="137"/>
      <c r="E130" s="156">
        <f t="shared" si="10"/>
        <v>0</v>
      </c>
      <c r="F130" s="156"/>
      <c r="G130" s="156"/>
      <c r="H130" s="156"/>
      <c r="I130" s="156"/>
      <c r="J130" s="156"/>
      <c r="K130" s="156">
        <f t="shared" si="11"/>
        <v>0</v>
      </c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>
        <f t="shared" si="12"/>
        <v>0</v>
      </c>
      <c r="X130" s="140"/>
      <c r="Y130" s="140"/>
      <c r="Z130" s="142" t="s">
        <v>154</v>
      </c>
      <c r="AA130" s="156"/>
      <c r="AB130" s="142" t="s">
        <v>27</v>
      </c>
      <c r="AC130" s="140"/>
      <c r="AD130" s="156"/>
      <c r="AE130" s="156"/>
      <c r="AF130" s="156"/>
      <c r="AG130" s="156"/>
      <c r="AH130" s="156"/>
      <c r="AI130" s="156"/>
      <c r="AJ130" s="143">
        <f t="shared" si="23"/>
        <v>0</v>
      </c>
      <c r="AK130" s="143"/>
      <c r="AL130" s="156"/>
      <c r="AM130" s="143"/>
      <c r="AN130" s="156"/>
      <c r="AO130" s="156"/>
      <c r="AP130" s="156"/>
      <c r="AQ130" s="156"/>
      <c r="AR130" s="156"/>
      <c r="AS130" s="156"/>
      <c r="AT130" s="143">
        <f t="shared" ref="AT130:AT161" si="24">+AJ130+AL130+AN130-AP130+AR130</f>
        <v>0</v>
      </c>
      <c r="AU130" s="143"/>
      <c r="AV130" s="156">
        <v>0</v>
      </c>
      <c r="AW130" s="156"/>
      <c r="AX130" s="156">
        <v>0</v>
      </c>
      <c r="AY130" s="156"/>
      <c r="AZ130" s="156">
        <f t="shared" ref="AZ130:AZ161" si="25">E130-K130</f>
        <v>0</v>
      </c>
      <c r="BA130" s="140"/>
      <c r="BB130" s="142" t="s">
        <v>154</v>
      </c>
      <c r="BD130" s="142" t="s">
        <v>27</v>
      </c>
      <c r="BE130" s="156"/>
      <c r="BF130" s="156"/>
      <c r="BG130" s="156"/>
      <c r="BH130" s="156"/>
      <c r="BI130" s="156"/>
      <c r="BJ130" s="156"/>
      <c r="BK130" s="156"/>
      <c r="BL130" s="156"/>
      <c r="BM130" s="156"/>
      <c r="BN130" s="156">
        <f t="shared" si="16"/>
        <v>0</v>
      </c>
      <c r="BO130" s="158"/>
      <c r="BS130" s="159"/>
      <c r="BT130" s="159"/>
      <c r="BU130" s="160"/>
      <c r="BV130" s="159"/>
      <c r="BW130" s="159"/>
      <c r="BX130" s="159"/>
      <c r="BY130" s="159"/>
      <c r="BZ130" s="159"/>
      <c r="CA130" s="159"/>
      <c r="CB130" s="159"/>
      <c r="CC130" s="159"/>
      <c r="CD130" s="159"/>
      <c r="CE130" s="159"/>
      <c r="CF130" s="159"/>
      <c r="CG130" s="159"/>
      <c r="CH130" s="159"/>
      <c r="CI130" s="159"/>
      <c r="CJ130" s="159"/>
      <c r="CK130" s="159"/>
      <c r="CL130" s="159"/>
      <c r="CM130" s="159"/>
      <c r="CN130" s="159"/>
      <c r="CO130" s="159"/>
      <c r="CP130" s="159"/>
      <c r="CQ130" s="159"/>
    </row>
    <row r="131" spans="1:95" s="35" customFormat="1" ht="12.75" hidden="1" customHeight="1">
      <c r="A131" s="35" t="s">
        <v>155</v>
      </c>
      <c r="C131" s="35" t="s">
        <v>40</v>
      </c>
      <c r="D131" s="44"/>
      <c r="E131" s="53">
        <f t="shared" si="10"/>
        <v>1553522</v>
      </c>
      <c r="F131" s="53"/>
      <c r="G131" s="53">
        <v>6146443</v>
      </c>
      <c r="H131" s="53"/>
      <c r="I131" s="53">
        <v>7699965</v>
      </c>
      <c r="J131" s="53"/>
      <c r="K131" s="53">
        <f t="shared" si="11"/>
        <v>525614</v>
      </c>
      <c r="L131" s="53"/>
      <c r="M131" s="53">
        <v>5276952</v>
      </c>
      <c r="N131" s="53"/>
      <c r="O131" s="53">
        <v>5802566</v>
      </c>
      <c r="P131" s="53"/>
      <c r="Q131" s="53">
        <v>854721</v>
      </c>
      <c r="R131" s="53"/>
      <c r="S131" s="53">
        <v>25423</v>
      </c>
      <c r="T131" s="53"/>
      <c r="U131" s="53">
        <v>1017255</v>
      </c>
      <c r="V131" s="53"/>
      <c r="W131" s="53">
        <f t="shared" si="12"/>
        <v>1897399</v>
      </c>
      <c r="Z131" s="35" t="s">
        <v>155</v>
      </c>
      <c r="AA131" s="53"/>
      <c r="AB131" s="35" t="s">
        <v>40</v>
      </c>
      <c r="AD131" s="53">
        <v>2793916</v>
      </c>
      <c r="AE131" s="53"/>
      <c r="AF131" s="53">
        <f>2838862-734538</f>
        <v>2104324</v>
      </c>
      <c r="AG131" s="53"/>
      <c r="AH131" s="53">
        <v>734538</v>
      </c>
      <c r="AI131" s="53"/>
      <c r="AJ131" s="45">
        <f t="shared" si="23"/>
        <v>-44946</v>
      </c>
      <c r="AK131" s="45"/>
      <c r="AL131" s="53">
        <v>-214316</v>
      </c>
      <c r="AM131" s="45"/>
      <c r="AN131" s="53">
        <v>0</v>
      </c>
      <c r="AO131" s="53"/>
      <c r="AP131" s="53">
        <v>0</v>
      </c>
      <c r="AQ131" s="53"/>
      <c r="AR131" s="53">
        <v>0</v>
      </c>
      <c r="AS131" s="53"/>
      <c r="AT131" s="45">
        <f t="shared" si="24"/>
        <v>-259262</v>
      </c>
      <c r="AU131" s="45"/>
      <c r="AV131" s="53">
        <v>0</v>
      </c>
      <c r="AW131" s="53"/>
      <c r="AX131" s="53">
        <v>0</v>
      </c>
      <c r="AY131" s="53"/>
      <c r="AZ131" s="53">
        <f t="shared" si="25"/>
        <v>1027908</v>
      </c>
      <c r="BA131" s="65"/>
      <c r="BB131" s="35" t="s">
        <v>155</v>
      </c>
      <c r="BD131" s="35" t="s">
        <v>40</v>
      </c>
      <c r="BE131" s="53"/>
      <c r="BF131" s="53">
        <v>4231865</v>
      </c>
      <c r="BG131" s="53"/>
      <c r="BH131" s="53">
        <v>0</v>
      </c>
      <c r="BI131" s="53"/>
      <c r="BJ131" s="53">
        <v>0</v>
      </c>
      <c r="BK131" s="53"/>
      <c r="BL131" s="53">
        <v>0</v>
      </c>
      <c r="BM131" s="53"/>
      <c r="BN131" s="53">
        <f t="shared" si="16"/>
        <v>4231865</v>
      </c>
      <c r="BO131" s="54"/>
      <c r="BS131" s="55"/>
      <c r="BT131" s="55"/>
      <c r="BU131" s="84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</row>
    <row r="132" spans="1:95" s="142" customFormat="1" ht="12.75" hidden="1" customHeight="1">
      <c r="A132" s="142" t="s">
        <v>156</v>
      </c>
      <c r="B132" s="140"/>
      <c r="C132" s="142" t="s">
        <v>156</v>
      </c>
      <c r="D132" s="137"/>
      <c r="E132" s="156">
        <f t="shared" si="10"/>
        <v>0</v>
      </c>
      <c r="F132" s="156"/>
      <c r="G132" s="156">
        <v>0</v>
      </c>
      <c r="H132" s="156"/>
      <c r="I132" s="156">
        <v>0</v>
      </c>
      <c r="J132" s="156"/>
      <c r="K132" s="156">
        <f t="shared" si="11"/>
        <v>0</v>
      </c>
      <c r="L132" s="156"/>
      <c r="M132" s="156">
        <v>0</v>
      </c>
      <c r="N132" s="156"/>
      <c r="O132" s="156">
        <v>0</v>
      </c>
      <c r="P132" s="156"/>
      <c r="Q132" s="156">
        <v>0</v>
      </c>
      <c r="R132" s="156"/>
      <c r="S132" s="156">
        <v>0</v>
      </c>
      <c r="T132" s="156"/>
      <c r="U132" s="156">
        <v>0</v>
      </c>
      <c r="V132" s="156"/>
      <c r="W132" s="156">
        <f t="shared" si="12"/>
        <v>0</v>
      </c>
      <c r="X132" s="140"/>
      <c r="Y132" s="140"/>
      <c r="Z132" s="142" t="s">
        <v>156</v>
      </c>
      <c r="AA132" s="156"/>
      <c r="AB132" s="142" t="s">
        <v>156</v>
      </c>
      <c r="AC132" s="140"/>
      <c r="AD132" s="156">
        <v>0</v>
      </c>
      <c r="AE132" s="156"/>
      <c r="AF132" s="156">
        <v>0</v>
      </c>
      <c r="AG132" s="156"/>
      <c r="AH132" s="156">
        <v>0</v>
      </c>
      <c r="AI132" s="156"/>
      <c r="AJ132" s="143">
        <f t="shared" si="23"/>
        <v>0</v>
      </c>
      <c r="AK132" s="143"/>
      <c r="AL132" s="156">
        <v>0</v>
      </c>
      <c r="AM132" s="143"/>
      <c r="AN132" s="156">
        <v>0</v>
      </c>
      <c r="AO132" s="156"/>
      <c r="AP132" s="156">
        <v>0</v>
      </c>
      <c r="AQ132" s="156"/>
      <c r="AR132" s="156">
        <v>0</v>
      </c>
      <c r="AS132" s="156"/>
      <c r="AT132" s="143">
        <f t="shared" si="24"/>
        <v>0</v>
      </c>
      <c r="AU132" s="143"/>
      <c r="AV132" s="156">
        <v>0</v>
      </c>
      <c r="AW132" s="156"/>
      <c r="AX132" s="156">
        <v>0</v>
      </c>
      <c r="AY132" s="156"/>
      <c r="AZ132" s="156">
        <f t="shared" si="25"/>
        <v>0</v>
      </c>
      <c r="BA132" s="140"/>
      <c r="BB132" s="142" t="s">
        <v>156</v>
      </c>
      <c r="BD132" s="142" t="s">
        <v>156</v>
      </c>
      <c r="BE132" s="156"/>
      <c r="BF132" s="156">
        <v>0</v>
      </c>
      <c r="BG132" s="156"/>
      <c r="BH132" s="156">
        <v>0</v>
      </c>
      <c r="BI132" s="156"/>
      <c r="BJ132" s="156">
        <v>0</v>
      </c>
      <c r="BK132" s="156"/>
      <c r="BL132" s="156">
        <v>0</v>
      </c>
      <c r="BM132" s="156"/>
      <c r="BN132" s="156">
        <f t="shared" si="16"/>
        <v>0</v>
      </c>
      <c r="BO132" s="158"/>
      <c r="BS132" s="159"/>
      <c r="BT132" s="159"/>
      <c r="BU132" s="160"/>
      <c r="BV132" s="159"/>
      <c r="BW132" s="159"/>
      <c r="BX132" s="159"/>
      <c r="BY132" s="159"/>
      <c r="BZ132" s="159"/>
      <c r="CA132" s="159"/>
      <c r="CB132" s="159"/>
      <c r="CC132" s="159"/>
      <c r="CD132" s="159"/>
      <c r="CE132" s="159"/>
      <c r="CF132" s="159"/>
      <c r="CG132" s="159"/>
      <c r="CH132" s="159"/>
      <c r="CI132" s="159"/>
      <c r="CJ132" s="159"/>
      <c r="CK132" s="159"/>
      <c r="CL132" s="159"/>
      <c r="CM132" s="159"/>
      <c r="CN132" s="159"/>
      <c r="CO132" s="159"/>
      <c r="CP132" s="159"/>
      <c r="CQ132" s="159"/>
    </row>
    <row r="133" spans="1:95" s="35" customFormat="1" ht="12.75" customHeight="1">
      <c r="A133" s="35" t="s">
        <v>157</v>
      </c>
      <c r="B133" s="51"/>
      <c r="C133" s="35" t="s">
        <v>33</v>
      </c>
      <c r="D133" s="44"/>
      <c r="E133" s="53">
        <f t="shared" si="10"/>
        <v>514531</v>
      </c>
      <c r="F133" s="53"/>
      <c r="G133" s="53">
        <v>13219141</v>
      </c>
      <c r="H133" s="53"/>
      <c r="I133" s="53">
        <v>13733672</v>
      </c>
      <c r="J133" s="53"/>
      <c r="K133" s="53">
        <f t="shared" si="11"/>
        <v>748392</v>
      </c>
      <c r="L133" s="53"/>
      <c r="M133" s="53">
        <v>8658464</v>
      </c>
      <c r="N133" s="53"/>
      <c r="O133" s="53">
        <v>9406856</v>
      </c>
      <c r="P133" s="53"/>
      <c r="Q133" s="53">
        <v>3978889</v>
      </c>
      <c r="R133" s="53"/>
      <c r="S133" s="53">
        <v>0</v>
      </c>
      <c r="T133" s="53"/>
      <c r="U133" s="53">
        <v>347927</v>
      </c>
      <c r="V133" s="53"/>
      <c r="W133" s="53">
        <f t="shared" si="12"/>
        <v>4326816</v>
      </c>
      <c r="X133" s="51"/>
      <c r="Y133" s="51"/>
      <c r="Z133" s="35" t="s">
        <v>157</v>
      </c>
      <c r="AA133" s="53"/>
      <c r="AB133" s="35" t="s">
        <v>33</v>
      </c>
      <c r="AC133" s="51"/>
      <c r="AD133" s="53">
        <v>2883306</v>
      </c>
      <c r="AE133" s="53"/>
      <c r="AF133" s="53">
        <v>2307712</v>
      </c>
      <c r="AG133" s="53"/>
      <c r="AH133" s="53">
        <v>521363</v>
      </c>
      <c r="AI133" s="53"/>
      <c r="AJ133" s="45">
        <f t="shared" si="23"/>
        <v>54231</v>
      </c>
      <c r="AK133" s="45"/>
      <c r="AL133" s="53">
        <v>85503</v>
      </c>
      <c r="AM133" s="45"/>
      <c r="AN133" s="53">
        <v>0</v>
      </c>
      <c r="AO133" s="53"/>
      <c r="AP133" s="53">
        <v>0</v>
      </c>
      <c r="AQ133" s="53"/>
      <c r="AR133" s="53">
        <v>95010</v>
      </c>
      <c r="AS133" s="53"/>
      <c r="AT133" s="45">
        <f t="shared" si="24"/>
        <v>234744</v>
      </c>
      <c r="AU133" s="45"/>
      <c r="AV133" s="53">
        <v>0</v>
      </c>
      <c r="AW133" s="53"/>
      <c r="AX133" s="53">
        <v>0</v>
      </c>
      <c r="AY133" s="53"/>
      <c r="AZ133" s="53">
        <f t="shared" si="25"/>
        <v>-233861</v>
      </c>
      <c r="BA133" s="51"/>
      <c r="BB133" s="35" t="s">
        <v>157</v>
      </c>
      <c r="BD133" s="35" t="s">
        <v>33</v>
      </c>
      <c r="BE133" s="53"/>
      <c r="BF133" s="53">
        <v>0</v>
      </c>
      <c r="BG133" s="53"/>
      <c r="BH133" s="53">
        <v>0</v>
      </c>
      <c r="BI133" s="53"/>
      <c r="BJ133" s="53">
        <v>8583374</v>
      </c>
      <c r="BK133" s="53"/>
      <c r="BL133" s="53">
        <v>75090</v>
      </c>
      <c r="BM133" s="53"/>
      <c r="BN133" s="53">
        <f t="shared" si="16"/>
        <v>8658464</v>
      </c>
      <c r="BO133" s="54"/>
      <c r="BS133" s="55"/>
      <c r="BT133" s="55"/>
      <c r="BU133" s="84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5"/>
      <c r="CP133" s="55"/>
      <c r="CQ133" s="55"/>
    </row>
    <row r="134" spans="1:95" s="35" customFormat="1" ht="12.75" customHeight="1">
      <c r="A134" s="35" t="s">
        <v>158</v>
      </c>
      <c r="B134" s="51"/>
      <c r="C134" s="35" t="s">
        <v>159</v>
      </c>
      <c r="D134" s="44"/>
      <c r="E134" s="53">
        <f t="shared" si="10"/>
        <v>33293806</v>
      </c>
      <c r="F134" s="53"/>
      <c r="G134" s="53">
        <v>22043018</v>
      </c>
      <c r="H134" s="53"/>
      <c r="I134" s="53">
        <v>55336824</v>
      </c>
      <c r="J134" s="53"/>
      <c r="K134" s="53">
        <f t="shared" si="11"/>
        <v>3156011</v>
      </c>
      <c r="L134" s="53"/>
      <c r="M134" s="53">
        <v>32709503</v>
      </c>
      <c r="N134" s="53"/>
      <c r="O134" s="53">
        <v>35865514</v>
      </c>
      <c r="P134" s="53"/>
      <c r="Q134" s="53">
        <v>8034031</v>
      </c>
      <c r="R134" s="53"/>
      <c r="S134" s="53">
        <v>26612296</v>
      </c>
      <c r="T134" s="53"/>
      <c r="U134" s="53">
        <v>-15175017</v>
      </c>
      <c r="V134" s="53"/>
      <c r="W134" s="53">
        <f t="shared" si="12"/>
        <v>19471310</v>
      </c>
      <c r="X134" s="51"/>
      <c r="Y134" s="51"/>
      <c r="Z134" s="35" t="s">
        <v>158</v>
      </c>
      <c r="AA134" s="53"/>
      <c r="AB134" s="35" t="s">
        <v>159</v>
      </c>
      <c r="AC134" s="51"/>
      <c r="AD134" s="53">
        <v>6917492</v>
      </c>
      <c r="AE134" s="53"/>
      <c r="AF134" s="53">
        <v>2757183</v>
      </c>
      <c r="AG134" s="53"/>
      <c r="AH134" s="53">
        <v>748875</v>
      </c>
      <c r="AI134" s="53"/>
      <c r="AJ134" s="45">
        <f t="shared" si="23"/>
        <v>3411434</v>
      </c>
      <c r="AK134" s="45"/>
      <c r="AL134" s="53">
        <v>-734458</v>
      </c>
      <c r="AM134" s="45"/>
      <c r="AN134" s="53">
        <v>0</v>
      </c>
      <c r="AO134" s="53"/>
      <c r="AP134" s="53">
        <v>0</v>
      </c>
      <c r="AQ134" s="53"/>
      <c r="AR134" s="53">
        <v>0</v>
      </c>
      <c r="AS134" s="53"/>
      <c r="AT134" s="45">
        <f t="shared" si="24"/>
        <v>2676976</v>
      </c>
      <c r="AU134" s="45"/>
      <c r="AV134" s="53">
        <v>0</v>
      </c>
      <c r="AW134" s="53"/>
      <c r="AX134" s="53">
        <v>0</v>
      </c>
      <c r="AY134" s="53"/>
      <c r="AZ134" s="53">
        <f t="shared" si="25"/>
        <v>30137795</v>
      </c>
      <c r="BA134" s="51"/>
      <c r="BB134" s="35" t="s">
        <v>158</v>
      </c>
      <c r="BD134" s="35" t="s">
        <v>159</v>
      </c>
      <c r="BE134" s="53"/>
      <c r="BF134" s="53">
        <v>1152980</v>
      </c>
      <c r="BG134" s="53"/>
      <c r="BH134" s="53">
        <v>31505956</v>
      </c>
      <c r="BI134" s="53"/>
      <c r="BJ134" s="53">
        <v>0</v>
      </c>
      <c r="BK134" s="53"/>
      <c r="BL134" s="53">
        <v>50567</v>
      </c>
      <c r="BM134" s="53"/>
      <c r="BN134" s="53">
        <f t="shared" si="16"/>
        <v>32709503</v>
      </c>
      <c r="BO134" s="54"/>
      <c r="BS134" s="55"/>
      <c r="BT134" s="55"/>
      <c r="BU134" s="84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55"/>
      <c r="CP134" s="55"/>
      <c r="CQ134" s="55"/>
    </row>
    <row r="135" spans="1:95" s="35" customFormat="1" ht="12.75" customHeight="1">
      <c r="A135" s="35" t="s">
        <v>160</v>
      </c>
      <c r="B135" s="51"/>
      <c r="C135" s="35" t="s">
        <v>111</v>
      </c>
      <c r="D135" s="44"/>
      <c r="E135" s="53">
        <f t="shared" si="10"/>
        <v>1468934</v>
      </c>
      <c r="F135" s="53"/>
      <c r="G135" s="53">
        <v>33325080</v>
      </c>
      <c r="H135" s="53"/>
      <c r="I135" s="53">
        <v>34794014</v>
      </c>
      <c r="J135" s="53"/>
      <c r="K135" s="53">
        <f t="shared" si="11"/>
        <v>2109193</v>
      </c>
      <c r="L135" s="53"/>
      <c r="M135" s="53">
        <v>1606</v>
      </c>
      <c r="N135" s="53"/>
      <c r="O135" s="53">
        <v>2110799</v>
      </c>
      <c r="P135" s="53"/>
      <c r="Q135" s="53">
        <v>31315080</v>
      </c>
      <c r="R135" s="53"/>
      <c r="S135" s="53">
        <v>0</v>
      </c>
      <c r="T135" s="53"/>
      <c r="U135" s="53">
        <v>1368135</v>
      </c>
      <c r="V135" s="53"/>
      <c r="W135" s="53">
        <f t="shared" si="12"/>
        <v>32683215</v>
      </c>
      <c r="X135" s="51"/>
      <c r="Y135" s="51"/>
      <c r="Z135" s="35" t="s">
        <v>160</v>
      </c>
      <c r="AA135" s="53"/>
      <c r="AB135" s="35" t="s">
        <v>111</v>
      </c>
      <c r="AC135" s="51"/>
      <c r="AD135" s="53">
        <v>809419</v>
      </c>
      <c r="AE135" s="53"/>
      <c r="AF135" s="53">
        <v>346079</v>
      </c>
      <c r="AG135" s="53"/>
      <c r="AH135" s="53">
        <v>637332</v>
      </c>
      <c r="AI135" s="53"/>
      <c r="AJ135" s="45">
        <f t="shared" si="23"/>
        <v>-173992</v>
      </c>
      <c r="AK135" s="45"/>
      <c r="AL135" s="53">
        <v>-2658</v>
      </c>
      <c r="AM135" s="45"/>
      <c r="AN135" s="53">
        <v>0</v>
      </c>
      <c r="AO135" s="53"/>
      <c r="AP135" s="53">
        <v>0</v>
      </c>
      <c r="AQ135" s="53"/>
      <c r="AR135" s="53">
        <v>2353793</v>
      </c>
      <c r="AS135" s="53"/>
      <c r="AT135" s="45">
        <f t="shared" si="24"/>
        <v>2177143</v>
      </c>
      <c r="AU135" s="45"/>
      <c r="AV135" s="53">
        <v>0</v>
      </c>
      <c r="AW135" s="53"/>
      <c r="AX135" s="53">
        <v>0</v>
      </c>
      <c r="AY135" s="53"/>
      <c r="AZ135" s="53">
        <f t="shared" si="25"/>
        <v>-640259</v>
      </c>
      <c r="BA135" s="51"/>
      <c r="BB135" s="35" t="s">
        <v>160</v>
      </c>
      <c r="BD135" s="35" t="s">
        <v>111</v>
      </c>
      <c r="BE135" s="53"/>
      <c r="BF135" s="53">
        <v>0</v>
      </c>
      <c r="BG135" s="53"/>
      <c r="BH135" s="53">
        <v>0</v>
      </c>
      <c r="BI135" s="53"/>
      <c r="BJ135" s="53">
        <v>0</v>
      </c>
      <c r="BK135" s="53"/>
      <c r="BL135" s="53">
        <v>1606</v>
      </c>
      <c r="BM135" s="53"/>
      <c r="BN135" s="53">
        <f t="shared" si="16"/>
        <v>1606</v>
      </c>
      <c r="BO135" s="54"/>
      <c r="BS135" s="55"/>
      <c r="BT135" s="55"/>
      <c r="BU135" s="84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</row>
    <row r="136" spans="1:95" s="142" customFormat="1" ht="12.75" hidden="1" customHeight="1">
      <c r="A136" s="142" t="s">
        <v>161</v>
      </c>
      <c r="B136" s="140"/>
      <c r="C136" s="142" t="s">
        <v>15</v>
      </c>
      <c r="D136" s="137"/>
      <c r="E136" s="156">
        <f t="shared" si="10"/>
        <v>0</v>
      </c>
      <c r="F136" s="156"/>
      <c r="G136" s="156">
        <v>0</v>
      </c>
      <c r="H136" s="156"/>
      <c r="I136" s="156">
        <v>0</v>
      </c>
      <c r="J136" s="156"/>
      <c r="K136" s="156">
        <f t="shared" si="11"/>
        <v>0</v>
      </c>
      <c r="L136" s="156"/>
      <c r="M136" s="156">
        <v>0</v>
      </c>
      <c r="N136" s="156"/>
      <c r="O136" s="156">
        <v>0</v>
      </c>
      <c r="P136" s="156"/>
      <c r="Q136" s="156">
        <v>0</v>
      </c>
      <c r="R136" s="156"/>
      <c r="S136" s="156">
        <v>0</v>
      </c>
      <c r="T136" s="156"/>
      <c r="U136" s="156"/>
      <c r="V136" s="156"/>
      <c r="W136" s="156">
        <f t="shared" si="12"/>
        <v>0</v>
      </c>
      <c r="X136" s="140"/>
      <c r="Y136" s="140"/>
      <c r="Z136" s="142" t="s">
        <v>161</v>
      </c>
      <c r="AA136" s="156"/>
      <c r="AB136" s="142" t="s">
        <v>15</v>
      </c>
      <c r="AC136" s="140"/>
      <c r="AD136" s="156"/>
      <c r="AE136" s="156"/>
      <c r="AF136" s="156"/>
      <c r="AG136" s="156"/>
      <c r="AH136" s="156"/>
      <c r="AI136" s="156"/>
      <c r="AJ136" s="143">
        <f t="shared" si="23"/>
        <v>0</v>
      </c>
      <c r="AK136" s="143"/>
      <c r="AL136" s="156"/>
      <c r="AM136" s="143"/>
      <c r="AN136" s="156"/>
      <c r="AO136" s="156"/>
      <c r="AP136" s="156"/>
      <c r="AQ136" s="156"/>
      <c r="AR136" s="156"/>
      <c r="AS136" s="156"/>
      <c r="AT136" s="143">
        <f t="shared" si="24"/>
        <v>0</v>
      </c>
      <c r="AU136" s="143"/>
      <c r="AV136" s="156">
        <v>0</v>
      </c>
      <c r="AW136" s="156"/>
      <c r="AX136" s="156">
        <v>0</v>
      </c>
      <c r="AY136" s="156"/>
      <c r="AZ136" s="156">
        <f t="shared" si="25"/>
        <v>0</v>
      </c>
      <c r="BA136" s="140"/>
      <c r="BB136" s="142" t="s">
        <v>161</v>
      </c>
      <c r="BD136" s="142" t="s">
        <v>15</v>
      </c>
      <c r="BE136" s="156"/>
      <c r="BF136" s="156"/>
      <c r="BG136" s="156"/>
      <c r="BH136" s="156"/>
      <c r="BI136" s="156"/>
      <c r="BJ136" s="156"/>
      <c r="BK136" s="156"/>
      <c r="BL136" s="156"/>
      <c r="BM136" s="156"/>
      <c r="BN136" s="156">
        <f t="shared" si="16"/>
        <v>0</v>
      </c>
      <c r="BO136" s="158"/>
      <c r="BS136" s="159"/>
      <c r="BT136" s="159"/>
      <c r="BU136" s="160"/>
      <c r="BV136" s="159"/>
      <c r="BW136" s="159"/>
      <c r="BX136" s="159"/>
      <c r="BY136" s="159"/>
      <c r="BZ136" s="159"/>
      <c r="CA136" s="159"/>
      <c r="CB136" s="159"/>
      <c r="CC136" s="159"/>
      <c r="CD136" s="159"/>
      <c r="CE136" s="159"/>
      <c r="CF136" s="159"/>
      <c r="CG136" s="159"/>
      <c r="CH136" s="159"/>
      <c r="CI136" s="159"/>
      <c r="CJ136" s="159"/>
      <c r="CK136" s="159"/>
      <c r="CL136" s="159"/>
      <c r="CM136" s="159"/>
      <c r="CN136" s="159"/>
      <c r="CO136" s="159"/>
      <c r="CP136" s="159"/>
      <c r="CQ136" s="159"/>
    </row>
    <row r="137" spans="1:95" s="35" customFormat="1" ht="12.75" customHeight="1">
      <c r="A137" s="35" t="s">
        <v>162</v>
      </c>
      <c r="B137" s="51"/>
      <c r="C137" s="35" t="s">
        <v>163</v>
      </c>
      <c r="D137" s="44"/>
      <c r="E137" s="53">
        <f t="shared" si="10"/>
        <v>1215317</v>
      </c>
      <c r="F137" s="53"/>
      <c r="G137" s="53">
        <v>3950079</v>
      </c>
      <c r="H137" s="53"/>
      <c r="I137" s="53">
        <v>5165396</v>
      </c>
      <c r="J137" s="53"/>
      <c r="K137" s="53">
        <f t="shared" si="11"/>
        <v>45146</v>
      </c>
      <c r="L137" s="53"/>
      <c r="M137" s="53">
        <v>165689</v>
      </c>
      <c r="N137" s="53"/>
      <c r="O137" s="53">
        <v>210835</v>
      </c>
      <c r="P137" s="53"/>
      <c r="Q137" s="53">
        <v>3950079</v>
      </c>
      <c r="R137" s="53"/>
      <c r="S137" s="53">
        <v>0</v>
      </c>
      <c r="T137" s="53"/>
      <c r="U137" s="53">
        <v>1004482</v>
      </c>
      <c r="V137" s="53"/>
      <c r="W137" s="53">
        <f t="shared" si="12"/>
        <v>4954561</v>
      </c>
      <c r="Z137" s="35" t="s">
        <v>162</v>
      </c>
      <c r="AA137" s="53"/>
      <c r="AB137" s="35" t="s">
        <v>163</v>
      </c>
      <c r="AC137" s="51"/>
      <c r="AD137" s="53">
        <v>1855930</v>
      </c>
      <c r="AE137" s="53"/>
      <c r="AF137" s="53">
        <v>1990829</v>
      </c>
      <c r="AG137" s="53"/>
      <c r="AH137" s="53">
        <v>243089</v>
      </c>
      <c r="AI137" s="53"/>
      <c r="AJ137" s="45">
        <f t="shared" si="23"/>
        <v>-377988</v>
      </c>
      <c r="AK137" s="45"/>
      <c r="AL137" s="53">
        <v>0</v>
      </c>
      <c r="AM137" s="45"/>
      <c r="AN137" s="53">
        <v>5000</v>
      </c>
      <c r="AO137" s="53"/>
      <c r="AP137" s="53">
        <v>0</v>
      </c>
      <c r="AQ137" s="53"/>
      <c r="AR137" s="53">
        <v>0</v>
      </c>
      <c r="AS137" s="53"/>
      <c r="AT137" s="45">
        <f t="shared" si="24"/>
        <v>-372988</v>
      </c>
      <c r="AU137" s="45"/>
      <c r="AV137" s="53">
        <v>0</v>
      </c>
      <c r="AW137" s="53"/>
      <c r="AX137" s="53">
        <v>0</v>
      </c>
      <c r="AY137" s="53"/>
      <c r="AZ137" s="53">
        <f t="shared" si="25"/>
        <v>1170171</v>
      </c>
      <c r="BA137" s="51"/>
      <c r="BB137" s="35" t="s">
        <v>162</v>
      </c>
      <c r="BD137" s="35" t="s">
        <v>163</v>
      </c>
      <c r="BE137" s="53"/>
      <c r="BF137" s="53">
        <v>0</v>
      </c>
      <c r="BG137" s="53"/>
      <c r="BH137" s="53">
        <v>0</v>
      </c>
      <c r="BI137" s="53"/>
      <c r="BJ137" s="53">
        <v>0</v>
      </c>
      <c r="BK137" s="53"/>
      <c r="BL137" s="53">
        <v>165689</v>
      </c>
      <c r="BM137" s="53"/>
      <c r="BN137" s="53">
        <f t="shared" si="16"/>
        <v>165689</v>
      </c>
      <c r="BO137" s="54"/>
      <c r="BS137" s="55"/>
      <c r="BT137" s="55"/>
      <c r="BU137" s="84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  <c r="CQ137" s="55"/>
    </row>
    <row r="138" spans="1:95" s="142" customFormat="1" ht="12.75" hidden="1" customHeight="1">
      <c r="A138" s="142" t="s">
        <v>164</v>
      </c>
      <c r="B138" s="140"/>
      <c r="C138" s="142" t="s">
        <v>27</v>
      </c>
      <c r="D138" s="137"/>
      <c r="E138" s="156">
        <f t="shared" si="10"/>
        <v>0</v>
      </c>
      <c r="F138" s="156"/>
      <c r="G138" s="156">
        <v>0</v>
      </c>
      <c r="H138" s="156"/>
      <c r="I138" s="156">
        <v>0</v>
      </c>
      <c r="J138" s="156"/>
      <c r="K138" s="156">
        <f t="shared" si="11"/>
        <v>0</v>
      </c>
      <c r="L138" s="156"/>
      <c r="M138" s="156">
        <v>0</v>
      </c>
      <c r="N138" s="156"/>
      <c r="O138" s="156">
        <v>0</v>
      </c>
      <c r="P138" s="156"/>
      <c r="Q138" s="156">
        <v>0</v>
      </c>
      <c r="R138" s="156"/>
      <c r="S138" s="156">
        <v>0</v>
      </c>
      <c r="T138" s="156"/>
      <c r="U138" s="156">
        <v>0</v>
      </c>
      <c r="V138" s="156"/>
      <c r="W138" s="156">
        <f t="shared" si="12"/>
        <v>0</v>
      </c>
      <c r="X138" s="140"/>
      <c r="Y138" s="140"/>
      <c r="Z138" s="142" t="s">
        <v>164</v>
      </c>
      <c r="AA138" s="156"/>
      <c r="AB138" s="142" t="s">
        <v>27</v>
      </c>
      <c r="AC138" s="140"/>
      <c r="AD138" s="156">
        <v>0</v>
      </c>
      <c r="AE138" s="156"/>
      <c r="AF138" s="156">
        <v>0</v>
      </c>
      <c r="AG138" s="156"/>
      <c r="AH138" s="156">
        <v>0</v>
      </c>
      <c r="AI138" s="156"/>
      <c r="AJ138" s="143">
        <f t="shared" si="23"/>
        <v>0</v>
      </c>
      <c r="AK138" s="143"/>
      <c r="AL138" s="156">
        <v>0</v>
      </c>
      <c r="AM138" s="143"/>
      <c r="AN138" s="156">
        <v>0</v>
      </c>
      <c r="AO138" s="156"/>
      <c r="AP138" s="156">
        <v>0</v>
      </c>
      <c r="AQ138" s="156"/>
      <c r="AR138" s="156">
        <v>0</v>
      </c>
      <c r="AS138" s="156"/>
      <c r="AT138" s="143">
        <f t="shared" si="24"/>
        <v>0</v>
      </c>
      <c r="AU138" s="143"/>
      <c r="AV138" s="156">
        <v>0</v>
      </c>
      <c r="AW138" s="156"/>
      <c r="AX138" s="156">
        <v>0</v>
      </c>
      <c r="AY138" s="156"/>
      <c r="AZ138" s="156">
        <f t="shared" si="25"/>
        <v>0</v>
      </c>
      <c r="BA138" s="140"/>
      <c r="BB138" s="142" t="s">
        <v>164</v>
      </c>
      <c r="BD138" s="142" t="s">
        <v>27</v>
      </c>
      <c r="BE138" s="156"/>
      <c r="BF138" s="156">
        <v>0</v>
      </c>
      <c r="BG138" s="156"/>
      <c r="BH138" s="156">
        <v>0</v>
      </c>
      <c r="BI138" s="156"/>
      <c r="BJ138" s="156">
        <v>0</v>
      </c>
      <c r="BK138" s="156"/>
      <c r="BL138" s="156">
        <v>0</v>
      </c>
      <c r="BM138" s="156"/>
      <c r="BN138" s="156">
        <f t="shared" si="16"/>
        <v>0</v>
      </c>
      <c r="BO138" s="158"/>
      <c r="BS138" s="159"/>
      <c r="BT138" s="159"/>
      <c r="BU138" s="160"/>
      <c r="BV138" s="159"/>
      <c r="BW138" s="159"/>
      <c r="BX138" s="159"/>
      <c r="BY138" s="159"/>
      <c r="BZ138" s="159"/>
      <c r="CA138" s="159"/>
      <c r="CB138" s="159"/>
      <c r="CC138" s="159"/>
      <c r="CD138" s="159"/>
      <c r="CE138" s="159"/>
      <c r="CF138" s="159"/>
      <c r="CG138" s="159"/>
      <c r="CH138" s="159"/>
      <c r="CI138" s="159"/>
      <c r="CJ138" s="159"/>
      <c r="CK138" s="159"/>
      <c r="CL138" s="159"/>
      <c r="CM138" s="159"/>
      <c r="CN138" s="159"/>
      <c r="CO138" s="159"/>
      <c r="CP138" s="159"/>
      <c r="CQ138" s="159"/>
    </row>
    <row r="139" spans="1:95" s="35" customFormat="1" ht="12.75" customHeight="1">
      <c r="A139" s="35" t="s">
        <v>53</v>
      </c>
      <c r="B139" s="51"/>
      <c r="C139" s="35" t="s">
        <v>53</v>
      </c>
      <c r="D139" s="44"/>
      <c r="E139" s="53">
        <f t="shared" si="10"/>
        <v>6289545</v>
      </c>
      <c r="F139" s="53"/>
      <c r="G139" s="53">
        <v>25272139</v>
      </c>
      <c r="H139" s="53"/>
      <c r="I139" s="53">
        <v>31561684</v>
      </c>
      <c r="J139" s="53"/>
      <c r="K139" s="53">
        <f t="shared" si="11"/>
        <v>962251</v>
      </c>
      <c r="L139" s="53"/>
      <c r="M139" s="53">
        <v>13696831</v>
      </c>
      <c r="N139" s="53"/>
      <c r="O139" s="53">
        <v>14659082</v>
      </c>
      <c r="P139" s="53"/>
      <c r="Q139" s="53">
        <v>3555194</v>
      </c>
      <c r="R139" s="53"/>
      <c r="S139" s="53">
        <v>0</v>
      </c>
      <c r="T139" s="53"/>
      <c r="U139" s="53">
        <v>13347408</v>
      </c>
      <c r="V139" s="53"/>
      <c r="W139" s="53">
        <f t="shared" si="12"/>
        <v>16902602</v>
      </c>
      <c r="X139" s="51"/>
      <c r="Y139" s="51"/>
      <c r="Z139" s="35" t="s">
        <v>53</v>
      </c>
      <c r="AA139" s="53"/>
      <c r="AB139" s="35" t="s">
        <v>53</v>
      </c>
      <c r="AC139" s="51"/>
      <c r="AD139" s="53">
        <v>4113753</v>
      </c>
      <c r="AE139" s="53"/>
      <c r="AF139" s="53">
        <v>3068768</v>
      </c>
      <c r="AG139" s="53"/>
      <c r="AH139" s="53">
        <v>1258131</v>
      </c>
      <c r="AI139" s="53"/>
      <c r="AJ139" s="45">
        <f t="shared" ref="AJ139:AJ170" si="26">+AD139-AF139-AH139</f>
        <v>-213146</v>
      </c>
      <c r="AK139" s="45"/>
      <c r="AL139" s="53">
        <v>-428239</v>
      </c>
      <c r="AM139" s="45"/>
      <c r="AN139" s="53">
        <v>0</v>
      </c>
      <c r="AO139" s="53"/>
      <c r="AP139" s="53">
        <v>0</v>
      </c>
      <c r="AQ139" s="53"/>
      <c r="AR139" s="53">
        <v>0</v>
      </c>
      <c r="AS139" s="53"/>
      <c r="AT139" s="45">
        <f t="shared" si="24"/>
        <v>-641385</v>
      </c>
      <c r="AU139" s="45"/>
      <c r="AV139" s="53">
        <v>0</v>
      </c>
      <c r="AW139" s="53"/>
      <c r="AX139" s="53">
        <v>0</v>
      </c>
      <c r="AY139" s="53"/>
      <c r="AZ139" s="53">
        <f t="shared" si="25"/>
        <v>5327294</v>
      </c>
      <c r="BA139" s="51"/>
      <c r="BB139" s="35" t="s">
        <v>53</v>
      </c>
      <c r="BD139" s="35" t="s">
        <v>53</v>
      </c>
      <c r="BE139" s="53"/>
      <c r="BF139" s="53">
        <v>11250000</v>
      </c>
      <c r="BG139" s="53"/>
      <c r="BH139" s="53">
        <v>13961</v>
      </c>
      <c r="BI139" s="53"/>
      <c r="BJ139" s="53">
        <v>1249682</v>
      </c>
      <c r="BK139" s="53"/>
      <c r="BL139" s="53">
        <v>1183188</v>
      </c>
      <c r="BM139" s="53"/>
      <c r="BN139" s="53">
        <f t="shared" si="16"/>
        <v>13696831</v>
      </c>
      <c r="BO139" s="54"/>
      <c r="BS139" s="55"/>
      <c r="BT139" s="55"/>
      <c r="BU139" s="84"/>
      <c r="BV139" s="55"/>
      <c r="BW139" s="55"/>
      <c r="BX139" s="55"/>
      <c r="BY139" s="55"/>
      <c r="BZ139" s="55"/>
      <c r="CA139" s="55"/>
      <c r="CB139" s="55"/>
      <c r="CC139" s="55"/>
      <c r="CD139" s="55"/>
      <c r="CE139" s="55"/>
      <c r="CF139" s="55"/>
      <c r="CG139" s="55"/>
      <c r="CH139" s="55"/>
      <c r="CI139" s="55"/>
      <c r="CJ139" s="55"/>
      <c r="CK139" s="55"/>
      <c r="CL139" s="55"/>
      <c r="CM139" s="55"/>
      <c r="CN139" s="55"/>
      <c r="CO139" s="55"/>
      <c r="CP139" s="55"/>
      <c r="CQ139" s="55"/>
    </row>
    <row r="140" spans="1:95" s="142" customFormat="1" ht="12.75" hidden="1" customHeight="1">
      <c r="A140" s="142" t="s">
        <v>165</v>
      </c>
      <c r="B140" s="140"/>
      <c r="C140" s="142" t="s">
        <v>92</v>
      </c>
      <c r="D140" s="137"/>
      <c r="E140" s="156">
        <f t="shared" si="10"/>
        <v>0</v>
      </c>
      <c r="F140" s="156"/>
      <c r="G140" s="156">
        <v>0</v>
      </c>
      <c r="H140" s="156"/>
      <c r="I140" s="156">
        <v>0</v>
      </c>
      <c r="J140" s="156"/>
      <c r="K140" s="156">
        <f t="shared" si="11"/>
        <v>0</v>
      </c>
      <c r="L140" s="156"/>
      <c r="M140" s="156">
        <v>0</v>
      </c>
      <c r="N140" s="156"/>
      <c r="O140" s="156">
        <v>0</v>
      </c>
      <c r="P140" s="156"/>
      <c r="Q140" s="156">
        <v>0</v>
      </c>
      <c r="R140" s="156"/>
      <c r="S140" s="156">
        <v>0</v>
      </c>
      <c r="T140" s="156"/>
      <c r="U140" s="156">
        <v>0</v>
      </c>
      <c r="V140" s="156"/>
      <c r="W140" s="156">
        <f t="shared" si="12"/>
        <v>0</v>
      </c>
      <c r="X140" s="140"/>
      <c r="Y140" s="140"/>
      <c r="Z140" s="142" t="s">
        <v>165</v>
      </c>
      <c r="AA140" s="156"/>
      <c r="AB140" s="142" t="s">
        <v>92</v>
      </c>
      <c r="AC140" s="140"/>
      <c r="AD140" s="156">
        <v>0</v>
      </c>
      <c r="AE140" s="156"/>
      <c r="AF140" s="156">
        <v>0</v>
      </c>
      <c r="AG140" s="156"/>
      <c r="AH140" s="156">
        <v>0</v>
      </c>
      <c r="AI140" s="156"/>
      <c r="AJ140" s="143">
        <f t="shared" si="26"/>
        <v>0</v>
      </c>
      <c r="AK140" s="143"/>
      <c r="AL140" s="156">
        <v>0</v>
      </c>
      <c r="AM140" s="143"/>
      <c r="AN140" s="156">
        <v>0</v>
      </c>
      <c r="AO140" s="156"/>
      <c r="AP140" s="156">
        <v>0</v>
      </c>
      <c r="AQ140" s="156"/>
      <c r="AR140" s="156">
        <v>0</v>
      </c>
      <c r="AS140" s="156"/>
      <c r="AT140" s="143">
        <f t="shared" si="24"/>
        <v>0</v>
      </c>
      <c r="AU140" s="143"/>
      <c r="AV140" s="156">
        <v>0</v>
      </c>
      <c r="AW140" s="156"/>
      <c r="AX140" s="156">
        <v>0</v>
      </c>
      <c r="AY140" s="156"/>
      <c r="AZ140" s="156">
        <f t="shared" si="25"/>
        <v>0</v>
      </c>
      <c r="BA140" s="140"/>
      <c r="BB140" s="142" t="s">
        <v>165</v>
      </c>
      <c r="BD140" s="142" t="s">
        <v>92</v>
      </c>
      <c r="BE140" s="156"/>
      <c r="BF140" s="156">
        <v>0</v>
      </c>
      <c r="BG140" s="156"/>
      <c r="BH140" s="156">
        <v>0</v>
      </c>
      <c r="BI140" s="156"/>
      <c r="BJ140" s="156">
        <v>0</v>
      </c>
      <c r="BK140" s="156"/>
      <c r="BL140" s="156">
        <v>0</v>
      </c>
      <c r="BM140" s="156"/>
      <c r="BN140" s="156">
        <f t="shared" si="16"/>
        <v>0</v>
      </c>
      <c r="BO140" s="158"/>
      <c r="BS140" s="159"/>
      <c r="BT140" s="159"/>
      <c r="BU140" s="160"/>
      <c r="BV140" s="159"/>
      <c r="BW140" s="159"/>
      <c r="BX140" s="159"/>
      <c r="BY140" s="159"/>
      <c r="BZ140" s="159"/>
      <c r="CA140" s="159"/>
      <c r="CB140" s="159"/>
      <c r="CC140" s="159"/>
      <c r="CD140" s="159"/>
      <c r="CE140" s="159"/>
      <c r="CF140" s="159"/>
      <c r="CG140" s="159"/>
      <c r="CH140" s="159"/>
      <c r="CI140" s="159"/>
      <c r="CJ140" s="159"/>
      <c r="CK140" s="159"/>
      <c r="CL140" s="159"/>
      <c r="CM140" s="159"/>
      <c r="CN140" s="159"/>
      <c r="CO140" s="159"/>
      <c r="CP140" s="159"/>
      <c r="CQ140" s="159"/>
    </row>
    <row r="141" spans="1:95" s="142" customFormat="1" ht="12.75" hidden="1" customHeight="1">
      <c r="A141" s="142" t="s">
        <v>166</v>
      </c>
      <c r="B141" s="140"/>
      <c r="C141" s="142" t="s">
        <v>92</v>
      </c>
      <c r="D141" s="137"/>
      <c r="E141" s="156">
        <f t="shared" si="10"/>
        <v>0</v>
      </c>
      <c r="F141" s="156"/>
      <c r="G141" s="156">
        <v>0</v>
      </c>
      <c r="H141" s="156"/>
      <c r="I141" s="156">
        <v>0</v>
      </c>
      <c r="J141" s="156"/>
      <c r="K141" s="156">
        <f t="shared" si="11"/>
        <v>0</v>
      </c>
      <c r="L141" s="156"/>
      <c r="M141" s="156">
        <v>0</v>
      </c>
      <c r="N141" s="156"/>
      <c r="O141" s="156">
        <v>0</v>
      </c>
      <c r="P141" s="156"/>
      <c r="Q141" s="156">
        <v>0</v>
      </c>
      <c r="R141" s="156"/>
      <c r="S141" s="156">
        <v>0</v>
      </c>
      <c r="T141" s="156"/>
      <c r="U141" s="156">
        <v>0</v>
      </c>
      <c r="V141" s="156"/>
      <c r="W141" s="156">
        <f t="shared" si="12"/>
        <v>0</v>
      </c>
      <c r="X141" s="140"/>
      <c r="Y141" s="140"/>
      <c r="Z141" s="142" t="s">
        <v>166</v>
      </c>
      <c r="AA141" s="156"/>
      <c r="AB141" s="142" t="s">
        <v>92</v>
      </c>
      <c r="AC141" s="140"/>
      <c r="AD141" s="156">
        <v>0</v>
      </c>
      <c r="AE141" s="156"/>
      <c r="AF141" s="156">
        <v>0</v>
      </c>
      <c r="AG141" s="156"/>
      <c r="AH141" s="156">
        <v>0</v>
      </c>
      <c r="AI141" s="156"/>
      <c r="AJ141" s="143">
        <f t="shared" si="26"/>
        <v>0</v>
      </c>
      <c r="AK141" s="143"/>
      <c r="AL141" s="156">
        <v>0</v>
      </c>
      <c r="AM141" s="143"/>
      <c r="AN141" s="156">
        <v>0</v>
      </c>
      <c r="AO141" s="156"/>
      <c r="AP141" s="156">
        <v>0</v>
      </c>
      <c r="AQ141" s="156"/>
      <c r="AR141" s="156">
        <v>0</v>
      </c>
      <c r="AS141" s="156"/>
      <c r="AT141" s="143">
        <f t="shared" si="24"/>
        <v>0</v>
      </c>
      <c r="AU141" s="143"/>
      <c r="AV141" s="156">
        <v>0</v>
      </c>
      <c r="AW141" s="156"/>
      <c r="AX141" s="156">
        <v>0</v>
      </c>
      <c r="AY141" s="156"/>
      <c r="AZ141" s="156">
        <f t="shared" si="25"/>
        <v>0</v>
      </c>
      <c r="BA141" s="140"/>
      <c r="BB141" s="142" t="s">
        <v>166</v>
      </c>
      <c r="BD141" s="142" t="s">
        <v>92</v>
      </c>
      <c r="BE141" s="156"/>
      <c r="BF141" s="156">
        <v>0</v>
      </c>
      <c r="BG141" s="156"/>
      <c r="BH141" s="156">
        <v>0</v>
      </c>
      <c r="BI141" s="156"/>
      <c r="BJ141" s="156">
        <v>0</v>
      </c>
      <c r="BK141" s="156"/>
      <c r="BL141" s="156">
        <v>0</v>
      </c>
      <c r="BM141" s="156"/>
      <c r="BN141" s="156">
        <f t="shared" si="16"/>
        <v>0</v>
      </c>
      <c r="BO141" s="158"/>
      <c r="BS141" s="159"/>
      <c r="BT141" s="159"/>
      <c r="BU141" s="160"/>
      <c r="BV141" s="159"/>
      <c r="BW141" s="159"/>
      <c r="BX141" s="159"/>
      <c r="BY141" s="159"/>
      <c r="BZ141" s="159"/>
      <c r="CA141" s="159"/>
      <c r="CB141" s="159"/>
      <c r="CC141" s="159"/>
      <c r="CD141" s="159"/>
      <c r="CE141" s="159"/>
      <c r="CF141" s="159"/>
      <c r="CG141" s="159"/>
      <c r="CH141" s="159"/>
      <c r="CI141" s="159"/>
      <c r="CJ141" s="159"/>
      <c r="CK141" s="159"/>
      <c r="CL141" s="159"/>
      <c r="CM141" s="159"/>
      <c r="CN141" s="159"/>
      <c r="CO141" s="159"/>
      <c r="CP141" s="159"/>
      <c r="CQ141" s="159"/>
    </row>
    <row r="142" spans="1:95" s="35" customFormat="1" ht="12.75" customHeight="1">
      <c r="A142" s="35" t="s">
        <v>167</v>
      </c>
      <c r="B142" s="51"/>
      <c r="C142" s="35" t="s">
        <v>66</v>
      </c>
      <c r="D142" s="44"/>
      <c r="E142" s="53">
        <f t="shared" si="10"/>
        <v>2514604</v>
      </c>
      <c r="F142" s="53"/>
      <c r="G142" s="53">
        <v>13609250</v>
      </c>
      <c r="H142" s="53"/>
      <c r="I142" s="53">
        <v>16123854</v>
      </c>
      <c r="J142" s="53"/>
      <c r="K142" s="53">
        <f t="shared" si="11"/>
        <v>572692</v>
      </c>
      <c r="L142" s="53"/>
      <c r="M142" s="53">
        <v>2805293</v>
      </c>
      <c r="N142" s="53"/>
      <c r="O142" s="53">
        <v>3377985</v>
      </c>
      <c r="P142" s="53"/>
      <c r="Q142" s="53">
        <v>10394610</v>
      </c>
      <c r="R142" s="53"/>
      <c r="S142" s="53">
        <v>420597</v>
      </c>
      <c r="T142" s="53"/>
      <c r="U142" s="53">
        <v>1930662</v>
      </c>
      <c r="V142" s="53"/>
      <c r="W142" s="53">
        <f t="shared" si="12"/>
        <v>12745869</v>
      </c>
      <c r="Z142" s="35" t="s">
        <v>167</v>
      </c>
      <c r="AA142" s="53"/>
      <c r="AB142" s="35" t="s">
        <v>66</v>
      </c>
      <c r="AC142" s="51"/>
      <c r="AD142" s="53">
        <v>1853530</v>
      </c>
      <c r="AE142" s="53"/>
      <c r="AF142" s="53">
        <f>2478729-445917</f>
        <v>2032812</v>
      </c>
      <c r="AG142" s="53"/>
      <c r="AH142" s="53">
        <v>445917</v>
      </c>
      <c r="AI142" s="53"/>
      <c r="AJ142" s="45">
        <f t="shared" si="26"/>
        <v>-625199</v>
      </c>
      <c r="AK142" s="45"/>
      <c r="AL142" s="53">
        <v>409485</v>
      </c>
      <c r="AM142" s="45"/>
      <c r="AN142" s="53">
        <v>0</v>
      </c>
      <c r="AO142" s="53"/>
      <c r="AP142" s="53">
        <v>0</v>
      </c>
      <c r="AQ142" s="53"/>
      <c r="AR142" s="53">
        <v>298919</v>
      </c>
      <c r="AS142" s="53"/>
      <c r="AT142" s="45">
        <f t="shared" si="24"/>
        <v>83205</v>
      </c>
      <c r="AU142" s="45"/>
      <c r="AV142" s="53">
        <v>0</v>
      </c>
      <c r="AW142" s="53"/>
      <c r="AX142" s="53">
        <v>0</v>
      </c>
      <c r="AY142" s="53"/>
      <c r="AZ142" s="53">
        <f t="shared" si="25"/>
        <v>1941912</v>
      </c>
      <c r="BA142" s="51"/>
      <c r="BB142" s="35" t="s">
        <v>167</v>
      </c>
      <c r="BD142" s="35" t="s">
        <v>66</v>
      </c>
      <c r="BE142" s="53"/>
      <c r="BF142" s="53">
        <v>13951137</v>
      </c>
      <c r="BG142" s="53"/>
      <c r="BH142" s="53">
        <v>0</v>
      </c>
      <c r="BI142" s="53"/>
      <c r="BJ142" s="53">
        <v>121217</v>
      </c>
      <c r="BK142" s="53"/>
      <c r="BL142" s="53">
        <v>91262</v>
      </c>
      <c r="BM142" s="53"/>
      <c r="BN142" s="53">
        <f t="shared" si="16"/>
        <v>14163616</v>
      </c>
      <c r="BO142" s="54"/>
      <c r="BS142" s="55"/>
      <c r="BT142" s="55"/>
      <c r="BU142" s="84"/>
      <c r="BV142" s="55"/>
      <c r="BW142" s="55"/>
      <c r="BX142" s="55"/>
      <c r="BY142" s="55"/>
      <c r="BZ142" s="55"/>
      <c r="CA142" s="55"/>
      <c r="CB142" s="55"/>
      <c r="CC142" s="55"/>
      <c r="CD142" s="55"/>
      <c r="CE142" s="55"/>
      <c r="CF142" s="55"/>
      <c r="CG142" s="55"/>
      <c r="CH142" s="55"/>
      <c r="CI142" s="55"/>
      <c r="CJ142" s="55"/>
      <c r="CK142" s="55"/>
      <c r="CL142" s="55"/>
      <c r="CM142" s="55"/>
      <c r="CN142" s="55"/>
      <c r="CO142" s="55"/>
      <c r="CP142" s="55"/>
      <c r="CQ142" s="55"/>
    </row>
    <row r="143" spans="1:95" s="142" customFormat="1" ht="12.75" hidden="1" customHeight="1">
      <c r="A143" s="137" t="s">
        <v>168</v>
      </c>
      <c r="B143" s="140"/>
      <c r="C143" s="137" t="s">
        <v>27</v>
      </c>
      <c r="D143" s="137"/>
      <c r="E143" s="156">
        <f t="shared" si="10"/>
        <v>0</v>
      </c>
      <c r="F143" s="156"/>
      <c r="G143" s="156">
        <v>0</v>
      </c>
      <c r="H143" s="156"/>
      <c r="I143" s="156">
        <v>0</v>
      </c>
      <c r="J143" s="156"/>
      <c r="K143" s="156">
        <f t="shared" si="11"/>
        <v>0</v>
      </c>
      <c r="L143" s="156"/>
      <c r="M143" s="156">
        <v>0</v>
      </c>
      <c r="N143" s="156"/>
      <c r="O143" s="156">
        <v>0</v>
      </c>
      <c r="P143" s="156"/>
      <c r="Q143" s="156">
        <v>0</v>
      </c>
      <c r="R143" s="156"/>
      <c r="S143" s="156">
        <v>0</v>
      </c>
      <c r="T143" s="156"/>
      <c r="U143" s="156">
        <v>0</v>
      </c>
      <c r="V143" s="156"/>
      <c r="W143" s="156">
        <f t="shared" si="12"/>
        <v>0</v>
      </c>
      <c r="X143" s="140"/>
      <c r="Y143" s="140"/>
      <c r="Z143" s="137" t="s">
        <v>168</v>
      </c>
      <c r="AA143" s="156"/>
      <c r="AB143" s="137" t="s">
        <v>27</v>
      </c>
      <c r="AC143" s="140"/>
      <c r="AD143" s="156">
        <v>0</v>
      </c>
      <c r="AE143" s="156"/>
      <c r="AF143" s="156">
        <v>0</v>
      </c>
      <c r="AG143" s="156"/>
      <c r="AH143" s="156">
        <v>0</v>
      </c>
      <c r="AI143" s="156"/>
      <c r="AJ143" s="143">
        <f t="shared" si="26"/>
        <v>0</v>
      </c>
      <c r="AK143" s="143"/>
      <c r="AL143" s="156">
        <v>0</v>
      </c>
      <c r="AM143" s="143"/>
      <c r="AN143" s="156">
        <v>0</v>
      </c>
      <c r="AO143" s="156"/>
      <c r="AP143" s="156">
        <v>0</v>
      </c>
      <c r="AQ143" s="156"/>
      <c r="AR143" s="156">
        <v>0</v>
      </c>
      <c r="AS143" s="156"/>
      <c r="AT143" s="143">
        <f t="shared" si="24"/>
        <v>0</v>
      </c>
      <c r="AU143" s="143"/>
      <c r="AV143" s="156">
        <v>0</v>
      </c>
      <c r="AW143" s="156"/>
      <c r="AX143" s="156">
        <v>0</v>
      </c>
      <c r="AY143" s="156"/>
      <c r="AZ143" s="156">
        <f t="shared" si="25"/>
        <v>0</v>
      </c>
      <c r="BA143" s="140"/>
      <c r="BB143" s="137" t="s">
        <v>168</v>
      </c>
      <c r="BD143" s="137" t="s">
        <v>27</v>
      </c>
      <c r="BE143" s="156"/>
      <c r="BF143" s="156">
        <v>0</v>
      </c>
      <c r="BG143" s="156"/>
      <c r="BH143" s="156">
        <v>0</v>
      </c>
      <c r="BI143" s="156"/>
      <c r="BJ143" s="156">
        <v>0</v>
      </c>
      <c r="BK143" s="156"/>
      <c r="BL143" s="156">
        <v>0</v>
      </c>
      <c r="BM143" s="156"/>
      <c r="BN143" s="156">
        <f t="shared" si="16"/>
        <v>0</v>
      </c>
      <c r="BO143" s="158"/>
      <c r="BS143" s="159"/>
      <c r="BT143" s="159"/>
      <c r="BU143" s="160"/>
      <c r="BV143" s="159"/>
      <c r="BW143" s="159"/>
      <c r="BX143" s="159"/>
      <c r="BY143" s="159"/>
      <c r="BZ143" s="159"/>
      <c r="CA143" s="159"/>
      <c r="CB143" s="159"/>
      <c r="CC143" s="159"/>
      <c r="CD143" s="159"/>
      <c r="CE143" s="159"/>
      <c r="CF143" s="159"/>
      <c r="CG143" s="159"/>
      <c r="CH143" s="159"/>
      <c r="CI143" s="159"/>
      <c r="CJ143" s="159"/>
      <c r="CK143" s="159"/>
      <c r="CL143" s="159"/>
      <c r="CM143" s="159"/>
      <c r="CN143" s="159"/>
      <c r="CO143" s="159"/>
      <c r="CP143" s="159"/>
      <c r="CQ143" s="159"/>
    </row>
    <row r="144" spans="1:95" s="35" customFormat="1" ht="12.75" customHeight="1">
      <c r="A144" s="35" t="s">
        <v>169</v>
      </c>
      <c r="B144" s="51"/>
      <c r="C144" s="35" t="s">
        <v>103</v>
      </c>
      <c r="D144" s="44"/>
      <c r="E144" s="53">
        <f t="shared" si="10"/>
        <v>7785134</v>
      </c>
      <c r="F144" s="53"/>
      <c r="G144" s="53">
        <v>22678414</v>
      </c>
      <c r="H144" s="53"/>
      <c r="I144" s="53">
        <v>30463548</v>
      </c>
      <c r="J144" s="53"/>
      <c r="K144" s="53">
        <f t="shared" si="11"/>
        <v>-54179204</v>
      </c>
      <c r="L144" s="53"/>
      <c r="M144" s="53">
        <v>62593975</v>
      </c>
      <c r="N144" s="53"/>
      <c r="O144" s="53">
        <v>8414771</v>
      </c>
      <c r="P144" s="53"/>
      <c r="Q144" s="53">
        <v>15852532</v>
      </c>
      <c r="R144" s="53"/>
      <c r="S144" s="53">
        <v>775124</v>
      </c>
      <c r="T144" s="53"/>
      <c r="U144" s="53">
        <v>5421121</v>
      </c>
      <c r="V144" s="53"/>
      <c r="W144" s="53">
        <f t="shared" si="12"/>
        <v>22048777</v>
      </c>
      <c r="Z144" s="35" t="s">
        <v>169</v>
      </c>
      <c r="AA144" s="53"/>
      <c r="AB144" s="35" t="s">
        <v>103</v>
      </c>
      <c r="AC144" s="51"/>
      <c r="AD144" s="53">
        <v>6597929</v>
      </c>
      <c r="AE144" s="53"/>
      <c r="AF144" s="53">
        <v>6145868</v>
      </c>
      <c r="AG144" s="53"/>
      <c r="AH144" s="53">
        <v>1131071</v>
      </c>
      <c r="AI144" s="53"/>
      <c r="AJ144" s="45">
        <f t="shared" si="26"/>
        <v>-679010</v>
      </c>
      <c r="AK144" s="45"/>
      <c r="AL144" s="53">
        <v>103521</v>
      </c>
      <c r="AM144" s="45"/>
      <c r="AN144" s="53">
        <v>0</v>
      </c>
      <c r="AO144" s="53"/>
      <c r="AP144" s="53">
        <v>0</v>
      </c>
      <c r="AQ144" s="53"/>
      <c r="AR144" s="53">
        <v>0</v>
      </c>
      <c r="AS144" s="53"/>
      <c r="AT144" s="45">
        <f t="shared" si="24"/>
        <v>-575489</v>
      </c>
      <c r="AU144" s="45"/>
      <c r="AV144" s="53">
        <v>0</v>
      </c>
      <c r="AW144" s="53"/>
      <c r="AX144" s="53">
        <v>0</v>
      </c>
      <c r="AY144" s="53"/>
      <c r="AZ144" s="53">
        <f t="shared" si="25"/>
        <v>61964338</v>
      </c>
      <c r="BA144" s="51"/>
      <c r="BB144" s="35" t="s">
        <v>169</v>
      </c>
      <c r="BD144" s="35" t="s">
        <v>103</v>
      </c>
      <c r="BE144" s="53"/>
      <c r="BF144" s="53">
        <v>2800000</v>
      </c>
      <c r="BG144" s="53"/>
      <c r="BH144" s="53">
        <v>0</v>
      </c>
      <c r="BI144" s="53"/>
      <c r="BJ144" s="53">
        <v>0</v>
      </c>
      <c r="BK144" s="53"/>
      <c r="BL144" s="53">
        <v>3493975</v>
      </c>
      <c r="BM144" s="53"/>
      <c r="BN144" s="53">
        <f t="shared" si="16"/>
        <v>6293975</v>
      </c>
      <c r="BO144" s="54"/>
      <c r="BS144" s="55"/>
      <c r="BT144" s="55"/>
      <c r="BU144" s="84"/>
      <c r="BV144" s="55"/>
      <c r="BW144" s="55"/>
      <c r="BX144" s="55"/>
      <c r="BY144" s="55"/>
      <c r="BZ144" s="55"/>
      <c r="CA144" s="55"/>
      <c r="CB144" s="55"/>
      <c r="CC144" s="55"/>
      <c r="CD144" s="55"/>
      <c r="CE144" s="55"/>
      <c r="CF144" s="55"/>
      <c r="CG144" s="55"/>
      <c r="CH144" s="55"/>
      <c r="CI144" s="55"/>
      <c r="CJ144" s="55"/>
      <c r="CK144" s="55"/>
      <c r="CL144" s="55"/>
      <c r="CM144" s="55"/>
      <c r="CN144" s="55"/>
      <c r="CO144" s="55"/>
      <c r="CP144" s="55"/>
      <c r="CQ144" s="55"/>
    </row>
    <row r="145" spans="1:95" s="35" customFormat="1" ht="12.75" customHeight="1">
      <c r="A145" s="35" t="s">
        <v>170</v>
      </c>
      <c r="B145" s="51"/>
      <c r="C145" s="35" t="s">
        <v>171</v>
      </c>
      <c r="D145" s="44"/>
      <c r="E145" s="53">
        <f t="shared" si="10"/>
        <v>2322100</v>
      </c>
      <c r="F145" s="53"/>
      <c r="G145" s="53">
        <v>3108482</v>
      </c>
      <c r="H145" s="53"/>
      <c r="I145" s="53">
        <v>5430582</v>
      </c>
      <c r="J145" s="53"/>
      <c r="K145" s="53">
        <f t="shared" si="11"/>
        <v>62064</v>
      </c>
      <c r="L145" s="53"/>
      <c r="M145" s="53">
        <v>52915</v>
      </c>
      <c r="N145" s="53"/>
      <c r="O145" s="53">
        <v>114979</v>
      </c>
      <c r="P145" s="53"/>
      <c r="Q145" s="53">
        <v>3067096</v>
      </c>
      <c r="R145" s="53"/>
      <c r="S145" s="53">
        <v>0</v>
      </c>
      <c r="T145" s="53"/>
      <c r="U145" s="53">
        <v>2248507</v>
      </c>
      <c r="V145" s="53"/>
      <c r="W145" s="53">
        <f t="shared" si="12"/>
        <v>5315603</v>
      </c>
      <c r="Z145" s="35" t="s">
        <v>170</v>
      </c>
      <c r="AA145" s="53"/>
      <c r="AB145" s="35" t="s">
        <v>171</v>
      </c>
      <c r="AC145" s="51"/>
      <c r="AD145" s="53">
        <v>983040</v>
      </c>
      <c r="AE145" s="53"/>
      <c r="AF145" s="53">
        <v>952811</v>
      </c>
      <c r="AG145" s="53"/>
      <c r="AH145" s="53">
        <v>210166</v>
      </c>
      <c r="AI145" s="53"/>
      <c r="AJ145" s="45">
        <f t="shared" si="26"/>
        <v>-179937</v>
      </c>
      <c r="AK145" s="45"/>
      <c r="AL145" s="53">
        <v>140668</v>
      </c>
      <c r="AM145" s="45"/>
      <c r="AN145" s="53">
        <v>0</v>
      </c>
      <c r="AO145" s="53"/>
      <c r="AP145" s="53">
        <v>0</v>
      </c>
      <c r="AQ145" s="53"/>
      <c r="AR145" s="53">
        <v>0</v>
      </c>
      <c r="AS145" s="53"/>
      <c r="AT145" s="45">
        <f t="shared" si="24"/>
        <v>-39269</v>
      </c>
      <c r="AU145" s="45"/>
      <c r="AV145" s="53">
        <v>0</v>
      </c>
      <c r="AW145" s="53"/>
      <c r="AX145" s="53">
        <v>0</v>
      </c>
      <c r="AY145" s="53"/>
      <c r="AZ145" s="53">
        <f t="shared" si="25"/>
        <v>2260036</v>
      </c>
      <c r="BA145" s="51"/>
      <c r="BB145" s="35" t="s">
        <v>170</v>
      </c>
      <c r="BD145" s="35" t="s">
        <v>171</v>
      </c>
      <c r="BE145" s="53"/>
      <c r="BF145" s="53">
        <v>0</v>
      </c>
      <c r="BG145" s="53"/>
      <c r="BH145" s="53">
        <v>0</v>
      </c>
      <c r="BI145" s="53"/>
      <c r="BJ145" s="53">
        <v>37936</v>
      </c>
      <c r="BK145" s="53"/>
      <c r="BL145" s="53">
        <v>14979</v>
      </c>
      <c r="BM145" s="53"/>
      <c r="BN145" s="53">
        <f t="shared" si="16"/>
        <v>52915</v>
      </c>
      <c r="BO145" s="54"/>
      <c r="BS145" s="55"/>
      <c r="BT145" s="55"/>
      <c r="BU145" s="84"/>
      <c r="BV145" s="55"/>
      <c r="BW145" s="55"/>
      <c r="BX145" s="55"/>
      <c r="BY145" s="55"/>
      <c r="BZ145" s="55"/>
      <c r="CA145" s="55"/>
      <c r="CB145" s="55"/>
      <c r="CC145" s="55"/>
      <c r="CD145" s="55"/>
      <c r="CE145" s="55"/>
      <c r="CF145" s="55"/>
      <c r="CG145" s="55"/>
      <c r="CH145" s="55"/>
      <c r="CI145" s="55"/>
      <c r="CJ145" s="55"/>
      <c r="CK145" s="55"/>
      <c r="CL145" s="55"/>
      <c r="CM145" s="55"/>
      <c r="CN145" s="55"/>
      <c r="CO145" s="55"/>
      <c r="CP145" s="55"/>
      <c r="CQ145" s="55"/>
    </row>
    <row r="146" spans="1:95" s="35" customFormat="1" ht="12.75" customHeight="1">
      <c r="A146" s="35" t="s">
        <v>172</v>
      </c>
      <c r="B146" s="51"/>
      <c r="C146" s="35" t="s">
        <v>103</v>
      </c>
      <c r="D146" s="44"/>
      <c r="E146" s="53">
        <f t="shared" si="10"/>
        <v>3391434</v>
      </c>
      <c r="F146" s="53"/>
      <c r="G146" s="53">
        <v>4970854</v>
      </c>
      <c r="H146" s="53"/>
      <c r="I146" s="53">
        <v>8362288</v>
      </c>
      <c r="J146" s="53"/>
      <c r="K146" s="53">
        <f t="shared" si="11"/>
        <v>3564963</v>
      </c>
      <c r="L146" s="53"/>
      <c r="M146" s="53">
        <v>507567</v>
      </c>
      <c r="N146" s="53"/>
      <c r="O146" s="53">
        <v>4072530</v>
      </c>
      <c r="P146" s="53"/>
      <c r="Q146" s="53">
        <v>1268595</v>
      </c>
      <c r="R146" s="53"/>
      <c r="S146" s="53">
        <v>0</v>
      </c>
      <c r="T146" s="53"/>
      <c r="U146" s="53">
        <v>3021163</v>
      </c>
      <c r="V146" s="53"/>
      <c r="W146" s="53">
        <f t="shared" si="12"/>
        <v>4289758</v>
      </c>
      <c r="X146" s="51"/>
      <c r="Y146" s="51"/>
      <c r="Z146" s="35" t="s">
        <v>172</v>
      </c>
      <c r="AA146" s="53"/>
      <c r="AB146" s="35" t="s">
        <v>103</v>
      </c>
      <c r="AC146" s="51"/>
      <c r="AD146" s="53">
        <v>2214942</v>
      </c>
      <c r="AE146" s="53"/>
      <c r="AF146" s="53">
        <v>2012735</v>
      </c>
      <c r="AG146" s="53"/>
      <c r="AH146" s="53">
        <v>226799</v>
      </c>
      <c r="AI146" s="53"/>
      <c r="AJ146" s="45">
        <f t="shared" si="26"/>
        <v>-24592</v>
      </c>
      <c r="AK146" s="45"/>
      <c r="AL146" s="53">
        <v>-187446</v>
      </c>
      <c r="AM146" s="45"/>
      <c r="AN146" s="53">
        <v>0</v>
      </c>
      <c r="AO146" s="53"/>
      <c r="AP146" s="53">
        <v>0</v>
      </c>
      <c r="AQ146" s="53"/>
      <c r="AR146" s="53">
        <v>0</v>
      </c>
      <c r="AS146" s="53"/>
      <c r="AT146" s="45">
        <f t="shared" si="24"/>
        <v>-212038</v>
      </c>
      <c r="AU146" s="45"/>
      <c r="AV146" s="53">
        <v>0</v>
      </c>
      <c r="AW146" s="53"/>
      <c r="AX146" s="53">
        <v>0</v>
      </c>
      <c r="AY146" s="53"/>
      <c r="AZ146" s="53">
        <f t="shared" si="25"/>
        <v>-173529</v>
      </c>
      <c r="BA146" s="51"/>
      <c r="BB146" s="35" t="s">
        <v>172</v>
      </c>
      <c r="BD146" s="35" t="s">
        <v>103</v>
      </c>
      <c r="BE146" s="53"/>
      <c r="BF146" s="53">
        <v>0</v>
      </c>
      <c r="BG146" s="53"/>
      <c r="BH146" s="53">
        <v>0</v>
      </c>
      <c r="BI146" s="53"/>
      <c r="BJ146" s="53">
        <v>494292</v>
      </c>
      <c r="BK146" s="53"/>
      <c r="BL146" s="53">
        <v>13275</v>
      </c>
      <c r="BM146" s="53"/>
      <c r="BN146" s="53">
        <f t="shared" si="16"/>
        <v>507567</v>
      </c>
      <c r="BO146" s="54"/>
      <c r="BS146" s="55"/>
      <c r="BT146" s="55"/>
      <c r="BU146" s="84"/>
      <c r="BV146" s="55"/>
      <c r="BW146" s="55"/>
      <c r="BX146" s="55"/>
      <c r="BY146" s="55"/>
      <c r="BZ146" s="55"/>
      <c r="CA146" s="55"/>
      <c r="CB146" s="55"/>
      <c r="CC146" s="55"/>
      <c r="CD146" s="55"/>
      <c r="CE146" s="55"/>
      <c r="CF146" s="55"/>
      <c r="CG146" s="55"/>
      <c r="CH146" s="55"/>
      <c r="CI146" s="55"/>
      <c r="CJ146" s="55"/>
      <c r="CK146" s="55"/>
      <c r="CL146" s="55"/>
      <c r="CM146" s="55"/>
      <c r="CN146" s="55"/>
      <c r="CO146" s="55"/>
      <c r="CP146" s="55"/>
      <c r="CQ146" s="55"/>
    </row>
    <row r="147" spans="1:95" s="142" customFormat="1" ht="12.75" hidden="1" customHeight="1">
      <c r="A147" s="142" t="s">
        <v>66</v>
      </c>
      <c r="B147" s="140"/>
      <c r="C147" s="142" t="s">
        <v>45</v>
      </c>
      <c r="D147" s="137"/>
      <c r="E147" s="156">
        <f t="shared" si="10"/>
        <v>0</v>
      </c>
      <c r="F147" s="156"/>
      <c r="G147" s="156">
        <v>0</v>
      </c>
      <c r="H147" s="156"/>
      <c r="I147" s="156">
        <v>0</v>
      </c>
      <c r="J147" s="156"/>
      <c r="K147" s="156">
        <f t="shared" si="11"/>
        <v>0</v>
      </c>
      <c r="L147" s="156"/>
      <c r="M147" s="156">
        <v>0</v>
      </c>
      <c r="N147" s="156"/>
      <c r="O147" s="156">
        <v>0</v>
      </c>
      <c r="P147" s="156"/>
      <c r="Q147" s="156">
        <v>0</v>
      </c>
      <c r="R147" s="156"/>
      <c r="S147" s="156">
        <v>0</v>
      </c>
      <c r="T147" s="156"/>
      <c r="U147" s="156">
        <v>0</v>
      </c>
      <c r="V147" s="156"/>
      <c r="W147" s="156">
        <f t="shared" si="12"/>
        <v>0</v>
      </c>
      <c r="X147" s="140"/>
      <c r="Y147" s="140"/>
      <c r="Z147" s="142" t="s">
        <v>66</v>
      </c>
      <c r="AA147" s="156"/>
      <c r="AB147" s="142" t="s">
        <v>45</v>
      </c>
      <c r="AC147" s="140"/>
      <c r="AD147" s="156">
        <v>0</v>
      </c>
      <c r="AE147" s="156"/>
      <c r="AF147" s="156">
        <v>0</v>
      </c>
      <c r="AG147" s="156"/>
      <c r="AH147" s="156">
        <v>0</v>
      </c>
      <c r="AI147" s="156"/>
      <c r="AJ147" s="143">
        <f t="shared" si="26"/>
        <v>0</v>
      </c>
      <c r="AK147" s="143"/>
      <c r="AL147" s="156">
        <v>0</v>
      </c>
      <c r="AM147" s="143"/>
      <c r="AN147" s="156">
        <v>0</v>
      </c>
      <c r="AO147" s="156"/>
      <c r="AP147" s="156">
        <v>0</v>
      </c>
      <c r="AQ147" s="156"/>
      <c r="AR147" s="156">
        <v>0</v>
      </c>
      <c r="AS147" s="156"/>
      <c r="AT147" s="143">
        <f t="shared" si="24"/>
        <v>0</v>
      </c>
      <c r="AU147" s="143"/>
      <c r="AV147" s="156">
        <v>0</v>
      </c>
      <c r="AW147" s="156"/>
      <c r="AX147" s="156">
        <v>0</v>
      </c>
      <c r="AY147" s="156"/>
      <c r="AZ147" s="156">
        <f t="shared" si="25"/>
        <v>0</v>
      </c>
      <c r="BA147" s="140"/>
      <c r="BB147" s="142" t="s">
        <v>66</v>
      </c>
      <c r="BD147" s="142" t="s">
        <v>45</v>
      </c>
      <c r="BE147" s="156"/>
      <c r="BF147" s="156">
        <v>0</v>
      </c>
      <c r="BG147" s="156"/>
      <c r="BH147" s="156">
        <v>0</v>
      </c>
      <c r="BI147" s="156"/>
      <c r="BJ147" s="156">
        <v>0</v>
      </c>
      <c r="BK147" s="156"/>
      <c r="BL147" s="156">
        <v>0</v>
      </c>
      <c r="BM147" s="156"/>
      <c r="BN147" s="156">
        <f t="shared" si="16"/>
        <v>0</v>
      </c>
      <c r="BO147" s="158"/>
      <c r="BS147" s="159"/>
      <c r="BT147" s="159"/>
      <c r="BU147" s="160"/>
      <c r="BV147" s="159"/>
      <c r="BW147" s="159"/>
      <c r="BX147" s="159"/>
      <c r="BY147" s="159"/>
      <c r="BZ147" s="159"/>
      <c r="CA147" s="159"/>
      <c r="CB147" s="159"/>
      <c r="CC147" s="159"/>
      <c r="CD147" s="159"/>
      <c r="CE147" s="159"/>
      <c r="CF147" s="159"/>
      <c r="CG147" s="159"/>
      <c r="CH147" s="159"/>
      <c r="CI147" s="159"/>
      <c r="CJ147" s="159"/>
      <c r="CK147" s="159"/>
      <c r="CL147" s="159"/>
      <c r="CM147" s="159"/>
      <c r="CN147" s="159"/>
      <c r="CO147" s="159"/>
      <c r="CP147" s="159"/>
      <c r="CQ147" s="159"/>
    </row>
    <row r="148" spans="1:95" s="142" customFormat="1" ht="12.75" hidden="1" customHeight="1">
      <c r="A148" s="142" t="s">
        <v>173</v>
      </c>
      <c r="B148" s="140"/>
      <c r="C148" s="142" t="s">
        <v>66</v>
      </c>
      <c r="D148" s="137"/>
      <c r="E148" s="156">
        <f t="shared" ref="E148:E213" si="27">I148-G148</f>
        <v>0</v>
      </c>
      <c r="F148" s="156"/>
      <c r="G148" s="156"/>
      <c r="H148" s="156"/>
      <c r="I148" s="156"/>
      <c r="J148" s="156"/>
      <c r="K148" s="156">
        <f t="shared" ref="K148:K213" si="28">O148-M148</f>
        <v>0</v>
      </c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  <c r="W148" s="156">
        <f t="shared" ref="W148:W213" si="29">SUM(Q148:U148)</f>
        <v>0</v>
      </c>
      <c r="X148" s="140"/>
      <c r="Y148" s="140"/>
      <c r="Z148" s="142" t="s">
        <v>173</v>
      </c>
      <c r="AA148" s="156"/>
      <c r="AB148" s="142" t="s">
        <v>66</v>
      </c>
      <c r="AC148" s="140"/>
      <c r="AD148" s="156"/>
      <c r="AE148" s="156"/>
      <c r="AF148" s="156"/>
      <c r="AG148" s="156"/>
      <c r="AH148" s="156"/>
      <c r="AI148" s="156"/>
      <c r="AJ148" s="143">
        <f t="shared" si="26"/>
        <v>0</v>
      </c>
      <c r="AK148" s="143"/>
      <c r="AL148" s="156"/>
      <c r="AM148" s="143"/>
      <c r="AN148" s="156"/>
      <c r="AO148" s="156"/>
      <c r="AP148" s="156"/>
      <c r="AQ148" s="156"/>
      <c r="AR148" s="156"/>
      <c r="AS148" s="156"/>
      <c r="AT148" s="143">
        <f t="shared" si="24"/>
        <v>0</v>
      </c>
      <c r="AU148" s="143"/>
      <c r="AV148" s="156">
        <v>0</v>
      </c>
      <c r="AW148" s="156"/>
      <c r="AX148" s="156">
        <v>0</v>
      </c>
      <c r="AY148" s="156"/>
      <c r="AZ148" s="156">
        <f t="shared" si="25"/>
        <v>0</v>
      </c>
      <c r="BA148" s="140"/>
      <c r="BB148" s="142" t="s">
        <v>173</v>
      </c>
      <c r="BD148" s="142" t="s">
        <v>66</v>
      </c>
      <c r="BE148" s="156"/>
      <c r="BF148" s="156"/>
      <c r="BG148" s="156"/>
      <c r="BH148" s="156"/>
      <c r="BI148" s="156"/>
      <c r="BJ148" s="156"/>
      <c r="BK148" s="156"/>
      <c r="BL148" s="156"/>
      <c r="BM148" s="156"/>
      <c r="BN148" s="156">
        <f t="shared" ref="BN148:BN213" si="30">SUM(BF148:BL148)</f>
        <v>0</v>
      </c>
      <c r="BO148" s="158"/>
      <c r="BS148" s="159"/>
      <c r="BT148" s="159"/>
      <c r="BU148" s="160"/>
      <c r="BV148" s="159"/>
      <c r="BW148" s="159"/>
      <c r="BX148" s="159"/>
      <c r="BY148" s="159"/>
      <c r="BZ148" s="159"/>
      <c r="CA148" s="159"/>
      <c r="CB148" s="159"/>
      <c r="CC148" s="159"/>
      <c r="CD148" s="159"/>
      <c r="CE148" s="159"/>
      <c r="CF148" s="159"/>
      <c r="CG148" s="159"/>
      <c r="CH148" s="159"/>
      <c r="CI148" s="159"/>
      <c r="CJ148" s="159"/>
      <c r="CK148" s="159"/>
      <c r="CL148" s="159"/>
      <c r="CM148" s="159"/>
      <c r="CN148" s="159"/>
      <c r="CO148" s="159"/>
      <c r="CP148" s="159"/>
      <c r="CQ148" s="159"/>
    </row>
    <row r="149" spans="1:95" s="142" customFormat="1" ht="12.75" hidden="1" customHeight="1">
      <c r="A149" s="142" t="s">
        <v>365</v>
      </c>
      <c r="B149" s="140"/>
      <c r="C149" s="142" t="s">
        <v>45</v>
      </c>
      <c r="D149" s="137"/>
      <c r="E149" s="156">
        <f t="shared" si="27"/>
        <v>0</v>
      </c>
      <c r="F149" s="156"/>
      <c r="G149" s="156">
        <v>0</v>
      </c>
      <c r="H149" s="156"/>
      <c r="I149" s="156">
        <v>0</v>
      </c>
      <c r="J149" s="156"/>
      <c r="K149" s="156">
        <f t="shared" si="28"/>
        <v>0</v>
      </c>
      <c r="L149" s="156"/>
      <c r="M149" s="156">
        <v>0</v>
      </c>
      <c r="N149" s="156"/>
      <c r="O149" s="156">
        <v>0</v>
      </c>
      <c r="P149" s="156"/>
      <c r="Q149" s="156">
        <v>0</v>
      </c>
      <c r="R149" s="156"/>
      <c r="S149" s="156">
        <v>0</v>
      </c>
      <c r="T149" s="156"/>
      <c r="U149" s="156">
        <v>0</v>
      </c>
      <c r="V149" s="156"/>
      <c r="W149" s="156">
        <f t="shared" si="29"/>
        <v>0</v>
      </c>
      <c r="X149" s="140"/>
      <c r="Y149" s="140"/>
      <c r="Z149" s="142" t="s">
        <v>365</v>
      </c>
      <c r="AA149" s="156"/>
      <c r="AB149" s="142" t="s">
        <v>45</v>
      </c>
      <c r="AC149" s="140"/>
      <c r="AD149" s="156">
        <v>0</v>
      </c>
      <c r="AE149" s="156"/>
      <c r="AF149" s="156">
        <v>0</v>
      </c>
      <c r="AG149" s="156"/>
      <c r="AH149" s="156">
        <v>0</v>
      </c>
      <c r="AI149" s="156"/>
      <c r="AJ149" s="143">
        <f t="shared" si="26"/>
        <v>0</v>
      </c>
      <c r="AK149" s="143"/>
      <c r="AL149" s="156">
        <v>0</v>
      </c>
      <c r="AM149" s="143"/>
      <c r="AN149" s="156">
        <v>0</v>
      </c>
      <c r="AO149" s="156"/>
      <c r="AP149" s="156">
        <v>0</v>
      </c>
      <c r="AQ149" s="156"/>
      <c r="AR149" s="156">
        <v>0</v>
      </c>
      <c r="AS149" s="156"/>
      <c r="AT149" s="143">
        <f t="shared" si="24"/>
        <v>0</v>
      </c>
      <c r="AU149" s="143"/>
      <c r="AV149" s="156">
        <v>0</v>
      </c>
      <c r="AW149" s="156"/>
      <c r="AX149" s="156">
        <v>0</v>
      </c>
      <c r="AY149" s="156"/>
      <c r="AZ149" s="156">
        <f t="shared" si="25"/>
        <v>0</v>
      </c>
      <c r="BA149" s="140"/>
      <c r="BB149" s="142" t="s">
        <v>365</v>
      </c>
      <c r="BD149" s="142" t="s">
        <v>45</v>
      </c>
      <c r="BE149" s="156"/>
      <c r="BF149" s="156">
        <v>0</v>
      </c>
      <c r="BG149" s="156"/>
      <c r="BH149" s="156">
        <v>0</v>
      </c>
      <c r="BI149" s="156"/>
      <c r="BJ149" s="156">
        <v>0</v>
      </c>
      <c r="BK149" s="156"/>
      <c r="BL149" s="156">
        <v>0</v>
      </c>
      <c r="BM149" s="156"/>
      <c r="BN149" s="156">
        <f t="shared" si="30"/>
        <v>0</v>
      </c>
      <c r="BO149" s="158"/>
      <c r="BS149" s="159"/>
      <c r="BT149" s="159"/>
      <c r="BU149" s="160"/>
      <c r="BV149" s="159"/>
      <c r="BW149" s="159"/>
      <c r="BX149" s="159"/>
      <c r="BY149" s="159"/>
      <c r="BZ149" s="159"/>
      <c r="CA149" s="159"/>
      <c r="CB149" s="159"/>
      <c r="CC149" s="159"/>
      <c r="CD149" s="159"/>
      <c r="CE149" s="159"/>
      <c r="CF149" s="159"/>
      <c r="CG149" s="159"/>
      <c r="CH149" s="159"/>
      <c r="CI149" s="159"/>
      <c r="CJ149" s="159"/>
      <c r="CK149" s="159"/>
      <c r="CL149" s="159"/>
      <c r="CM149" s="159"/>
      <c r="CN149" s="159"/>
      <c r="CO149" s="159"/>
      <c r="CP149" s="159"/>
      <c r="CQ149" s="159"/>
    </row>
    <row r="150" spans="1:95" s="35" customFormat="1" ht="12.75" customHeight="1">
      <c r="A150" s="35" t="s">
        <v>175</v>
      </c>
      <c r="B150" s="51"/>
      <c r="C150" s="35" t="s">
        <v>176</v>
      </c>
      <c r="D150" s="44"/>
      <c r="E150" s="53">
        <f t="shared" si="27"/>
        <v>2128653</v>
      </c>
      <c r="F150" s="53"/>
      <c r="G150" s="53">
        <v>19377618</v>
      </c>
      <c r="H150" s="53"/>
      <c r="I150" s="53">
        <v>21506271</v>
      </c>
      <c r="J150" s="53"/>
      <c r="K150" s="53">
        <f t="shared" si="28"/>
        <v>1203716</v>
      </c>
      <c r="L150" s="53"/>
      <c r="M150" s="53">
        <v>11071833</v>
      </c>
      <c r="N150" s="53"/>
      <c r="O150" s="53">
        <v>12275549</v>
      </c>
      <c r="P150" s="53"/>
      <c r="Q150" s="53">
        <v>6632842</v>
      </c>
      <c r="R150" s="53"/>
      <c r="S150" s="53">
        <v>1391876</v>
      </c>
      <c r="T150" s="53"/>
      <c r="U150" s="53">
        <v>1206004</v>
      </c>
      <c r="V150" s="53"/>
      <c r="W150" s="53">
        <f t="shared" si="29"/>
        <v>9230722</v>
      </c>
      <c r="X150" s="51"/>
      <c r="Y150" s="51"/>
      <c r="Z150" s="35" t="s">
        <v>175</v>
      </c>
      <c r="AA150" s="53"/>
      <c r="AB150" s="35" t="s">
        <v>176</v>
      </c>
      <c r="AC150" s="51"/>
      <c r="AD150" s="53">
        <v>3197165</v>
      </c>
      <c r="AE150" s="53"/>
      <c r="AF150" s="53">
        <v>1784855</v>
      </c>
      <c r="AG150" s="53"/>
      <c r="AH150" s="53">
        <v>906182</v>
      </c>
      <c r="AI150" s="53"/>
      <c r="AJ150" s="45">
        <f t="shared" si="26"/>
        <v>506128</v>
      </c>
      <c r="AK150" s="45"/>
      <c r="AL150" s="53">
        <v>-374419</v>
      </c>
      <c r="AM150" s="45"/>
      <c r="AN150" s="53">
        <v>0</v>
      </c>
      <c r="AO150" s="53"/>
      <c r="AP150" s="53">
        <v>0</v>
      </c>
      <c r="AQ150" s="53"/>
      <c r="AR150" s="53">
        <v>0</v>
      </c>
      <c r="AS150" s="53"/>
      <c r="AT150" s="45">
        <f t="shared" si="24"/>
        <v>131709</v>
      </c>
      <c r="AU150" s="45"/>
      <c r="AV150" s="53">
        <v>0</v>
      </c>
      <c r="AW150" s="53"/>
      <c r="AX150" s="53">
        <v>0</v>
      </c>
      <c r="AY150" s="53"/>
      <c r="AZ150" s="53">
        <f t="shared" si="25"/>
        <v>924937</v>
      </c>
      <c r="BA150" s="51"/>
      <c r="BB150" s="35" t="s">
        <v>175</v>
      </c>
      <c r="BD150" s="35" t="s">
        <v>176</v>
      </c>
      <c r="BE150" s="53"/>
      <c r="BF150" s="53">
        <v>5951665</v>
      </c>
      <c r="BG150" s="53"/>
      <c r="BH150" s="53">
        <v>5015000</v>
      </c>
      <c r="BI150" s="53"/>
      <c r="BJ150" s="53">
        <v>0</v>
      </c>
      <c r="BK150" s="53"/>
      <c r="BL150" s="53">
        <v>105168</v>
      </c>
      <c r="BM150" s="53"/>
      <c r="BN150" s="53">
        <f t="shared" si="30"/>
        <v>11071833</v>
      </c>
      <c r="BO150" s="54"/>
      <c r="BS150" s="55"/>
      <c r="BT150" s="55"/>
      <c r="BU150" s="84"/>
      <c r="BV150" s="55"/>
      <c r="BW150" s="55"/>
      <c r="BX150" s="55"/>
      <c r="BY150" s="55"/>
      <c r="BZ150" s="55"/>
      <c r="CA150" s="55"/>
      <c r="CB150" s="55"/>
      <c r="CC150" s="55"/>
      <c r="CD150" s="55"/>
      <c r="CE150" s="55"/>
      <c r="CF150" s="55"/>
      <c r="CG150" s="55"/>
      <c r="CH150" s="55"/>
      <c r="CI150" s="55"/>
      <c r="CJ150" s="55"/>
      <c r="CK150" s="55"/>
      <c r="CL150" s="55"/>
      <c r="CM150" s="55"/>
      <c r="CN150" s="55"/>
      <c r="CO150" s="55"/>
      <c r="CP150" s="55"/>
      <c r="CQ150" s="55"/>
    </row>
    <row r="151" spans="1:95" s="35" customFormat="1" ht="12.75" customHeight="1">
      <c r="A151" s="35" t="s">
        <v>177</v>
      </c>
      <c r="B151" s="51"/>
      <c r="C151" s="35" t="s">
        <v>13</v>
      </c>
      <c r="D151" s="44"/>
      <c r="E151" s="53">
        <f t="shared" si="27"/>
        <v>2275800</v>
      </c>
      <c r="F151" s="53"/>
      <c r="G151" s="53">
        <v>2432044</v>
      </c>
      <c r="H151" s="53"/>
      <c r="I151" s="53">
        <v>4707844</v>
      </c>
      <c r="J151" s="53"/>
      <c r="K151" s="53">
        <f t="shared" si="28"/>
        <v>105920</v>
      </c>
      <c r="L151" s="53"/>
      <c r="M151" s="53">
        <v>521339</v>
      </c>
      <c r="N151" s="53"/>
      <c r="O151" s="53">
        <v>627259</v>
      </c>
      <c r="P151" s="53"/>
      <c r="Q151" s="53">
        <v>1837038</v>
      </c>
      <c r="R151" s="53"/>
      <c r="S151" s="53">
        <v>0</v>
      </c>
      <c r="T151" s="53"/>
      <c r="U151" s="53">
        <v>2243547</v>
      </c>
      <c r="V151" s="53"/>
      <c r="W151" s="53">
        <f t="shared" si="29"/>
        <v>4080585</v>
      </c>
      <c r="X151" s="51"/>
      <c r="Y151" s="51"/>
      <c r="Z151" s="35" t="s">
        <v>177</v>
      </c>
      <c r="AA151" s="53"/>
      <c r="AB151" s="35" t="s">
        <v>13</v>
      </c>
      <c r="AC151" s="51"/>
      <c r="AD151" s="53">
        <v>873295</v>
      </c>
      <c r="AE151" s="53"/>
      <c r="AF151" s="53">
        <v>614956</v>
      </c>
      <c r="AG151" s="53"/>
      <c r="AH151" s="53">
        <v>130483</v>
      </c>
      <c r="AI151" s="53"/>
      <c r="AJ151" s="45">
        <f t="shared" si="26"/>
        <v>127856</v>
      </c>
      <c r="AK151" s="45"/>
      <c r="AL151" s="53">
        <v>-35024</v>
      </c>
      <c r="AM151" s="45"/>
      <c r="AN151" s="53">
        <v>0</v>
      </c>
      <c r="AO151" s="53"/>
      <c r="AP151" s="53">
        <v>0</v>
      </c>
      <c r="AQ151" s="53"/>
      <c r="AR151" s="53">
        <v>0</v>
      </c>
      <c r="AS151" s="53"/>
      <c r="AT151" s="45">
        <f t="shared" si="24"/>
        <v>92832</v>
      </c>
      <c r="AU151" s="45"/>
      <c r="AV151" s="53">
        <v>0</v>
      </c>
      <c r="AW151" s="53"/>
      <c r="AX151" s="53">
        <v>0</v>
      </c>
      <c r="AY151" s="53"/>
      <c r="AZ151" s="53">
        <f t="shared" si="25"/>
        <v>2169880</v>
      </c>
      <c r="BA151" s="51"/>
      <c r="BB151" s="35" t="s">
        <v>177</v>
      </c>
      <c r="BD151" s="35" t="s">
        <v>13</v>
      </c>
      <c r="BE151" s="53"/>
      <c r="BF151" s="53">
        <v>521339</v>
      </c>
      <c r="BG151" s="53"/>
      <c r="BH151" s="53">
        <v>0</v>
      </c>
      <c r="BI151" s="53"/>
      <c r="BJ151" s="53">
        <v>0</v>
      </c>
      <c r="BK151" s="53"/>
      <c r="BL151" s="53">
        <v>0</v>
      </c>
      <c r="BM151" s="53"/>
      <c r="BN151" s="53">
        <f t="shared" si="30"/>
        <v>521339</v>
      </c>
      <c r="BO151" s="54"/>
      <c r="BS151" s="55"/>
      <c r="BT151" s="55"/>
      <c r="BU151" s="84"/>
      <c r="BV151" s="55"/>
      <c r="BW151" s="55"/>
      <c r="BX151" s="55"/>
      <c r="BY151" s="55"/>
      <c r="BZ151" s="55"/>
      <c r="CA151" s="55"/>
      <c r="CB151" s="55"/>
      <c r="CC151" s="55"/>
      <c r="CD151" s="55"/>
      <c r="CE151" s="55"/>
      <c r="CF151" s="55"/>
      <c r="CG151" s="55"/>
      <c r="CH151" s="55"/>
      <c r="CI151" s="55"/>
      <c r="CJ151" s="55"/>
      <c r="CK151" s="55"/>
      <c r="CL151" s="55"/>
      <c r="CM151" s="55"/>
      <c r="CN151" s="55"/>
      <c r="CO151" s="55"/>
      <c r="CP151" s="55"/>
      <c r="CQ151" s="55"/>
    </row>
    <row r="152" spans="1:95" s="35" customFormat="1" ht="12.75" customHeight="1">
      <c r="A152" s="35" t="s">
        <v>178</v>
      </c>
      <c r="B152" s="51"/>
      <c r="C152" s="35" t="s">
        <v>179</v>
      </c>
      <c r="D152" s="44"/>
      <c r="E152" s="53">
        <f t="shared" si="27"/>
        <v>2020073</v>
      </c>
      <c r="F152" s="53"/>
      <c r="G152" s="53">
        <v>7618253</v>
      </c>
      <c r="H152" s="53"/>
      <c r="I152" s="53">
        <v>9638326</v>
      </c>
      <c r="J152" s="53"/>
      <c r="K152" s="53">
        <f t="shared" si="28"/>
        <v>3363487</v>
      </c>
      <c r="L152" s="53"/>
      <c r="M152" s="53">
        <v>2781858</v>
      </c>
      <c r="N152" s="53"/>
      <c r="O152" s="53">
        <v>6145345</v>
      </c>
      <c r="P152" s="53"/>
      <c r="Q152" s="53">
        <v>1716041</v>
      </c>
      <c r="R152" s="53"/>
      <c r="S152" s="53">
        <v>0</v>
      </c>
      <c r="T152" s="53"/>
      <c r="U152" s="53">
        <v>1776940</v>
      </c>
      <c r="V152" s="53"/>
      <c r="W152" s="53">
        <f t="shared" si="29"/>
        <v>3492981</v>
      </c>
      <c r="X152" s="51"/>
      <c r="Y152" s="51"/>
      <c r="Z152" s="35" t="s">
        <v>178</v>
      </c>
      <c r="AA152" s="53"/>
      <c r="AB152" s="35" t="s">
        <v>179</v>
      </c>
      <c r="AC152" s="51"/>
      <c r="AD152" s="53">
        <v>2301840</v>
      </c>
      <c r="AE152" s="53"/>
      <c r="AF152" s="53">
        <v>1599116</v>
      </c>
      <c r="AG152" s="53"/>
      <c r="AH152" s="53">
        <v>191658</v>
      </c>
      <c r="AI152" s="53"/>
      <c r="AJ152" s="45">
        <f t="shared" si="26"/>
        <v>511066</v>
      </c>
      <c r="AK152" s="45"/>
      <c r="AL152" s="53">
        <v>-125356</v>
      </c>
      <c r="AM152" s="45"/>
      <c r="AN152" s="53">
        <v>0</v>
      </c>
      <c r="AO152" s="53"/>
      <c r="AP152" s="53">
        <v>0</v>
      </c>
      <c r="AQ152" s="53"/>
      <c r="AR152" s="53">
        <v>41214</v>
      </c>
      <c r="AS152" s="53"/>
      <c r="AT152" s="45">
        <f t="shared" si="24"/>
        <v>426924</v>
      </c>
      <c r="AU152" s="45"/>
      <c r="AV152" s="53">
        <v>0</v>
      </c>
      <c r="AW152" s="53"/>
      <c r="AX152" s="53">
        <v>0</v>
      </c>
      <c r="AY152" s="53"/>
      <c r="AZ152" s="53">
        <f t="shared" si="25"/>
        <v>-1343414</v>
      </c>
      <c r="BA152" s="51"/>
      <c r="BB152" s="35" t="s">
        <v>178</v>
      </c>
      <c r="BD152" s="35" t="s">
        <v>179</v>
      </c>
      <c r="BE152" s="53"/>
      <c r="BF152" s="53">
        <v>1995000</v>
      </c>
      <c r="BG152" s="53"/>
      <c r="BH152" s="53">
        <v>0</v>
      </c>
      <c r="BI152" s="53"/>
      <c r="BJ152" s="53">
        <v>496183</v>
      </c>
      <c r="BK152" s="53"/>
      <c r="BL152" s="53">
        <v>290675</v>
      </c>
      <c r="BM152" s="53"/>
      <c r="BN152" s="53">
        <f t="shared" si="30"/>
        <v>2781858</v>
      </c>
      <c r="BO152" s="54"/>
      <c r="BS152" s="55"/>
      <c r="BT152" s="55"/>
      <c r="BU152" s="84"/>
      <c r="BV152" s="55"/>
      <c r="BW152" s="55"/>
      <c r="BX152" s="55"/>
      <c r="BY152" s="55"/>
      <c r="BZ152" s="55"/>
      <c r="CA152" s="55"/>
      <c r="CB152" s="55"/>
      <c r="CC152" s="55"/>
      <c r="CD152" s="55"/>
      <c r="CE152" s="55"/>
      <c r="CF152" s="55"/>
      <c r="CG152" s="55"/>
      <c r="CH152" s="55"/>
      <c r="CI152" s="55"/>
      <c r="CJ152" s="55"/>
      <c r="CK152" s="55"/>
      <c r="CL152" s="55"/>
      <c r="CM152" s="55"/>
      <c r="CN152" s="55"/>
      <c r="CO152" s="55"/>
      <c r="CP152" s="55"/>
      <c r="CQ152" s="55"/>
    </row>
    <row r="153" spans="1:95" s="142" customFormat="1" ht="12.75" hidden="1" customHeight="1">
      <c r="A153" s="142" t="s">
        <v>180</v>
      </c>
      <c r="B153" s="140"/>
      <c r="C153" s="142" t="s">
        <v>20</v>
      </c>
      <c r="D153" s="137"/>
      <c r="E153" s="156">
        <f t="shared" si="27"/>
        <v>0</v>
      </c>
      <c r="F153" s="156"/>
      <c r="G153" s="156">
        <v>0</v>
      </c>
      <c r="H153" s="156"/>
      <c r="I153" s="156">
        <v>0</v>
      </c>
      <c r="J153" s="156"/>
      <c r="K153" s="156">
        <f t="shared" si="28"/>
        <v>0</v>
      </c>
      <c r="L153" s="156"/>
      <c r="M153" s="156">
        <v>0</v>
      </c>
      <c r="N153" s="156"/>
      <c r="O153" s="156">
        <v>0</v>
      </c>
      <c r="P153" s="156"/>
      <c r="Q153" s="156">
        <v>0</v>
      </c>
      <c r="R153" s="156"/>
      <c r="S153" s="156">
        <v>0</v>
      </c>
      <c r="T153" s="156"/>
      <c r="U153" s="156">
        <v>0</v>
      </c>
      <c r="V153" s="156"/>
      <c r="W153" s="156">
        <f t="shared" si="29"/>
        <v>0</v>
      </c>
      <c r="X153" s="140"/>
      <c r="Y153" s="140"/>
      <c r="Z153" s="142" t="s">
        <v>180</v>
      </c>
      <c r="AA153" s="156"/>
      <c r="AB153" s="142" t="s">
        <v>20</v>
      </c>
      <c r="AC153" s="140"/>
      <c r="AD153" s="156">
        <v>0</v>
      </c>
      <c r="AE153" s="156"/>
      <c r="AF153" s="156">
        <v>0</v>
      </c>
      <c r="AG153" s="156"/>
      <c r="AH153" s="156">
        <v>0</v>
      </c>
      <c r="AI153" s="156"/>
      <c r="AJ153" s="143">
        <f t="shared" si="26"/>
        <v>0</v>
      </c>
      <c r="AK153" s="143"/>
      <c r="AL153" s="156">
        <v>0</v>
      </c>
      <c r="AM153" s="143"/>
      <c r="AN153" s="156">
        <v>0</v>
      </c>
      <c r="AO153" s="156"/>
      <c r="AP153" s="156">
        <v>0</v>
      </c>
      <c r="AQ153" s="156"/>
      <c r="AR153" s="156">
        <v>0</v>
      </c>
      <c r="AS153" s="156"/>
      <c r="AT153" s="143">
        <f t="shared" si="24"/>
        <v>0</v>
      </c>
      <c r="AU153" s="143"/>
      <c r="AV153" s="156">
        <v>0</v>
      </c>
      <c r="AW153" s="156"/>
      <c r="AX153" s="156">
        <v>0</v>
      </c>
      <c r="AY153" s="156"/>
      <c r="AZ153" s="156">
        <f t="shared" si="25"/>
        <v>0</v>
      </c>
      <c r="BA153" s="140"/>
      <c r="BB153" s="142" t="s">
        <v>180</v>
      </c>
      <c r="BD153" s="142" t="s">
        <v>20</v>
      </c>
      <c r="BE153" s="156"/>
      <c r="BF153" s="156">
        <v>0</v>
      </c>
      <c r="BG153" s="156"/>
      <c r="BH153" s="156">
        <v>0</v>
      </c>
      <c r="BI153" s="156"/>
      <c r="BJ153" s="156">
        <v>0</v>
      </c>
      <c r="BK153" s="156"/>
      <c r="BL153" s="156">
        <v>0</v>
      </c>
      <c r="BM153" s="156"/>
      <c r="BN153" s="156">
        <f t="shared" si="30"/>
        <v>0</v>
      </c>
      <c r="BO153" s="158"/>
      <c r="BS153" s="159"/>
      <c r="BT153" s="159"/>
      <c r="BU153" s="160"/>
      <c r="BV153" s="159"/>
      <c r="BW153" s="159"/>
      <c r="BX153" s="159"/>
      <c r="BY153" s="159"/>
      <c r="BZ153" s="159"/>
      <c r="CA153" s="159"/>
      <c r="CB153" s="159"/>
      <c r="CC153" s="159"/>
      <c r="CD153" s="159"/>
      <c r="CE153" s="159"/>
      <c r="CF153" s="159"/>
      <c r="CG153" s="159"/>
      <c r="CH153" s="159"/>
      <c r="CI153" s="159"/>
      <c r="CJ153" s="159"/>
      <c r="CK153" s="159"/>
      <c r="CL153" s="159"/>
      <c r="CM153" s="159"/>
      <c r="CN153" s="159"/>
      <c r="CO153" s="159"/>
      <c r="CP153" s="159"/>
      <c r="CQ153" s="159"/>
    </row>
    <row r="154" spans="1:95" s="35" customFormat="1" ht="12.75" customHeight="1">
      <c r="A154" s="35" t="s">
        <v>182</v>
      </c>
      <c r="C154" s="35" t="s">
        <v>183</v>
      </c>
      <c r="D154" s="44"/>
      <c r="E154" s="53">
        <f t="shared" si="27"/>
        <v>454206</v>
      </c>
      <c r="F154" s="53"/>
      <c r="G154" s="53">
        <v>3900846</v>
      </c>
      <c r="H154" s="53"/>
      <c r="I154" s="53">
        <v>4355052</v>
      </c>
      <c r="J154" s="53"/>
      <c r="K154" s="53">
        <f t="shared" si="28"/>
        <v>276873</v>
      </c>
      <c r="L154" s="53"/>
      <c r="M154" s="53">
        <v>3183351</v>
      </c>
      <c r="N154" s="53"/>
      <c r="O154" s="53">
        <v>3460224</v>
      </c>
      <c r="P154" s="53"/>
      <c r="Q154" s="53">
        <v>577367</v>
      </c>
      <c r="R154" s="53"/>
      <c r="S154" s="53">
        <v>0</v>
      </c>
      <c r="T154" s="53"/>
      <c r="U154" s="53">
        <v>317461</v>
      </c>
      <c r="V154" s="53"/>
      <c r="W154" s="53">
        <f t="shared" si="29"/>
        <v>894828</v>
      </c>
      <c r="X154" s="51"/>
      <c r="Y154" s="51"/>
      <c r="Z154" s="35" t="s">
        <v>182</v>
      </c>
      <c r="AA154" s="53"/>
      <c r="AB154" s="35" t="s">
        <v>183</v>
      </c>
      <c r="AC154" s="51"/>
      <c r="AD154" s="53">
        <v>583405</v>
      </c>
      <c r="AE154" s="53"/>
      <c r="AF154" s="53">
        <v>444201</v>
      </c>
      <c r="AG154" s="53"/>
      <c r="AH154" s="53">
        <v>408815</v>
      </c>
      <c r="AI154" s="53"/>
      <c r="AJ154" s="45">
        <f t="shared" si="26"/>
        <v>-269611</v>
      </c>
      <c r="AK154" s="45"/>
      <c r="AL154" s="53">
        <v>22574</v>
      </c>
      <c r="AM154" s="45"/>
      <c r="AN154" s="53">
        <v>23025</v>
      </c>
      <c r="AO154" s="53"/>
      <c r="AP154" s="53">
        <v>0</v>
      </c>
      <c r="AQ154" s="53"/>
      <c r="AR154" s="53">
        <v>0</v>
      </c>
      <c r="AS154" s="53"/>
      <c r="AT154" s="45">
        <f t="shared" si="24"/>
        <v>-224012</v>
      </c>
      <c r="AU154" s="45"/>
      <c r="AV154" s="53">
        <v>0</v>
      </c>
      <c r="AW154" s="53"/>
      <c r="AX154" s="53">
        <v>0</v>
      </c>
      <c r="AY154" s="53"/>
      <c r="AZ154" s="53">
        <f t="shared" si="25"/>
        <v>177333</v>
      </c>
      <c r="BA154" s="51"/>
      <c r="BB154" s="35" t="s">
        <v>182</v>
      </c>
      <c r="BD154" s="35" t="s">
        <v>183</v>
      </c>
      <c r="BE154" s="53"/>
      <c r="BF154" s="53">
        <v>0</v>
      </c>
      <c r="BG154" s="53"/>
      <c r="BH154" s="53">
        <v>0</v>
      </c>
      <c r="BI154" s="53"/>
      <c r="BJ154" s="53">
        <v>3171044</v>
      </c>
      <c r="BK154" s="53"/>
      <c r="BL154" s="53">
        <v>12307</v>
      </c>
      <c r="BM154" s="53"/>
      <c r="BN154" s="53">
        <f t="shared" si="30"/>
        <v>3183351</v>
      </c>
      <c r="BO154" s="54"/>
      <c r="BS154" s="55"/>
      <c r="BT154" s="55"/>
      <c r="BU154" s="84"/>
      <c r="BV154" s="55"/>
      <c r="BW154" s="55"/>
      <c r="BX154" s="55"/>
      <c r="BY154" s="55"/>
      <c r="BZ154" s="55"/>
      <c r="CA154" s="55"/>
      <c r="CB154" s="55"/>
      <c r="CC154" s="55"/>
      <c r="CD154" s="55"/>
      <c r="CE154" s="55"/>
      <c r="CF154" s="55"/>
      <c r="CG154" s="55"/>
      <c r="CH154" s="55"/>
      <c r="CI154" s="55"/>
      <c r="CJ154" s="55"/>
      <c r="CK154" s="55"/>
      <c r="CL154" s="55"/>
      <c r="CM154" s="55"/>
      <c r="CN154" s="55"/>
      <c r="CO154" s="55"/>
      <c r="CP154" s="55"/>
      <c r="CQ154" s="55"/>
    </row>
    <row r="155" spans="1:95" s="35" customFormat="1" ht="12.75" customHeight="1">
      <c r="A155" s="35" t="s">
        <v>184</v>
      </c>
      <c r="B155" s="51"/>
      <c r="C155" s="35" t="s">
        <v>89</v>
      </c>
      <c r="D155" s="44"/>
      <c r="E155" s="53">
        <f t="shared" si="27"/>
        <v>1119901</v>
      </c>
      <c r="F155" s="53"/>
      <c r="G155" s="53">
        <v>10642625</v>
      </c>
      <c r="H155" s="53"/>
      <c r="I155" s="53">
        <v>11762526</v>
      </c>
      <c r="J155" s="53"/>
      <c r="K155" s="53">
        <f t="shared" si="28"/>
        <v>197545</v>
      </c>
      <c r="L155" s="53"/>
      <c r="M155" s="53">
        <v>178508</v>
      </c>
      <c r="N155" s="53"/>
      <c r="O155" s="53">
        <v>376053</v>
      </c>
      <c r="P155" s="53"/>
      <c r="Q155" s="53">
        <v>10544265</v>
      </c>
      <c r="R155" s="53"/>
      <c r="S155" s="53">
        <v>0</v>
      </c>
      <c r="T155" s="53"/>
      <c r="U155" s="53">
        <v>842208</v>
      </c>
      <c r="V155" s="53"/>
      <c r="W155" s="53">
        <f t="shared" si="29"/>
        <v>11386473</v>
      </c>
      <c r="X155" s="51"/>
      <c r="Y155" s="51"/>
      <c r="Z155" s="35" t="s">
        <v>184</v>
      </c>
      <c r="AA155" s="53"/>
      <c r="AB155" s="35" t="s">
        <v>89</v>
      </c>
      <c r="AC155" s="51"/>
      <c r="AD155" s="53">
        <v>2077733</v>
      </c>
      <c r="AE155" s="53"/>
      <c r="AF155" s="53">
        <v>1840396</v>
      </c>
      <c r="AG155" s="53"/>
      <c r="AH155" s="53">
        <v>423640</v>
      </c>
      <c r="AI155" s="53"/>
      <c r="AJ155" s="45">
        <f t="shared" si="26"/>
        <v>-186303</v>
      </c>
      <c r="AK155" s="45"/>
      <c r="AL155" s="53">
        <v>1759</v>
      </c>
      <c r="AM155" s="45"/>
      <c r="AN155" s="53">
        <v>0</v>
      </c>
      <c r="AO155" s="53"/>
      <c r="AP155" s="53">
        <v>0</v>
      </c>
      <c r="AQ155" s="53"/>
      <c r="AR155" s="53">
        <v>534532</v>
      </c>
      <c r="AS155" s="53"/>
      <c r="AT155" s="45">
        <f t="shared" si="24"/>
        <v>349988</v>
      </c>
      <c r="AU155" s="45"/>
      <c r="AV155" s="53">
        <v>0</v>
      </c>
      <c r="AW155" s="53"/>
      <c r="AX155" s="53">
        <v>0</v>
      </c>
      <c r="AY155" s="53"/>
      <c r="AZ155" s="53">
        <f t="shared" si="25"/>
        <v>922356</v>
      </c>
      <c r="BA155" s="51"/>
      <c r="BB155" s="35" t="s">
        <v>184</v>
      </c>
      <c r="BD155" s="35" t="s">
        <v>89</v>
      </c>
      <c r="BE155" s="53"/>
      <c r="BF155" s="53">
        <v>0</v>
      </c>
      <c r="BG155" s="53"/>
      <c r="BH155" s="53">
        <v>0</v>
      </c>
      <c r="BI155" s="53"/>
      <c r="BJ155" s="53">
        <v>82500</v>
      </c>
      <c r="BK155" s="53"/>
      <c r="BL155" s="53">
        <v>96008</v>
      </c>
      <c r="BM155" s="53"/>
      <c r="BN155" s="53">
        <f t="shared" si="30"/>
        <v>178508</v>
      </c>
      <c r="BO155" s="54"/>
      <c r="BS155" s="55"/>
      <c r="BT155" s="55"/>
      <c r="BU155" s="84"/>
      <c r="BV155" s="55"/>
      <c r="BW155" s="55"/>
      <c r="BX155" s="55"/>
      <c r="BY155" s="55"/>
      <c r="BZ155" s="55"/>
      <c r="CA155" s="55"/>
      <c r="CB155" s="55"/>
      <c r="CC155" s="55"/>
      <c r="CD155" s="55"/>
      <c r="CE155" s="55"/>
      <c r="CF155" s="55"/>
      <c r="CG155" s="55"/>
      <c r="CH155" s="55"/>
      <c r="CI155" s="55"/>
      <c r="CJ155" s="55"/>
      <c r="CK155" s="55"/>
      <c r="CL155" s="55"/>
      <c r="CM155" s="55"/>
      <c r="CN155" s="55"/>
      <c r="CO155" s="55"/>
      <c r="CP155" s="55"/>
      <c r="CQ155" s="55"/>
    </row>
    <row r="156" spans="1:95" s="35" customFormat="1" ht="12.75" customHeight="1">
      <c r="A156" s="35" t="s">
        <v>181</v>
      </c>
      <c r="B156" s="51"/>
      <c r="C156" s="35" t="s">
        <v>125</v>
      </c>
      <c r="D156" s="44"/>
      <c r="E156" s="53">
        <f t="shared" si="27"/>
        <v>3461637</v>
      </c>
      <c r="F156" s="53"/>
      <c r="G156" s="53">
        <v>21358200</v>
      </c>
      <c r="H156" s="53"/>
      <c r="I156" s="53">
        <v>24819837</v>
      </c>
      <c r="J156" s="53"/>
      <c r="K156" s="53">
        <f t="shared" si="28"/>
        <v>1986479</v>
      </c>
      <c r="L156" s="53"/>
      <c r="M156" s="53">
        <v>7418752</v>
      </c>
      <c r="N156" s="53"/>
      <c r="O156" s="53">
        <v>9405231</v>
      </c>
      <c r="P156" s="53"/>
      <c r="Q156" s="53">
        <v>12652641</v>
      </c>
      <c r="R156" s="53"/>
      <c r="S156" s="53">
        <v>0</v>
      </c>
      <c r="T156" s="53"/>
      <c r="U156" s="53">
        <v>2761965</v>
      </c>
      <c r="V156" s="53"/>
      <c r="W156" s="53">
        <f t="shared" si="29"/>
        <v>15414606</v>
      </c>
      <c r="X156" s="51"/>
      <c r="Y156" s="51"/>
      <c r="Z156" s="35" t="s">
        <v>181</v>
      </c>
      <c r="AA156" s="53"/>
      <c r="AB156" s="35" t="s">
        <v>125</v>
      </c>
      <c r="AC156" s="51"/>
      <c r="AD156" s="53">
        <v>6034022</v>
      </c>
      <c r="AE156" s="53"/>
      <c r="AF156" s="53">
        <v>5753475</v>
      </c>
      <c r="AG156" s="53"/>
      <c r="AH156" s="53">
        <v>853992</v>
      </c>
      <c r="AI156" s="53"/>
      <c r="AJ156" s="45">
        <f t="shared" si="26"/>
        <v>-573445</v>
      </c>
      <c r="AK156" s="45"/>
      <c r="AL156" s="53">
        <v>-60535</v>
      </c>
      <c r="AM156" s="45"/>
      <c r="AN156" s="53">
        <v>1160911</v>
      </c>
      <c r="AO156" s="53"/>
      <c r="AP156" s="53">
        <v>-291000</v>
      </c>
      <c r="AQ156" s="53"/>
      <c r="AR156" s="53">
        <v>0</v>
      </c>
      <c r="AS156" s="53"/>
      <c r="AT156" s="45">
        <f t="shared" si="24"/>
        <v>817931</v>
      </c>
      <c r="AU156" s="45"/>
      <c r="AV156" s="53">
        <v>0</v>
      </c>
      <c r="AW156" s="53"/>
      <c r="AX156" s="53">
        <v>0</v>
      </c>
      <c r="AY156" s="53"/>
      <c r="AZ156" s="53">
        <f t="shared" si="25"/>
        <v>1475158</v>
      </c>
      <c r="BA156" s="51"/>
      <c r="BB156" s="35" t="s">
        <v>181</v>
      </c>
      <c r="BD156" s="35" t="s">
        <v>125</v>
      </c>
      <c r="BE156" s="53"/>
      <c r="BF156" s="53">
        <v>6882069</v>
      </c>
      <c r="BG156" s="53"/>
      <c r="BH156" s="53">
        <v>0</v>
      </c>
      <c r="BI156" s="53"/>
      <c r="BJ156" s="53">
        <v>0</v>
      </c>
      <c r="BK156" s="53"/>
      <c r="BL156" s="53">
        <v>536683</v>
      </c>
      <c r="BM156" s="53"/>
      <c r="BN156" s="53">
        <f t="shared" si="30"/>
        <v>7418752</v>
      </c>
      <c r="BO156" s="54"/>
      <c r="BP156" s="55"/>
      <c r="BS156" s="55"/>
      <c r="BT156" s="55"/>
      <c r="BU156" s="84"/>
      <c r="BV156" s="55"/>
      <c r="BW156" s="55"/>
      <c r="BX156" s="55"/>
      <c r="BY156" s="55"/>
      <c r="BZ156" s="55"/>
      <c r="CA156" s="55"/>
      <c r="CB156" s="55"/>
      <c r="CC156" s="55"/>
      <c r="CD156" s="55"/>
      <c r="CE156" s="55"/>
      <c r="CF156" s="55"/>
      <c r="CG156" s="55"/>
      <c r="CH156" s="55"/>
      <c r="CI156" s="55"/>
      <c r="CJ156" s="55"/>
      <c r="CK156" s="55"/>
      <c r="CL156" s="55"/>
      <c r="CM156" s="55"/>
      <c r="CN156" s="55"/>
      <c r="CO156" s="55"/>
      <c r="CP156" s="55"/>
      <c r="CQ156" s="55"/>
    </row>
    <row r="157" spans="1:95" s="35" customFormat="1" ht="12.75" customHeight="1">
      <c r="A157" s="35" t="s">
        <v>185</v>
      </c>
      <c r="C157" s="35" t="s">
        <v>80</v>
      </c>
      <c r="D157" s="44"/>
      <c r="E157" s="53">
        <f t="shared" si="27"/>
        <v>2034354</v>
      </c>
      <c r="F157" s="53"/>
      <c r="G157" s="53">
        <v>950791</v>
      </c>
      <c r="H157" s="53"/>
      <c r="I157" s="53">
        <v>2985145</v>
      </c>
      <c r="J157" s="53"/>
      <c r="K157" s="53">
        <f t="shared" si="28"/>
        <v>1889081</v>
      </c>
      <c r="L157" s="53"/>
      <c r="M157" s="53">
        <v>1204017</v>
      </c>
      <c r="N157" s="53"/>
      <c r="O157" s="53">
        <v>3093098</v>
      </c>
      <c r="P157" s="53"/>
      <c r="Q157" s="53">
        <v>866693</v>
      </c>
      <c r="R157" s="53"/>
      <c r="S157" s="53">
        <v>0</v>
      </c>
      <c r="T157" s="53"/>
      <c r="U157" s="53">
        <v>-974646</v>
      </c>
      <c r="V157" s="53"/>
      <c r="W157" s="53">
        <f t="shared" si="29"/>
        <v>-107953</v>
      </c>
      <c r="Z157" s="35" t="s">
        <v>185</v>
      </c>
      <c r="AA157" s="53"/>
      <c r="AB157" s="35" t="s">
        <v>80</v>
      </c>
      <c r="AD157" s="53">
        <v>4495786</v>
      </c>
      <c r="AE157" s="53"/>
      <c r="AF157" s="53">
        <v>4274757</v>
      </c>
      <c r="AG157" s="53"/>
      <c r="AH157" s="53">
        <v>80601</v>
      </c>
      <c r="AI157" s="53"/>
      <c r="AJ157" s="45">
        <f t="shared" si="26"/>
        <v>140428</v>
      </c>
      <c r="AK157" s="45"/>
      <c r="AL157" s="53">
        <v>-306324</v>
      </c>
      <c r="AM157" s="45"/>
      <c r="AN157" s="53">
        <v>0</v>
      </c>
      <c r="AO157" s="53"/>
      <c r="AP157" s="53">
        <v>0</v>
      </c>
      <c r="AQ157" s="53"/>
      <c r="AR157" s="53">
        <v>0</v>
      </c>
      <c r="AS157" s="53"/>
      <c r="AT157" s="45">
        <f t="shared" si="24"/>
        <v>-165896</v>
      </c>
      <c r="AU157" s="45"/>
      <c r="AV157" s="53">
        <v>0</v>
      </c>
      <c r="AW157" s="53"/>
      <c r="AX157" s="53">
        <v>0</v>
      </c>
      <c r="AY157" s="53"/>
      <c r="AZ157" s="53">
        <f t="shared" si="25"/>
        <v>145273</v>
      </c>
      <c r="BA157" s="51"/>
      <c r="BB157" s="35" t="s">
        <v>185</v>
      </c>
      <c r="BD157" s="35" t="s">
        <v>80</v>
      </c>
      <c r="BE157" s="53"/>
      <c r="BF157" s="53">
        <v>0</v>
      </c>
      <c r="BG157" s="53"/>
      <c r="BH157" s="53">
        <v>0</v>
      </c>
      <c r="BI157" s="53"/>
      <c r="BJ157" s="53">
        <v>1119737</v>
      </c>
      <c r="BK157" s="53"/>
      <c r="BL157" s="53">
        <v>84280</v>
      </c>
      <c r="BM157" s="53"/>
      <c r="BN157" s="53">
        <f t="shared" si="30"/>
        <v>1204017</v>
      </c>
      <c r="BO157" s="54"/>
      <c r="BP157" s="55"/>
      <c r="BS157" s="55"/>
      <c r="BT157" s="55"/>
      <c r="BU157" s="84"/>
      <c r="BV157" s="55"/>
      <c r="BW157" s="55"/>
      <c r="BX157" s="55"/>
      <c r="BY157" s="55"/>
      <c r="BZ157" s="55"/>
      <c r="CA157" s="55"/>
      <c r="CB157" s="55"/>
      <c r="CC157" s="55"/>
      <c r="CD157" s="55"/>
      <c r="CE157" s="55"/>
      <c r="CF157" s="55"/>
      <c r="CG157" s="55"/>
      <c r="CH157" s="55"/>
      <c r="CI157" s="55"/>
      <c r="CJ157" s="55"/>
      <c r="CK157" s="55"/>
      <c r="CL157" s="55"/>
      <c r="CM157" s="55"/>
      <c r="CN157" s="55"/>
      <c r="CO157" s="55"/>
      <c r="CP157" s="55"/>
      <c r="CQ157" s="55"/>
    </row>
    <row r="158" spans="1:95" s="35" customFormat="1" ht="12.75" customHeight="1">
      <c r="A158" s="35" t="s">
        <v>186</v>
      </c>
      <c r="B158" s="51"/>
      <c r="C158" s="35" t="s">
        <v>15</v>
      </c>
      <c r="D158" s="44"/>
      <c r="E158" s="53">
        <f t="shared" si="27"/>
        <v>3044100</v>
      </c>
      <c r="F158" s="53"/>
      <c r="G158" s="53">
        <v>34086836</v>
      </c>
      <c r="H158" s="53"/>
      <c r="I158" s="53">
        <v>37130936</v>
      </c>
      <c r="J158" s="53"/>
      <c r="K158" s="53">
        <f t="shared" si="28"/>
        <v>-14272118</v>
      </c>
      <c r="L158" s="53"/>
      <c r="M158" s="53">
        <v>15352739</v>
      </c>
      <c r="N158" s="53"/>
      <c r="O158" s="53">
        <v>1080621</v>
      </c>
      <c r="P158" s="53"/>
      <c r="Q158" s="53">
        <v>18091996</v>
      </c>
      <c r="R158" s="53"/>
      <c r="S158" s="53">
        <v>0</v>
      </c>
      <c r="T158" s="53"/>
      <c r="U158" s="53">
        <v>2605580</v>
      </c>
      <c r="V158" s="53"/>
      <c r="W158" s="53">
        <f t="shared" si="29"/>
        <v>20697576</v>
      </c>
      <c r="X158" s="51"/>
      <c r="Y158" s="51"/>
      <c r="Z158" s="35" t="s">
        <v>186</v>
      </c>
      <c r="AA158" s="53"/>
      <c r="AB158" s="35" t="s">
        <v>15</v>
      </c>
      <c r="AC158" s="51"/>
      <c r="AD158" s="53">
        <v>5872497</v>
      </c>
      <c r="AE158" s="53"/>
      <c r="AF158" s="53">
        <v>3192233</v>
      </c>
      <c r="AG158" s="53"/>
      <c r="AH158" s="53">
        <v>1535650</v>
      </c>
      <c r="AI158" s="53"/>
      <c r="AJ158" s="45">
        <f t="shared" si="26"/>
        <v>1144614</v>
      </c>
      <c r="AK158" s="45"/>
      <c r="AL158" s="53">
        <v>-588232</v>
      </c>
      <c r="AM158" s="45"/>
      <c r="AN158" s="53">
        <v>0</v>
      </c>
      <c r="AO158" s="53"/>
      <c r="AP158" s="53">
        <v>-34160</v>
      </c>
      <c r="AQ158" s="53"/>
      <c r="AR158" s="53">
        <v>603848</v>
      </c>
      <c r="AS158" s="53"/>
      <c r="AT158" s="45">
        <f t="shared" si="24"/>
        <v>1194390</v>
      </c>
      <c r="AU158" s="45"/>
      <c r="AV158" s="53">
        <v>0</v>
      </c>
      <c r="AW158" s="53"/>
      <c r="AX158" s="53">
        <v>0</v>
      </c>
      <c r="AY158" s="53"/>
      <c r="AZ158" s="53">
        <f t="shared" si="25"/>
        <v>17316218</v>
      </c>
      <c r="BA158" s="51"/>
      <c r="BB158" s="35" t="s">
        <v>186</v>
      </c>
      <c r="BD158" s="35" t="s">
        <v>15</v>
      </c>
      <c r="BE158" s="53"/>
      <c r="BF158" s="53">
        <v>0</v>
      </c>
      <c r="BG158" s="53"/>
      <c r="BH158" s="53">
        <v>0</v>
      </c>
      <c r="BI158" s="53"/>
      <c r="BJ158" s="53">
        <v>11207739</v>
      </c>
      <c r="BK158" s="53"/>
      <c r="BL158" s="53">
        <v>4145000</v>
      </c>
      <c r="BM158" s="53"/>
      <c r="BN158" s="53">
        <f t="shared" si="30"/>
        <v>15352739</v>
      </c>
      <c r="BO158" s="54"/>
      <c r="BS158" s="55"/>
      <c r="BT158" s="55"/>
      <c r="BU158" s="84"/>
      <c r="BV158" s="55"/>
      <c r="BW158" s="55"/>
      <c r="BX158" s="55"/>
      <c r="BY158" s="55"/>
      <c r="BZ158" s="55"/>
      <c r="CA158" s="55"/>
      <c r="CB158" s="55"/>
      <c r="CC158" s="55"/>
      <c r="CD158" s="55"/>
      <c r="CE158" s="55"/>
      <c r="CF158" s="55"/>
      <c r="CG158" s="55"/>
      <c r="CH158" s="55"/>
      <c r="CI158" s="55"/>
      <c r="CJ158" s="55"/>
      <c r="CK158" s="55"/>
      <c r="CL158" s="55"/>
      <c r="CM158" s="55"/>
      <c r="CN158" s="55"/>
      <c r="CO158" s="55"/>
      <c r="CP158" s="55"/>
      <c r="CQ158" s="55"/>
    </row>
    <row r="159" spans="1:95" s="142" customFormat="1" ht="12.75" hidden="1" customHeight="1">
      <c r="A159" s="142" t="s">
        <v>187</v>
      </c>
      <c r="B159" s="140"/>
      <c r="C159" s="142" t="s">
        <v>27</v>
      </c>
      <c r="D159" s="137"/>
      <c r="E159" s="153">
        <f t="shared" si="27"/>
        <v>0</v>
      </c>
      <c r="F159" s="153"/>
      <c r="G159" s="153">
        <v>0</v>
      </c>
      <c r="H159" s="153"/>
      <c r="I159" s="153">
        <v>0</v>
      </c>
      <c r="J159" s="153"/>
      <c r="K159" s="153">
        <f t="shared" si="28"/>
        <v>0</v>
      </c>
      <c r="L159" s="153"/>
      <c r="M159" s="153">
        <v>0</v>
      </c>
      <c r="N159" s="153"/>
      <c r="O159" s="153">
        <v>0</v>
      </c>
      <c r="P159" s="153"/>
      <c r="Q159" s="153">
        <v>0</v>
      </c>
      <c r="R159" s="153"/>
      <c r="S159" s="153">
        <v>0</v>
      </c>
      <c r="T159" s="153"/>
      <c r="U159" s="153">
        <v>0</v>
      </c>
      <c r="V159" s="153"/>
      <c r="W159" s="153">
        <f t="shared" si="29"/>
        <v>0</v>
      </c>
      <c r="X159" s="140"/>
      <c r="Y159" s="140"/>
      <c r="Z159" s="142" t="s">
        <v>187</v>
      </c>
      <c r="AA159" s="156"/>
      <c r="AB159" s="142" t="s">
        <v>27</v>
      </c>
      <c r="AC159" s="140"/>
      <c r="AD159" s="153">
        <v>0</v>
      </c>
      <c r="AE159" s="153"/>
      <c r="AF159" s="153">
        <v>0</v>
      </c>
      <c r="AG159" s="153"/>
      <c r="AH159" s="153">
        <v>0</v>
      </c>
      <c r="AI159" s="153"/>
      <c r="AJ159" s="144">
        <f t="shared" si="26"/>
        <v>0</v>
      </c>
      <c r="AK159" s="144"/>
      <c r="AL159" s="153">
        <v>0</v>
      </c>
      <c r="AM159" s="144"/>
      <c r="AN159" s="153">
        <v>0</v>
      </c>
      <c r="AO159" s="153"/>
      <c r="AP159" s="153">
        <v>0</v>
      </c>
      <c r="AQ159" s="153"/>
      <c r="AR159" s="153">
        <v>0</v>
      </c>
      <c r="AS159" s="153"/>
      <c r="AT159" s="144">
        <f t="shared" si="24"/>
        <v>0</v>
      </c>
      <c r="AU159" s="144"/>
      <c r="AV159" s="153">
        <v>0</v>
      </c>
      <c r="AW159" s="153"/>
      <c r="AX159" s="153">
        <v>0</v>
      </c>
      <c r="AY159" s="153"/>
      <c r="AZ159" s="153">
        <f t="shared" si="25"/>
        <v>0</v>
      </c>
      <c r="BA159" s="140"/>
      <c r="BB159" s="142" t="s">
        <v>187</v>
      </c>
      <c r="BD159" s="142" t="s">
        <v>27</v>
      </c>
      <c r="BE159" s="156"/>
      <c r="BF159" s="153">
        <v>0</v>
      </c>
      <c r="BG159" s="153"/>
      <c r="BH159" s="153">
        <v>0</v>
      </c>
      <c r="BI159" s="153"/>
      <c r="BJ159" s="153">
        <v>0</v>
      </c>
      <c r="BK159" s="153"/>
      <c r="BL159" s="153">
        <v>0</v>
      </c>
      <c r="BM159" s="153"/>
      <c r="BN159" s="153">
        <f t="shared" si="30"/>
        <v>0</v>
      </c>
      <c r="BO159" s="158"/>
      <c r="BS159" s="159"/>
      <c r="BT159" s="159"/>
      <c r="BU159" s="160"/>
      <c r="BV159" s="159"/>
      <c r="BW159" s="159"/>
      <c r="BX159" s="159"/>
      <c r="BY159" s="159"/>
      <c r="BZ159" s="159"/>
      <c r="CA159" s="159"/>
      <c r="CB159" s="159"/>
      <c r="CC159" s="159"/>
      <c r="CD159" s="159"/>
      <c r="CE159" s="159"/>
      <c r="CF159" s="159"/>
      <c r="CG159" s="159"/>
      <c r="CH159" s="159"/>
      <c r="CI159" s="159"/>
      <c r="CJ159" s="159"/>
      <c r="CK159" s="159"/>
      <c r="CL159" s="159"/>
      <c r="CM159" s="159"/>
      <c r="CN159" s="159"/>
      <c r="CO159" s="159"/>
      <c r="CP159" s="159"/>
      <c r="CQ159" s="159"/>
    </row>
    <row r="160" spans="1:95" s="35" customFormat="1" ht="12.75" customHeight="1">
      <c r="A160" s="44" t="s">
        <v>189</v>
      </c>
      <c r="B160" s="51"/>
      <c r="C160" s="44" t="s">
        <v>17</v>
      </c>
      <c r="D160" s="44"/>
      <c r="E160" s="53">
        <f t="shared" si="27"/>
        <v>4220945</v>
      </c>
      <c r="F160" s="53"/>
      <c r="G160" s="53">
        <v>18345165</v>
      </c>
      <c r="H160" s="53"/>
      <c r="I160" s="53">
        <v>22566110</v>
      </c>
      <c r="J160" s="53"/>
      <c r="K160" s="53">
        <f t="shared" si="28"/>
        <v>1530925</v>
      </c>
      <c r="L160" s="53"/>
      <c r="M160" s="53">
        <v>2943877</v>
      </c>
      <c r="N160" s="53"/>
      <c r="O160" s="53">
        <v>4474802</v>
      </c>
      <c r="P160" s="53"/>
      <c r="Q160" s="53">
        <v>14130020</v>
      </c>
      <c r="R160" s="53"/>
      <c r="S160" s="53">
        <v>0</v>
      </c>
      <c r="T160" s="53"/>
      <c r="U160" s="53">
        <v>3961288</v>
      </c>
      <c r="V160" s="53"/>
      <c r="W160" s="53">
        <f t="shared" si="29"/>
        <v>18091308</v>
      </c>
      <c r="X160" s="51"/>
      <c r="Y160" s="51"/>
      <c r="Z160" s="44" t="s">
        <v>189</v>
      </c>
      <c r="AA160" s="53"/>
      <c r="AB160" s="44" t="s">
        <v>17</v>
      </c>
      <c r="AC160" s="51"/>
      <c r="AD160" s="53">
        <v>2851335</v>
      </c>
      <c r="AE160" s="53"/>
      <c r="AF160" s="53">
        <v>2527456</v>
      </c>
      <c r="AG160" s="53"/>
      <c r="AH160" s="53">
        <v>501245</v>
      </c>
      <c r="AI160" s="53"/>
      <c r="AJ160" s="45">
        <f t="shared" si="26"/>
        <v>-177366</v>
      </c>
      <c r="AK160" s="45"/>
      <c r="AL160" s="53">
        <v>30554</v>
      </c>
      <c r="AM160" s="45"/>
      <c r="AN160" s="53">
        <v>0</v>
      </c>
      <c r="AO160" s="53"/>
      <c r="AP160" s="53">
        <v>0</v>
      </c>
      <c r="AQ160" s="53"/>
      <c r="AR160" s="53">
        <v>953176</v>
      </c>
      <c r="AS160" s="53"/>
      <c r="AT160" s="45">
        <f t="shared" si="24"/>
        <v>806364</v>
      </c>
      <c r="AU160" s="45"/>
      <c r="AV160" s="53">
        <v>0</v>
      </c>
      <c r="AW160" s="53"/>
      <c r="AX160" s="53">
        <v>0</v>
      </c>
      <c r="AY160" s="53"/>
      <c r="AZ160" s="53">
        <f t="shared" si="25"/>
        <v>2690020</v>
      </c>
      <c r="BA160" s="51"/>
      <c r="BB160" s="44" t="s">
        <v>189</v>
      </c>
      <c r="BD160" s="44" t="s">
        <v>17</v>
      </c>
      <c r="BE160" s="53"/>
      <c r="BF160" s="53">
        <v>620000</v>
      </c>
      <c r="BG160" s="53"/>
      <c r="BH160" s="53">
        <v>0</v>
      </c>
      <c r="BI160" s="53"/>
      <c r="BJ160" s="53">
        <v>2161777</v>
      </c>
      <c r="BK160" s="53"/>
      <c r="BL160" s="53">
        <v>162100</v>
      </c>
      <c r="BM160" s="53"/>
      <c r="BN160" s="53">
        <f t="shared" si="30"/>
        <v>2943877</v>
      </c>
      <c r="BO160" s="54"/>
      <c r="BS160" s="55"/>
      <c r="BT160" s="55"/>
      <c r="BU160" s="84"/>
      <c r="BV160" s="55"/>
      <c r="BW160" s="55"/>
      <c r="BX160" s="55"/>
      <c r="BY160" s="55"/>
      <c r="BZ160" s="55"/>
      <c r="CA160" s="55"/>
      <c r="CB160" s="55"/>
      <c r="CC160" s="55"/>
      <c r="CD160" s="55"/>
      <c r="CE160" s="55"/>
      <c r="CF160" s="55"/>
      <c r="CG160" s="55"/>
      <c r="CH160" s="55"/>
      <c r="CI160" s="55"/>
      <c r="CJ160" s="55"/>
      <c r="CK160" s="55"/>
      <c r="CL160" s="55"/>
      <c r="CM160" s="55"/>
      <c r="CN160" s="55"/>
      <c r="CO160" s="55"/>
      <c r="CP160" s="55"/>
      <c r="CQ160" s="55"/>
    </row>
    <row r="161" spans="1:95" s="35" customFormat="1" ht="12.75" customHeight="1">
      <c r="A161" s="35" t="s">
        <v>188</v>
      </c>
      <c r="B161" s="51"/>
      <c r="C161" s="35" t="s">
        <v>27</v>
      </c>
      <c r="D161" s="44"/>
      <c r="E161" s="53">
        <f t="shared" si="27"/>
        <v>1499966</v>
      </c>
      <c r="F161" s="53"/>
      <c r="G161" s="53">
        <v>9112160</v>
      </c>
      <c r="H161" s="53"/>
      <c r="I161" s="53">
        <v>10612126</v>
      </c>
      <c r="J161" s="53"/>
      <c r="K161" s="53">
        <f t="shared" si="28"/>
        <v>460216</v>
      </c>
      <c r="L161" s="53"/>
      <c r="M161" s="53">
        <v>2466516</v>
      </c>
      <c r="N161" s="53"/>
      <c r="O161" s="53">
        <v>2926732</v>
      </c>
      <c r="P161" s="53"/>
      <c r="Q161" s="53">
        <v>6248710</v>
      </c>
      <c r="R161" s="53"/>
      <c r="S161" s="53">
        <v>0</v>
      </c>
      <c r="T161" s="53"/>
      <c r="U161" s="53">
        <v>1436684</v>
      </c>
      <c r="V161" s="53"/>
      <c r="W161" s="53">
        <f t="shared" si="29"/>
        <v>7685394</v>
      </c>
      <c r="X161" s="51"/>
      <c r="Y161" s="51"/>
      <c r="Z161" s="35" t="s">
        <v>188</v>
      </c>
      <c r="AA161" s="53"/>
      <c r="AB161" s="35" t="s">
        <v>27</v>
      </c>
      <c r="AC161" s="51"/>
      <c r="AD161" s="53">
        <v>2768875</v>
      </c>
      <c r="AE161" s="53"/>
      <c r="AF161" s="53">
        <v>1560962</v>
      </c>
      <c r="AG161" s="53"/>
      <c r="AH161" s="53">
        <v>487141</v>
      </c>
      <c r="AI161" s="53"/>
      <c r="AJ161" s="45">
        <f t="shared" si="26"/>
        <v>720772</v>
      </c>
      <c r="AK161" s="45"/>
      <c r="AL161" s="53">
        <v>-197388</v>
      </c>
      <c r="AM161" s="45"/>
      <c r="AN161" s="53">
        <v>0</v>
      </c>
      <c r="AO161" s="53"/>
      <c r="AP161" s="53">
        <v>0</v>
      </c>
      <c r="AQ161" s="53"/>
      <c r="AR161" s="53">
        <v>319725</v>
      </c>
      <c r="AS161" s="53"/>
      <c r="AT161" s="45">
        <f t="shared" si="24"/>
        <v>843109</v>
      </c>
      <c r="AU161" s="45"/>
      <c r="AV161" s="53">
        <v>0</v>
      </c>
      <c r="AW161" s="53"/>
      <c r="AX161" s="53">
        <v>0</v>
      </c>
      <c r="AY161" s="53"/>
      <c r="AZ161" s="53">
        <f t="shared" si="25"/>
        <v>1039750</v>
      </c>
      <c r="BA161" s="51"/>
      <c r="BB161" s="35" t="s">
        <v>188</v>
      </c>
      <c r="BD161" s="35" t="s">
        <v>27</v>
      </c>
      <c r="BE161" s="53"/>
      <c r="BF161" s="53">
        <v>0</v>
      </c>
      <c r="BG161" s="53"/>
      <c r="BH161" s="53">
        <v>0</v>
      </c>
      <c r="BI161" s="53"/>
      <c r="BJ161" s="53">
        <f>598144+14809315</f>
        <v>15407459</v>
      </c>
      <c r="BK161" s="53"/>
      <c r="BL161" s="53">
        <v>224635</v>
      </c>
      <c r="BM161" s="53"/>
      <c r="BN161" s="53">
        <f t="shared" si="30"/>
        <v>15632094</v>
      </c>
      <c r="BO161" s="54"/>
      <c r="BS161" s="55"/>
      <c r="BT161" s="55"/>
      <c r="BU161" s="84"/>
      <c r="BV161" s="55"/>
      <c r="BW161" s="55"/>
      <c r="BX161" s="55"/>
      <c r="BY161" s="55"/>
      <c r="BZ161" s="55"/>
      <c r="CA161" s="55"/>
      <c r="CB161" s="55"/>
      <c r="CC161" s="55"/>
      <c r="CD161" s="55"/>
      <c r="CE161" s="55"/>
      <c r="CF161" s="55"/>
      <c r="CG161" s="55"/>
      <c r="CH161" s="55"/>
      <c r="CI161" s="55"/>
      <c r="CJ161" s="55"/>
      <c r="CK161" s="55"/>
      <c r="CL161" s="55"/>
      <c r="CM161" s="55"/>
      <c r="CN161" s="55"/>
      <c r="CO161" s="55"/>
      <c r="CP161" s="55"/>
      <c r="CQ161" s="55"/>
    </row>
    <row r="162" spans="1:95" s="142" customFormat="1" ht="12.75" hidden="1" customHeight="1">
      <c r="A162" s="142" t="s">
        <v>190</v>
      </c>
      <c r="B162" s="140"/>
      <c r="C162" s="142" t="s">
        <v>47</v>
      </c>
      <c r="D162" s="137"/>
      <c r="E162" s="156">
        <f t="shared" si="27"/>
        <v>0</v>
      </c>
      <c r="F162" s="156"/>
      <c r="G162" s="156">
        <v>0</v>
      </c>
      <c r="H162" s="156"/>
      <c r="I162" s="156">
        <v>0</v>
      </c>
      <c r="J162" s="156"/>
      <c r="K162" s="156">
        <f t="shared" si="28"/>
        <v>0</v>
      </c>
      <c r="L162" s="156"/>
      <c r="M162" s="156">
        <v>0</v>
      </c>
      <c r="N162" s="156"/>
      <c r="O162" s="156">
        <v>0</v>
      </c>
      <c r="P162" s="156"/>
      <c r="Q162" s="156">
        <v>0</v>
      </c>
      <c r="R162" s="156"/>
      <c r="S162" s="156">
        <v>0</v>
      </c>
      <c r="T162" s="156"/>
      <c r="U162" s="156">
        <v>0</v>
      </c>
      <c r="V162" s="156"/>
      <c r="W162" s="156">
        <f t="shared" si="29"/>
        <v>0</v>
      </c>
      <c r="X162" s="140"/>
      <c r="Y162" s="140"/>
      <c r="Z162" s="142" t="s">
        <v>190</v>
      </c>
      <c r="AA162" s="156"/>
      <c r="AB162" s="142" t="s">
        <v>47</v>
      </c>
      <c r="AC162" s="140"/>
      <c r="AD162" s="156">
        <v>0</v>
      </c>
      <c r="AE162" s="156"/>
      <c r="AF162" s="156">
        <v>0</v>
      </c>
      <c r="AG162" s="156"/>
      <c r="AH162" s="156">
        <v>0</v>
      </c>
      <c r="AI162" s="156"/>
      <c r="AJ162" s="143">
        <f t="shared" si="26"/>
        <v>0</v>
      </c>
      <c r="AK162" s="143"/>
      <c r="AL162" s="156">
        <v>0</v>
      </c>
      <c r="AM162" s="143"/>
      <c r="AN162" s="156">
        <v>0</v>
      </c>
      <c r="AO162" s="156"/>
      <c r="AP162" s="156">
        <v>0</v>
      </c>
      <c r="AQ162" s="156"/>
      <c r="AR162" s="156">
        <v>0</v>
      </c>
      <c r="AS162" s="156"/>
      <c r="AT162" s="143">
        <f t="shared" ref="AT162:AT177" si="31">+AJ162+AL162+AN162-AP162+AR162</f>
        <v>0</v>
      </c>
      <c r="AU162" s="143"/>
      <c r="AV162" s="156">
        <v>0</v>
      </c>
      <c r="AW162" s="156"/>
      <c r="AX162" s="156">
        <v>0</v>
      </c>
      <c r="AY162" s="156"/>
      <c r="AZ162" s="156">
        <f t="shared" ref="AZ162:AZ177" si="32">E162-K162</f>
        <v>0</v>
      </c>
      <c r="BA162" s="140"/>
      <c r="BB162" s="142" t="s">
        <v>190</v>
      </c>
      <c r="BD162" s="142" t="s">
        <v>47</v>
      </c>
      <c r="BE162" s="156"/>
      <c r="BF162" s="156">
        <v>0</v>
      </c>
      <c r="BG162" s="156"/>
      <c r="BH162" s="156">
        <v>0</v>
      </c>
      <c r="BI162" s="156"/>
      <c r="BJ162" s="156">
        <v>0</v>
      </c>
      <c r="BK162" s="156"/>
      <c r="BL162" s="156">
        <v>0</v>
      </c>
      <c r="BM162" s="156"/>
      <c r="BN162" s="156">
        <f t="shared" si="30"/>
        <v>0</v>
      </c>
      <c r="BO162" s="158"/>
      <c r="BS162" s="159"/>
      <c r="BT162" s="159"/>
      <c r="BU162" s="160"/>
      <c r="BV162" s="159"/>
      <c r="BW162" s="159"/>
      <c r="BX162" s="159"/>
      <c r="BY162" s="159"/>
      <c r="BZ162" s="159"/>
      <c r="CA162" s="159"/>
      <c r="CB162" s="159"/>
      <c r="CC162" s="159"/>
      <c r="CD162" s="159"/>
      <c r="CE162" s="159"/>
      <c r="CF162" s="159"/>
      <c r="CG162" s="159"/>
      <c r="CH162" s="159"/>
      <c r="CI162" s="159"/>
      <c r="CJ162" s="159"/>
      <c r="CK162" s="159"/>
      <c r="CL162" s="159"/>
      <c r="CM162" s="159"/>
      <c r="CN162" s="159"/>
      <c r="CO162" s="159"/>
      <c r="CP162" s="159"/>
      <c r="CQ162" s="159"/>
    </row>
    <row r="163" spans="1:95" s="142" customFormat="1" ht="12.75" hidden="1" customHeight="1">
      <c r="A163" s="142" t="s">
        <v>191</v>
      </c>
      <c r="B163" s="140"/>
      <c r="C163" s="142" t="s">
        <v>13</v>
      </c>
      <c r="D163" s="137"/>
      <c r="E163" s="156">
        <f t="shared" si="27"/>
        <v>0</v>
      </c>
      <c r="F163" s="156"/>
      <c r="G163" s="156">
        <v>0</v>
      </c>
      <c r="H163" s="156"/>
      <c r="I163" s="156">
        <v>0</v>
      </c>
      <c r="J163" s="156"/>
      <c r="K163" s="156">
        <f t="shared" si="28"/>
        <v>0</v>
      </c>
      <c r="L163" s="156"/>
      <c r="M163" s="156">
        <v>0</v>
      </c>
      <c r="N163" s="156"/>
      <c r="O163" s="156">
        <v>0</v>
      </c>
      <c r="P163" s="156"/>
      <c r="Q163" s="156">
        <v>0</v>
      </c>
      <c r="R163" s="156"/>
      <c r="S163" s="156">
        <v>0</v>
      </c>
      <c r="T163" s="156"/>
      <c r="U163" s="156">
        <v>0</v>
      </c>
      <c r="V163" s="156"/>
      <c r="W163" s="156">
        <f t="shared" si="29"/>
        <v>0</v>
      </c>
      <c r="X163" s="140"/>
      <c r="Y163" s="140"/>
      <c r="Z163" s="142" t="s">
        <v>191</v>
      </c>
      <c r="AA163" s="156"/>
      <c r="AB163" s="142" t="s">
        <v>13</v>
      </c>
      <c r="AC163" s="140"/>
      <c r="AD163" s="156">
        <v>0</v>
      </c>
      <c r="AE163" s="156"/>
      <c r="AF163" s="156">
        <v>0</v>
      </c>
      <c r="AG163" s="156"/>
      <c r="AH163" s="156">
        <v>0</v>
      </c>
      <c r="AI163" s="156"/>
      <c r="AJ163" s="143">
        <f t="shared" si="26"/>
        <v>0</v>
      </c>
      <c r="AK163" s="143"/>
      <c r="AL163" s="156">
        <v>0</v>
      </c>
      <c r="AM163" s="143"/>
      <c r="AN163" s="156">
        <v>0</v>
      </c>
      <c r="AO163" s="156"/>
      <c r="AP163" s="156">
        <v>0</v>
      </c>
      <c r="AQ163" s="156"/>
      <c r="AR163" s="156">
        <v>0</v>
      </c>
      <c r="AS163" s="156"/>
      <c r="AT163" s="143">
        <f t="shared" si="31"/>
        <v>0</v>
      </c>
      <c r="AU163" s="143"/>
      <c r="AV163" s="156">
        <v>0</v>
      </c>
      <c r="AW163" s="156"/>
      <c r="AX163" s="156">
        <v>0</v>
      </c>
      <c r="AY163" s="156"/>
      <c r="AZ163" s="156">
        <f t="shared" si="32"/>
        <v>0</v>
      </c>
      <c r="BA163" s="140"/>
      <c r="BB163" s="142" t="s">
        <v>191</v>
      </c>
      <c r="BD163" s="142" t="s">
        <v>13</v>
      </c>
      <c r="BE163" s="156"/>
      <c r="BF163" s="156">
        <v>0</v>
      </c>
      <c r="BG163" s="156"/>
      <c r="BH163" s="156">
        <v>0</v>
      </c>
      <c r="BI163" s="156"/>
      <c r="BJ163" s="156">
        <v>0</v>
      </c>
      <c r="BK163" s="156"/>
      <c r="BL163" s="156">
        <v>0</v>
      </c>
      <c r="BM163" s="156"/>
      <c r="BN163" s="156">
        <f t="shared" si="30"/>
        <v>0</v>
      </c>
      <c r="BO163" s="158"/>
      <c r="BS163" s="159"/>
      <c r="BT163" s="159"/>
      <c r="BU163" s="160"/>
      <c r="BV163" s="159"/>
      <c r="BW163" s="159"/>
      <c r="BX163" s="159"/>
      <c r="BY163" s="159"/>
      <c r="BZ163" s="159"/>
      <c r="CA163" s="159"/>
      <c r="CB163" s="159"/>
      <c r="CC163" s="159"/>
      <c r="CD163" s="159"/>
      <c r="CE163" s="159"/>
      <c r="CF163" s="159"/>
      <c r="CG163" s="159"/>
      <c r="CH163" s="159"/>
      <c r="CI163" s="159"/>
      <c r="CJ163" s="159"/>
      <c r="CK163" s="159"/>
      <c r="CL163" s="159"/>
      <c r="CM163" s="159"/>
      <c r="CN163" s="159"/>
      <c r="CO163" s="159"/>
      <c r="CP163" s="159"/>
      <c r="CQ163" s="159"/>
    </row>
    <row r="164" spans="1:95" s="142" customFormat="1" ht="12.75" hidden="1" customHeight="1">
      <c r="A164" s="142" t="s">
        <v>192</v>
      </c>
      <c r="C164" s="142" t="s">
        <v>38</v>
      </c>
      <c r="D164" s="137"/>
      <c r="E164" s="156">
        <f t="shared" si="27"/>
        <v>0</v>
      </c>
      <c r="F164" s="156"/>
      <c r="G164" s="156">
        <v>0</v>
      </c>
      <c r="H164" s="156"/>
      <c r="I164" s="156">
        <v>0</v>
      </c>
      <c r="J164" s="156"/>
      <c r="K164" s="156">
        <f t="shared" si="28"/>
        <v>0</v>
      </c>
      <c r="L164" s="156"/>
      <c r="M164" s="156">
        <v>0</v>
      </c>
      <c r="N164" s="156"/>
      <c r="O164" s="156">
        <v>0</v>
      </c>
      <c r="P164" s="156"/>
      <c r="Q164" s="156">
        <v>0</v>
      </c>
      <c r="R164" s="156"/>
      <c r="S164" s="156">
        <v>0</v>
      </c>
      <c r="T164" s="156"/>
      <c r="U164" s="156">
        <v>0</v>
      </c>
      <c r="V164" s="156"/>
      <c r="W164" s="156">
        <f t="shared" si="29"/>
        <v>0</v>
      </c>
      <c r="X164" s="140"/>
      <c r="Y164" s="140"/>
      <c r="Z164" s="142" t="s">
        <v>192</v>
      </c>
      <c r="AA164" s="156"/>
      <c r="AB164" s="142" t="s">
        <v>38</v>
      </c>
      <c r="AD164" s="156">
        <v>0</v>
      </c>
      <c r="AE164" s="156"/>
      <c r="AF164" s="156">
        <v>0</v>
      </c>
      <c r="AG164" s="156"/>
      <c r="AH164" s="156">
        <v>0</v>
      </c>
      <c r="AI164" s="156"/>
      <c r="AJ164" s="143">
        <f t="shared" si="26"/>
        <v>0</v>
      </c>
      <c r="AK164" s="143"/>
      <c r="AL164" s="156">
        <v>0</v>
      </c>
      <c r="AM164" s="143"/>
      <c r="AN164" s="156">
        <v>0</v>
      </c>
      <c r="AO164" s="156"/>
      <c r="AP164" s="156">
        <v>0</v>
      </c>
      <c r="AQ164" s="156"/>
      <c r="AR164" s="156">
        <v>0</v>
      </c>
      <c r="AS164" s="156"/>
      <c r="AT164" s="143">
        <f t="shared" si="31"/>
        <v>0</v>
      </c>
      <c r="AU164" s="143"/>
      <c r="AV164" s="156">
        <v>0</v>
      </c>
      <c r="AW164" s="156"/>
      <c r="AX164" s="156">
        <v>0</v>
      </c>
      <c r="AY164" s="156"/>
      <c r="AZ164" s="156">
        <f t="shared" si="32"/>
        <v>0</v>
      </c>
      <c r="BA164" s="140"/>
      <c r="BB164" s="142" t="s">
        <v>192</v>
      </c>
      <c r="BD164" s="142" t="s">
        <v>38</v>
      </c>
      <c r="BE164" s="156"/>
      <c r="BF164" s="156">
        <v>0</v>
      </c>
      <c r="BG164" s="156"/>
      <c r="BH164" s="156">
        <v>0</v>
      </c>
      <c r="BI164" s="156"/>
      <c r="BJ164" s="156">
        <v>0</v>
      </c>
      <c r="BK164" s="156"/>
      <c r="BL164" s="156">
        <v>0</v>
      </c>
      <c r="BM164" s="156"/>
      <c r="BN164" s="156">
        <f t="shared" si="30"/>
        <v>0</v>
      </c>
      <c r="BO164" s="158"/>
      <c r="BS164" s="159"/>
      <c r="BT164" s="159"/>
      <c r="BU164" s="160"/>
      <c r="BV164" s="159"/>
      <c r="BW164" s="159"/>
      <c r="BX164" s="159"/>
      <c r="BY164" s="159"/>
      <c r="BZ164" s="159"/>
      <c r="CA164" s="159"/>
      <c r="CB164" s="159"/>
      <c r="CC164" s="159"/>
      <c r="CD164" s="159"/>
      <c r="CE164" s="159"/>
      <c r="CF164" s="159"/>
      <c r="CG164" s="159"/>
      <c r="CH164" s="159"/>
      <c r="CI164" s="159"/>
      <c r="CJ164" s="159"/>
      <c r="CK164" s="159"/>
      <c r="CL164" s="159"/>
      <c r="CM164" s="159"/>
      <c r="CN164" s="159"/>
      <c r="CO164" s="159"/>
      <c r="CP164" s="159"/>
      <c r="CQ164" s="159"/>
    </row>
    <row r="165" spans="1:95" s="142" customFormat="1" ht="12.75" hidden="1" customHeight="1">
      <c r="A165" s="142" t="s">
        <v>193</v>
      </c>
      <c r="B165" s="140"/>
      <c r="C165" s="142" t="s">
        <v>45</v>
      </c>
      <c r="D165" s="137"/>
      <c r="E165" s="156">
        <f t="shared" si="27"/>
        <v>0</v>
      </c>
      <c r="F165" s="156"/>
      <c r="G165" s="156"/>
      <c r="H165" s="156"/>
      <c r="I165" s="156"/>
      <c r="J165" s="156"/>
      <c r="K165" s="156">
        <f t="shared" si="28"/>
        <v>0</v>
      </c>
      <c r="L165" s="156"/>
      <c r="M165" s="156"/>
      <c r="N165" s="156"/>
      <c r="O165" s="156"/>
      <c r="P165" s="156"/>
      <c r="Q165" s="156"/>
      <c r="R165" s="156"/>
      <c r="S165" s="156"/>
      <c r="T165" s="156"/>
      <c r="U165" s="156"/>
      <c r="V165" s="156"/>
      <c r="W165" s="156">
        <f t="shared" si="29"/>
        <v>0</v>
      </c>
      <c r="X165" s="140"/>
      <c r="Y165" s="140"/>
      <c r="Z165" s="142" t="s">
        <v>193</v>
      </c>
      <c r="AA165" s="156"/>
      <c r="AB165" s="142" t="s">
        <v>45</v>
      </c>
      <c r="AC165" s="140"/>
      <c r="AD165" s="156"/>
      <c r="AE165" s="156"/>
      <c r="AF165" s="156"/>
      <c r="AG165" s="156"/>
      <c r="AH165" s="156"/>
      <c r="AI165" s="156"/>
      <c r="AJ165" s="143">
        <f t="shared" si="26"/>
        <v>0</v>
      </c>
      <c r="AK165" s="143"/>
      <c r="AL165" s="156"/>
      <c r="AM165" s="143"/>
      <c r="AN165" s="156"/>
      <c r="AO165" s="156"/>
      <c r="AP165" s="156"/>
      <c r="AQ165" s="156"/>
      <c r="AR165" s="156"/>
      <c r="AS165" s="156"/>
      <c r="AT165" s="143">
        <f t="shared" si="31"/>
        <v>0</v>
      </c>
      <c r="AU165" s="143"/>
      <c r="AV165" s="156">
        <v>0</v>
      </c>
      <c r="AW165" s="156"/>
      <c r="AX165" s="156">
        <v>0</v>
      </c>
      <c r="AY165" s="156"/>
      <c r="AZ165" s="156">
        <f t="shared" si="32"/>
        <v>0</v>
      </c>
      <c r="BA165" s="140"/>
      <c r="BB165" s="142" t="s">
        <v>193</v>
      </c>
      <c r="BD165" s="142" t="s">
        <v>45</v>
      </c>
      <c r="BE165" s="156"/>
      <c r="BF165" s="156"/>
      <c r="BG165" s="156"/>
      <c r="BH165" s="156"/>
      <c r="BI165" s="156"/>
      <c r="BJ165" s="156"/>
      <c r="BK165" s="156"/>
      <c r="BL165" s="156"/>
      <c r="BM165" s="156"/>
      <c r="BN165" s="156">
        <f t="shared" si="30"/>
        <v>0</v>
      </c>
      <c r="BO165" s="158"/>
      <c r="BS165" s="159"/>
      <c r="BT165" s="159"/>
      <c r="BU165" s="160"/>
      <c r="BV165" s="159"/>
      <c r="BW165" s="159"/>
      <c r="BX165" s="159"/>
      <c r="BY165" s="159"/>
      <c r="BZ165" s="159"/>
      <c r="CA165" s="159"/>
      <c r="CB165" s="159"/>
      <c r="CC165" s="159"/>
      <c r="CD165" s="159"/>
      <c r="CE165" s="159"/>
      <c r="CF165" s="159"/>
      <c r="CG165" s="159"/>
      <c r="CH165" s="159"/>
      <c r="CI165" s="159"/>
      <c r="CJ165" s="159"/>
      <c r="CK165" s="159"/>
      <c r="CL165" s="159"/>
      <c r="CM165" s="159"/>
      <c r="CN165" s="159"/>
      <c r="CO165" s="159"/>
      <c r="CP165" s="159"/>
      <c r="CQ165" s="159"/>
    </row>
    <row r="166" spans="1:95" s="35" customFormat="1" ht="12.75" customHeight="1">
      <c r="A166" s="35" t="s">
        <v>194</v>
      </c>
      <c r="B166" s="51"/>
      <c r="C166" s="35" t="s">
        <v>66</v>
      </c>
      <c r="D166" s="44"/>
      <c r="E166" s="53">
        <v>1400033</v>
      </c>
      <c r="F166" s="53"/>
      <c r="G166" s="53">
        <v>1576354</v>
      </c>
      <c r="H166" s="53"/>
      <c r="I166" s="53">
        <v>2976387</v>
      </c>
      <c r="J166" s="53"/>
      <c r="K166" s="53">
        <v>42103</v>
      </c>
      <c r="L166" s="53"/>
      <c r="M166" s="53">
        <v>26949</v>
      </c>
      <c r="N166" s="53"/>
      <c r="O166" s="53">
        <v>69052</v>
      </c>
      <c r="P166" s="53"/>
      <c r="Q166" s="53">
        <v>1576354</v>
      </c>
      <c r="R166" s="53"/>
      <c r="S166" s="53">
        <v>0</v>
      </c>
      <c r="T166" s="53"/>
      <c r="U166" s="53">
        <v>1330981</v>
      </c>
      <c r="V166" s="53"/>
      <c r="W166" s="53">
        <f t="shared" si="29"/>
        <v>2907335</v>
      </c>
      <c r="X166" s="51"/>
      <c r="Y166" s="51"/>
      <c r="Z166" s="35" t="s">
        <v>194</v>
      </c>
      <c r="AA166" s="53"/>
      <c r="AB166" s="35" t="s">
        <v>66</v>
      </c>
      <c r="AC166" s="51"/>
      <c r="AD166" s="53">
        <v>1029163</v>
      </c>
      <c r="AE166" s="53"/>
      <c r="AF166" s="53">
        <v>861716</v>
      </c>
      <c r="AG166" s="53"/>
      <c r="AH166" s="53">
        <v>167312</v>
      </c>
      <c r="AI166" s="53"/>
      <c r="AJ166" s="45">
        <f t="shared" si="26"/>
        <v>135</v>
      </c>
      <c r="AK166" s="45"/>
      <c r="AL166" s="53">
        <v>82601</v>
      </c>
      <c r="AM166" s="45"/>
      <c r="AN166" s="53">
        <v>0</v>
      </c>
      <c r="AO166" s="53"/>
      <c r="AP166" s="53">
        <v>0</v>
      </c>
      <c r="AQ166" s="53"/>
      <c r="AR166" s="53">
        <v>0</v>
      </c>
      <c r="AS166" s="53"/>
      <c r="AT166" s="45">
        <f t="shared" si="31"/>
        <v>82736</v>
      </c>
      <c r="AU166" s="45"/>
      <c r="AV166" s="53">
        <v>0</v>
      </c>
      <c r="AW166" s="53"/>
      <c r="AX166" s="53">
        <v>0</v>
      </c>
      <c r="AY166" s="53"/>
      <c r="AZ166" s="53">
        <f t="shared" si="32"/>
        <v>1357930</v>
      </c>
      <c r="BA166" s="51"/>
      <c r="BB166" s="35" t="s">
        <v>194</v>
      </c>
      <c r="BD166" s="35" t="s">
        <v>66</v>
      </c>
      <c r="BE166" s="53"/>
      <c r="BF166" s="53">
        <v>0</v>
      </c>
      <c r="BG166" s="53"/>
      <c r="BH166" s="53">
        <v>0</v>
      </c>
      <c r="BI166" s="53"/>
      <c r="BJ166" s="53">
        <v>0</v>
      </c>
      <c r="BK166" s="53"/>
      <c r="BL166" s="53">
        <v>26949</v>
      </c>
      <c r="BM166" s="53"/>
      <c r="BN166" s="53">
        <f t="shared" si="30"/>
        <v>26949</v>
      </c>
      <c r="BO166" s="54"/>
      <c r="BS166" s="55"/>
      <c r="BT166" s="55"/>
      <c r="BU166" s="84"/>
      <c r="BV166" s="55"/>
      <c r="BW166" s="55"/>
      <c r="BX166" s="55"/>
      <c r="BY166" s="55"/>
      <c r="BZ166" s="55"/>
      <c r="CA166" s="55"/>
      <c r="CB166" s="55"/>
      <c r="CC166" s="55"/>
      <c r="CD166" s="55"/>
      <c r="CE166" s="55"/>
      <c r="CF166" s="55"/>
      <c r="CG166" s="55"/>
      <c r="CH166" s="55"/>
      <c r="CI166" s="55"/>
      <c r="CJ166" s="55"/>
      <c r="CK166" s="55"/>
      <c r="CL166" s="55"/>
      <c r="CM166" s="55"/>
      <c r="CN166" s="55"/>
      <c r="CO166" s="55"/>
      <c r="CP166" s="55"/>
      <c r="CQ166" s="55"/>
    </row>
    <row r="167" spans="1:95" s="35" customFormat="1" ht="12.75" customHeight="1">
      <c r="A167" s="35" t="s">
        <v>195</v>
      </c>
      <c r="B167" s="51"/>
      <c r="C167" s="35" t="s">
        <v>17</v>
      </c>
      <c r="D167" s="44"/>
      <c r="E167" s="53">
        <v>2523109</v>
      </c>
      <c r="F167" s="53"/>
      <c r="G167" s="53">
        <v>7839803</v>
      </c>
      <c r="H167" s="53"/>
      <c r="I167" s="53">
        <v>10362912</v>
      </c>
      <c r="J167" s="53"/>
      <c r="K167" s="53">
        <v>80058</v>
      </c>
      <c r="L167" s="53"/>
      <c r="M167" s="53">
        <v>256072</v>
      </c>
      <c r="N167" s="53"/>
      <c r="O167" s="53">
        <v>336130</v>
      </c>
      <c r="P167" s="53"/>
      <c r="Q167" s="53">
        <v>7640478</v>
      </c>
      <c r="R167" s="53"/>
      <c r="S167" s="53">
        <v>0</v>
      </c>
      <c r="T167" s="53"/>
      <c r="U167" s="53">
        <v>2386304</v>
      </c>
      <c r="V167" s="53"/>
      <c r="W167" s="53">
        <f t="shared" si="29"/>
        <v>10026782</v>
      </c>
      <c r="X167" s="51"/>
      <c r="Y167" s="51"/>
      <c r="Z167" s="35" t="s">
        <v>195</v>
      </c>
      <c r="AA167" s="53"/>
      <c r="AB167" s="35" t="s">
        <v>17</v>
      </c>
      <c r="AC167" s="51"/>
      <c r="AD167" s="53">
        <v>1828959</v>
      </c>
      <c r="AE167" s="53"/>
      <c r="AF167" s="53">
        <v>1198328</v>
      </c>
      <c r="AG167" s="53"/>
      <c r="AH167" s="53">
        <v>126672</v>
      </c>
      <c r="AI167" s="53"/>
      <c r="AJ167" s="45">
        <f t="shared" si="26"/>
        <v>503959</v>
      </c>
      <c r="AK167" s="45"/>
      <c r="AL167" s="53">
        <v>-120837</v>
      </c>
      <c r="AM167" s="45"/>
      <c r="AN167" s="53">
        <v>0</v>
      </c>
      <c r="AO167" s="53"/>
      <c r="AP167" s="53">
        <v>0</v>
      </c>
      <c r="AQ167" s="53"/>
      <c r="AR167" s="53">
        <v>0</v>
      </c>
      <c r="AS167" s="53"/>
      <c r="AT167" s="45">
        <f t="shared" si="31"/>
        <v>383122</v>
      </c>
      <c r="AU167" s="45"/>
      <c r="AV167" s="53">
        <v>0</v>
      </c>
      <c r="AW167" s="53"/>
      <c r="AX167" s="53">
        <v>0</v>
      </c>
      <c r="AY167" s="53"/>
      <c r="AZ167" s="53">
        <f t="shared" si="32"/>
        <v>2443051</v>
      </c>
      <c r="BA167" s="51"/>
      <c r="BB167" s="35" t="s">
        <v>195</v>
      </c>
      <c r="BD167" s="35" t="s">
        <v>17</v>
      </c>
      <c r="BE167" s="53"/>
      <c r="BF167" s="53">
        <v>0</v>
      </c>
      <c r="BG167" s="53"/>
      <c r="BH167" s="53">
        <v>0</v>
      </c>
      <c r="BI167" s="53"/>
      <c r="BJ167" s="53">
        <v>0</v>
      </c>
      <c r="BK167" s="53"/>
      <c r="BL167" s="53">
        <v>0</v>
      </c>
      <c r="BM167" s="53"/>
      <c r="BN167" s="53">
        <f t="shared" si="30"/>
        <v>0</v>
      </c>
      <c r="BO167" s="54"/>
      <c r="BS167" s="55"/>
      <c r="BT167" s="55"/>
      <c r="BU167" s="84"/>
      <c r="BV167" s="55"/>
      <c r="BW167" s="55"/>
      <c r="BX167" s="55"/>
      <c r="BY167" s="55"/>
      <c r="BZ167" s="55"/>
      <c r="CA167" s="55"/>
      <c r="CB167" s="55"/>
      <c r="CC167" s="55"/>
      <c r="CD167" s="55"/>
      <c r="CE167" s="55"/>
      <c r="CF167" s="55"/>
      <c r="CG167" s="55"/>
      <c r="CH167" s="55"/>
      <c r="CI167" s="55"/>
      <c r="CJ167" s="55"/>
      <c r="CK167" s="55"/>
      <c r="CL167" s="55"/>
      <c r="CM167" s="55"/>
      <c r="CN167" s="55"/>
      <c r="CO167" s="55"/>
      <c r="CP167" s="55"/>
      <c r="CQ167" s="55"/>
    </row>
    <row r="168" spans="1:95" s="142" customFormat="1" ht="12.75" hidden="1" customHeight="1">
      <c r="A168" s="142" t="s">
        <v>196</v>
      </c>
      <c r="B168" s="140"/>
      <c r="C168" s="142" t="s">
        <v>27</v>
      </c>
      <c r="D168" s="137"/>
      <c r="E168" s="156">
        <f t="shared" si="27"/>
        <v>0</v>
      </c>
      <c r="F168" s="156"/>
      <c r="G168" s="156"/>
      <c r="H168" s="156"/>
      <c r="I168" s="156"/>
      <c r="J168" s="156"/>
      <c r="K168" s="156">
        <f t="shared" si="28"/>
        <v>0</v>
      </c>
      <c r="L168" s="156"/>
      <c r="M168" s="156"/>
      <c r="N168" s="156"/>
      <c r="O168" s="156"/>
      <c r="P168" s="156"/>
      <c r="Q168" s="156"/>
      <c r="R168" s="156"/>
      <c r="S168" s="156"/>
      <c r="T168" s="156"/>
      <c r="U168" s="156"/>
      <c r="V168" s="156"/>
      <c r="W168" s="156">
        <f t="shared" si="29"/>
        <v>0</v>
      </c>
      <c r="X168" s="140"/>
      <c r="Y168" s="140"/>
      <c r="Z168" s="142" t="s">
        <v>196</v>
      </c>
      <c r="AA168" s="156"/>
      <c r="AB168" s="142" t="s">
        <v>27</v>
      </c>
      <c r="AC168" s="140"/>
      <c r="AD168" s="156"/>
      <c r="AE168" s="156"/>
      <c r="AF168" s="156"/>
      <c r="AG168" s="156"/>
      <c r="AH168" s="156"/>
      <c r="AI168" s="156"/>
      <c r="AJ168" s="143">
        <f t="shared" si="26"/>
        <v>0</v>
      </c>
      <c r="AK168" s="143"/>
      <c r="AL168" s="156"/>
      <c r="AM168" s="143"/>
      <c r="AN168" s="156"/>
      <c r="AO168" s="156"/>
      <c r="AP168" s="156"/>
      <c r="AQ168" s="156"/>
      <c r="AR168" s="156"/>
      <c r="AS168" s="156"/>
      <c r="AT168" s="143">
        <f t="shared" si="31"/>
        <v>0</v>
      </c>
      <c r="AU168" s="143"/>
      <c r="AV168" s="156">
        <v>0</v>
      </c>
      <c r="AW168" s="156"/>
      <c r="AX168" s="156">
        <v>0</v>
      </c>
      <c r="AY168" s="156"/>
      <c r="AZ168" s="156">
        <f t="shared" si="32"/>
        <v>0</v>
      </c>
      <c r="BA168" s="140"/>
      <c r="BB168" s="142" t="s">
        <v>196</v>
      </c>
      <c r="BD168" s="142" t="s">
        <v>27</v>
      </c>
      <c r="BE168" s="156"/>
      <c r="BF168" s="156"/>
      <c r="BG168" s="156"/>
      <c r="BH168" s="156"/>
      <c r="BI168" s="156"/>
      <c r="BJ168" s="156"/>
      <c r="BK168" s="156"/>
      <c r="BL168" s="156"/>
      <c r="BM168" s="156"/>
      <c r="BN168" s="156">
        <f t="shared" si="30"/>
        <v>0</v>
      </c>
      <c r="BO168" s="158"/>
      <c r="BS168" s="159"/>
      <c r="BT168" s="159"/>
      <c r="BU168" s="160"/>
      <c r="BV168" s="159"/>
      <c r="BW168" s="159"/>
      <c r="BX168" s="159"/>
      <c r="BY168" s="159"/>
      <c r="BZ168" s="159"/>
      <c r="CA168" s="159"/>
      <c r="CB168" s="159"/>
      <c r="CC168" s="159"/>
      <c r="CD168" s="159"/>
      <c r="CE168" s="159"/>
      <c r="CF168" s="159"/>
      <c r="CG168" s="159"/>
      <c r="CH168" s="159"/>
      <c r="CI168" s="159"/>
      <c r="CJ168" s="159"/>
      <c r="CK168" s="159"/>
      <c r="CL168" s="159"/>
      <c r="CM168" s="159"/>
      <c r="CN168" s="159"/>
      <c r="CO168" s="159"/>
      <c r="CP168" s="159"/>
      <c r="CQ168" s="159"/>
    </row>
    <row r="169" spans="1:95" s="142" customFormat="1" ht="12.75" hidden="1" customHeight="1">
      <c r="A169" s="142" t="s">
        <v>402</v>
      </c>
      <c r="B169" s="140"/>
      <c r="C169" s="142" t="s">
        <v>153</v>
      </c>
      <c r="D169" s="137"/>
      <c r="E169" s="156">
        <f t="shared" si="27"/>
        <v>0</v>
      </c>
      <c r="F169" s="156"/>
      <c r="G169" s="156"/>
      <c r="H169" s="156"/>
      <c r="I169" s="156"/>
      <c r="J169" s="156"/>
      <c r="K169" s="156">
        <f t="shared" si="28"/>
        <v>0</v>
      </c>
      <c r="L169" s="156"/>
      <c r="M169" s="156"/>
      <c r="N169" s="156"/>
      <c r="O169" s="156"/>
      <c r="P169" s="156"/>
      <c r="Q169" s="156"/>
      <c r="R169" s="156"/>
      <c r="S169" s="156"/>
      <c r="T169" s="156"/>
      <c r="U169" s="156"/>
      <c r="V169" s="156"/>
      <c r="W169" s="156">
        <f t="shared" si="29"/>
        <v>0</v>
      </c>
      <c r="X169" s="140"/>
      <c r="Y169" s="140"/>
      <c r="Z169" s="142" t="s">
        <v>402</v>
      </c>
      <c r="AA169" s="156"/>
      <c r="AB169" s="142" t="s">
        <v>153</v>
      </c>
      <c r="AC169" s="140"/>
      <c r="AD169" s="156"/>
      <c r="AE169" s="156"/>
      <c r="AF169" s="156"/>
      <c r="AG169" s="156"/>
      <c r="AH169" s="156"/>
      <c r="AI169" s="156"/>
      <c r="AJ169" s="143">
        <f t="shared" si="26"/>
        <v>0</v>
      </c>
      <c r="AK169" s="143"/>
      <c r="AL169" s="156"/>
      <c r="AM169" s="143"/>
      <c r="AN169" s="156"/>
      <c r="AO169" s="156"/>
      <c r="AP169" s="156"/>
      <c r="AQ169" s="156"/>
      <c r="AR169" s="156"/>
      <c r="AS169" s="156"/>
      <c r="AT169" s="143">
        <f t="shared" si="31"/>
        <v>0</v>
      </c>
      <c r="AU169" s="143"/>
      <c r="AV169" s="156">
        <v>0</v>
      </c>
      <c r="AW169" s="156"/>
      <c r="AX169" s="156">
        <v>0</v>
      </c>
      <c r="AY169" s="156"/>
      <c r="AZ169" s="156">
        <f t="shared" si="32"/>
        <v>0</v>
      </c>
      <c r="BA169" s="140"/>
      <c r="BB169" s="142" t="s">
        <v>402</v>
      </c>
      <c r="BD169" s="142" t="s">
        <v>153</v>
      </c>
      <c r="BE169" s="156"/>
      <c r="BF169" s="156"/>
      <c r="BG169" s="156"/>
      <c r="BH169" s="156"/>
      <c r="BI169" s="156"/>
      <c r="BJ169" s="156"/>
      <c r="BK169" s="156"/>
      <c r="BL169" s="156"/>
      <c r="BM169" s="156"/>
      <c r="BN169" s="156">
        <f t="shared" si="30"/>
        <v>0</v>
      </c>
      <c r="BO169" s="158"/>
      <c r="BS169" s="159"/>
      <c r="BT169" s="159"/>
      <c r="BU169" s="160"/>
      <c r="BV169" s="159"/>
      <c r="BW169" s="159"/>
      <c r="BX169" s="159"/>
      <c r="BY169" s="159"/>
      <c r="BZ169" s="159"/>
      <c r="CA169" s="159"/>
      <c r="CB169" s="159"/>
      <c r="CC169" s="159"/>
      <c r="CD169" s="159"/>
      <c r="CE169" s="159"/>
      <c r="CF169" s="159"/>
      <c r="CG169" s="159"/>
      <c r="CH169" s="159"/>
      <c r="CI169" s="159"/>
      <c r="CJ169" s="159"/>
      <c r="CK169" s="159"/>
      <c r="CL169" s="159"/>
      <c r="CM169" s="159"/>
      <c r="CN169" s="159"/>
      <c r="CO169" s="159"/>
      <c r="CP169" s="159"/>
      <c r="CQ169" s="159"/>
    </row>
    <row r="170" spans="1:95" s="35" customFormat="1" ht="12.75" customHeight="1">
      <c r="A170" s="35" t="s">
        <v>197</v>
      </c>
      <c r="B170" s="51"/>
      <c r="C170" s="35" t="s">
        <v>163</v>
      </c>
      <c r="D170" s="44"/>
      <c r="E170" s="53">
        <v>3156346</v>
      </c>
      <c r="F170" s="53"/>
      <c r="G170" s="53">
        <v>10862602</v>
      </c>
      <c r="H170" s="53"/>
      <c r="I170" s="53">
        <v>14018948</v>
      </c>
      <c r="J170" s="53"/>
      <c r="K170" s="53">
        <v>109696</v>
      </c>
      <c r="L170" s="53"/>
      <c r="M170" s="53">
        <v>336025</v>
      </c>
      <c r="N170" s="53"/>
      <c r="O170" s="53">
        <v>445721</v>
      </c>
      <c r="P170" s="53"/>
      <c r="Q170" s="53">
        <v>10862602</v>
      </c>
      <c r="R170" s="53"/>
      <c r="S170" s="53">
        <v>0</v>
      </c>
      <c r="T170" s="53"/>
      <c r="U170" s="53">
        <v>2710625</v>
      </c>
      <c r="V170" s="53"/>
      <c r="W170" s="53">
        <f t="shared" si="29"/>
        <v>13573227</v>
      </c>
      <c r="Z170" s="35" t="s">
        <v>197</v>
      </c>
      <c r="AA170" s="53"/>
      <c r="AB170" s="35" t="s">
        <v>163</v>
      </c>
      <c r="AC170" s="51"/>
      <c r="AD170" s="53">
        <v>4484559</v>
      </c>
      <c r="AE170" s="53"/>
      <c r="AF170" s="53">
        <v>2784978</v>
      </c>
      <c r="AG170" s="53"/>
      <c r="AH170" s="53">
        <v>632072</v>
      </c>
      <c r="AI170" s="53"/>
      <c r="AJ170" s="45">
        <f t="shared" si="26"/>
        <v>1067509</v>
      </c>
      <c r="AK170" s="45"/>
      <c r="AL170" s="53">
        <v>0</v>
      </c>
      <c r="AM170" s="45"/>
      <c r="AN170" s="53">
        <v>150000</v>
      </c>
      <c r="AO170" s="53"/>
      <c r="AP170" s="53">
        <v>632671</v>
      </c>
      <c r="AQ170" s="53"/>
      <c r="AR170" s="53">
        <v>216805</v>
      </c>
      <c r="AS170" s="53"/>
      <c r="AT170" s="45">
        <f>+AJ170+AL170+AN170-AP170+AR170</f>
        <v>801643</v>
      </c>
      <c r="AU170" s="45"/>
      <c r="AV170" s="53">
        <v>0</v>
      </c>
      <c r="AW170" s="53"/>
      <c r="AX170" s="53">
        <v>0</v>
      </c>
      <c r="AY170" s="53"/>
      <c r="AZ170" s="53">
        <f t="shared" si="32"/>
        <v>3046650</v>
      </c>
      <c r="BA170" s="51"/>
      <c r="BB170" s="35" t="s">
        <v>197</v>
      </c>
      <c r="BD170" s="35" t="s">
        <v>163</v>
      </c>
      <c r="BE170" s="53"/>
      <c r="BF170" s="53">
        <v>0</v>
      </c>
      <c r="BG170" s="53"/>
      <c r="BH170" s="53">
        <v>0</v>
      </c>
      <c r="BI170" s="53"/>
      <c r="BJ170" s="53">
        <v>0</v>
      </c>
      <c r="BK170" s="53"/>
      <c r="BL170" s="53">
        <v>336025</v>
      </c>
      <c r="BM170" s="53"/>
      <c r="BN170" s="53">
        <f t="shared" si="30"/>
        <v>336025</v>
      </c>
      <c r="BO170" s="54"/>
      <c r="BS170" s="55"/>
      <c r="BT170" s="55"/>
      <c r="BU170" s="84"/>
      <c r="BV170" s="55"/>
      <c r="BW170" s="55"/>
      <c r="BX170" s="55"/>
      <c r="BY170" s="55"/>
      <c r="BZ170" s="55"/>
      <c r="CA170" s="55"/>
      <c r="CB170" s="55"/>
      <c r="CC170" s="55"/>
      <c r="CD170" s="55"/>
      <c r="CE170" s="55"/>
      <c r="CF170" s="55"/>
      <c r="CG170" s="55"/>
      <c r="CH170" s="55"/>
      <c r="CI170" s="55"/>
      <c r="CJ170" s="55"/>
      <c r="CK170" s="55"/>
      <c r="CL170" s="55"/>
      <c r="CM170" s="55"/>
      <c r="CN170" s="55"/>
      <c r="CO170" s="55"/>
      <c r="CP170" s="55"/>
      <c r="CQ170" s="55"/>
    </row>
    <row r="171" spans="1:95" s="35" customFormat="1" ht="12.75" customHeight="1">
      <c r="A171" s="35" t="s">
        <v>198</v>
      </c>
      <c r="B171" s="51"/>
      <c r="C171" s="35" t="s">
        <v>199</v>
      </c>
      <c r="D171" s="44"/>
      <c r="E171" s="53">
        <v>2078291</v>
      </c>
      <c r="F171" s="53"/>
      <c r="G171" s="53">
        <v>16041119</v>
      </c>
      <c r="H171" s="53"/>
      <c r="I171" s="53">
        <v>18119410</v>
      </c>
      <c r="J171" s="53"/>
      <c r="K171" s="53">
        <v>816857</v>
      </c>
      <c r="L171" s="53"/>
      <c r="M171" s="53">
        <v>6287171</v>
      </c>
      <c r="N171" s="53"/>
      <c r="O171" s="53">
        <v>7104028</v>
      </c>
      <c r="P171" s="53"/>
      <c r="Q171" s="53">
        <v>8113985</v>
      </c>
      <c r="R171" s="53"/>
      <c r="S171" s="53">
        <v>1595117</v>
      </c>
      <c r="T171" s="53"/>
      <c r="U171" s="53">
        <v>1306280</v>
      </c>
      <c r="V171" s="53"/>
      <c r="W171" s="53">
        <f t="shared" si="29"/>
        <v>11015382</v>
      </c>
      <c r="X171" s="51"/>
      <c r="Y171" s="51"/>
      <c r="Z171" s="35" t="s">
        <v>198</v>
      </c>
      <c r="AA171" s="53"/>
      <c r="AB171" s="35" t="s">
        <v>199</v>
      </c>
      <c r="AC171" s="51"/>
      <c r="AD171" s="53">
        <v>2914311</v>
      </c>
      <c r="AE171" s="53"/>
      <c r="AF171" s="53">
        <v>1988205</v>
      </c>
      <c r="AG171" s="53"/>
      <c r="AH171" s="53">
        <v>752384</v>
      </c>
      <c r="AI171" s="53"/>
      <c r="AJ171" s="45">
        <f t="shared" ref="AJ171:AJ177" si="33">+AD171-AF171-AH171</f>
        <v>173722</v>
      </c>
      <c r="AK171" s="45"/>
      <c r="AL171" s="53">
        <v>166753</v>
      </c>
      <c r="AM171" s="45"/>
      <c r="AN171" s="53">
        <v>0</v>
      </c>
      <c r="AO171" s="53"/>
      <c r="AP171" s="53">
        <v>0</v>
      </c>
      <c r="AQ171" s="53"/>
      <c r="AR171" s="53">
        <v>0</v>
      </c>
      <c r="AS171" s="53"/>
      <c r="AT171" s="45">
        <f>+AJ171+AL171+AN171-AP171+AR171</f>
        <v>340475</v>
      </c>
      <c r="AU171" s="45"/>
      <c r="AV171" s="53">
        <v>0</v>
      </c>
      <c r="AW171" s="53"/>
      <c r="AX171" s="53">
        <v>0</v>
      </c>
      <c r="AY171" s="53"/>
      <c r="AZ171" s="53">
        <f t="shared" si="32"/>
        <v>1261434</v>
      </c>
      <c r="BA171" s="51"/>
      <c r="BB171" s="35" t="s">
        <v>198</v>
      </c>
      <c r="BD171" s="35" t="s">
        <v>199</v>
      </c>
      <c r="BE171" s="53"/>
      <c r="BF171" s="53">
        <v>0</v>
      </c>
      <c r="BG171" s="53"/>
      <c r="BH171" s="53">
        <v>5067150</v>
      </c>
      <c r="BI171" s="53"/>
      <c r="BJ171" s="53">
        <v>1182759</v>
      </c>
      <c r="BK171" s="53"/>
      <c r="BL171" s="53">
        <v>37262</v>
      </c>
      <c r="BM171" s="53"/>
      <c r="BN171" s="53">
        <f t="shared" si="30"/>
        <v>6287171</v>
      </c>
      <c r="BO171" s="54"/>
      <c r="BS171" s="55"/>
      <c r="BT171" s="55"/>
      <c r="BU171" s="84"/>
      <c r="BV171" s="55"/>
      <c r="BW171" s="55"/>
      <c r="BX171" s="55"/>
      <c r="BY171" s="55"/>
      <c r="BZ171" s="55"/>
      <c r="CA171" s="55"/>
      <c r="CB171" s="55"/>
      <c r="CC171" s="55"/>
      <c r="CD171" s="55"/>
      <c r="CE171" s="55"/>
      <c r="CF171" s="55"/>
      <c r="CG171" s="55"/>
      <c r="CH171" s="55"/>
      <c r="CI171" s="55"/>
      <c r="CJ171" s="55"/>
      <c r="CK171" s="55"/>
      <c r="CL171" s="55"/>
      <c r="CM171" s="55"/>
      <c r="CN171" s="55"/>
      <c r="CO171" s="55"/>
      <c r="CP171" s="55"/>
      <c r="CQ171" s="55"/>
    </row>
    <row r="172" spans="1:95" s="35" customFormat="1" ht="12.75" customHeight="1">
      <c r="A172" s="35" t="s">
        <v>200</v>
      </c>
      <c r="B172" s="51"/>
      <c r="C172" s="35" t="s">
        <v>103</v>
      </c>
      <c r="D172" s="44"/>
      <c r="E172" s="53">
        <v>6109643</v>
      </c>
      <c r="F172" s="53"/>
      <c r="G172" s="53">
        <v>11226954</v>
      </c>
      <c r="H172" s="53"/>
      <c r="I172" s="53">
        <v>17336597</v>
      </c>
      <c r="J172" s="53"/>
      <c r="K172" s="53">
        <v>861835</v>
      </c>
      <c r="L172" s="53"/>
      <c r="M172" s="53">
        <v>4749972</v>
      </c>
      <c r="N172" s="53"/>
      <c r="O172" s="53">
        <v>5611807</v>
      </c>
      <c r="P172" s="53"/>
      <c r="Q172" s="53">
        <v>5799188</v>
      </c>
      <c r="R172" s="53"/>
      <c r="S172" s="53">
        <v>822102</v>
      </c>
      <c r="T172" s="53"/>
      <c r="U172" s="53">
        <v>5103500</v>
      </c>
      <c r="V172" s="53"/>
      <c r="W172" s="53">
        <f t="shared" si="29"/>
        <v>11724790</v>
      </c>
      <c r="X172" s="51"/>
      <c r="Y172" s="51"/>
      <c r="Z172" s="35" t="s">
        <v>200</v>
      </c>
      <c r="AA172" s="53"/>
      <c r="AB172" s="35" t="s">
        <v>103</v>
      </c>
      <c r="AC172" s="51"/>
      <c r="AD172" s="53">
        <v>2672915</v>
      </c>
      <c r="AE172" s="53"/>
      <c r="AF172" s="53">
        <v>1570182</v>
      </c>
      <c r="AG172" s="53"/>
      <c r="AH172" s="53">
        <v>404705</v>
      </c>
      <c r="AI172" s="53"/>
      <c r="AJ172" s="45">
        <f t="shared" si="33"/>
        <v>698028</v>
      </c>
      <c r="AK172" s="45"/>
      <c r="AL172" s="53">
        <v>26496</v>
      </c>
      <c r="AM172" s="45"/>
      <c r="AN172" s="53">
        <v>0</v>
      </c>
      <c r="AO172" s="53"/>
      <c r="AP172" s="53">
        <v>0</v>
      </c>
      <c r="AQ172" s="53"/>
      <c r="AR172" s="53">
        <v>104221</v>
      </c>
      <c r="AS172" s="53"/>
      <c r="AT172" s="45">
        <f t="shared" si="31"/>
        <v>828745</v>
      </c>
      <c r="AU172" s="45"/>
      <c r="AV172" s="53">
        <v>0</v>
      </c>
      <c r="AW172" s="53"/>
      <c r="AX172" s="53">
        <v>0</v>
      </c>
      <c r="AY172" s="53"/>
      <c r="AZ172" s="53">
        <f t="shared" si="32"/>
        <v>5247808</v>
      </c>
      <c r="BA172" s="51"/>
      <c r="BB172" s="35" t="s">
        <v>200</v>
      </c>
      <c r="BD172" s="35" t="s">
        <v>103</v>
      </c>
      <c r="BE172" s="53"/>
      <c r="BF172" s="53">
        <v>4697766</v>
      </c>
      <c r="BG172" s="53"/>
      <c r="BH172" s="53">
        <v>0</v>
      </c>
      <c r="BI172" s="53"/>
      <c r="BJ172" s="53">
        <v>0</v>
      </c>
      <c r="BK172" s="53"/>
      <c r="BL172" s="53">
        <v>52206</v>
      </c>
      <c r="BM172" s="53"/>
      <c r="BN172" s="53">
        <f t="shared" si="30"/>
        <v>4749972</v>
      </c>
      <c r="BO172" s="54"/>
      <c r="BS172" s="55"/>
      <c r="BT172" s="55"/>
      <c r="BU172" s="84"/>
      <c r="BV172" s="55"/>
      <c r="BW172" s="55"/>
      <c r="BX172" s="55"/>
      <c r="BY172" s="55"/>
      <c r="BZ172" s="55"/>
      <c r="CA172" s="55"/>
      <c r="CB172" s="55"/>
      <c r="CC172" s="55"/>
      <c r="CD172" s="55"/>
      <c r="CE172" s="55"/>
      <c r="CF172" s="55"/>
      <c r="CG172" s="55"/>
      <c r="CH172" s="55"/>
      <c r="CI172" s="55"/>
      <c r="CJ172" s="55"/>
      <c r="CK172" s="55"/>
      <c r="CL172" s="55"/>
      <c r="CM172" s="55"/>
      <c r="CN172" s="55"/>
      <c r="CO172" s="55"/>
      <c r="CP172" s="55"/>
      <c r="CQ172" s="55"/>
    </row>
    <row r="173" spans="1:95" s="35" customFormat="1" ht="12.75" customHeight="1">
      <c r="A173" s="35" t="s">
        <v>201</v>
      </c>
      <c r="C173" s="35" t="s">
        <v>92</v>
      </c>
      <c r="D173" s="44"/>
      <c r="E173" s="53">
        <v>5081393</v>
      </c>
      <c r="F173" s="53"/>
      <c r="G173" s="53">
        <v>21914953</v>
      </c>
      <c r="H173" s="53"/>
      <c r="I173" s="53">
        <v>26996346</v>
      </c>
      <c r="J173" s="53"/>
      <c r="K173" s="53">
        <v>2637989</v>
      </c>
      <c r="L173" s="53"/>
      <c r="M173" s="53">
        <v>9117221</v>
      </c>
      <c r="N173" s="53"/>
      <c r="O173" s="53">
        <v>11755210</v>
      </c>
      <c r="P173" s="53"/>
      <c r="Q173" s="53">
        <v>10764240</v>
      </c>
      <c r="R173" s="53"/>
      <c r="S173" s="53">
        <v>0</v>
      </c>
      <c r="T173" s="53"/>
      <c r="U173" s="53">
        <v>4476896</v>
      </c>
      <c r="V173" s="53"/>
      <c r="W173" s="53">
        <f t="shared" si="29"/>
        <v>15241136</v>
      </c>
      <c r="Z173" s="35" t="s">
        <v>201</v>
      </c>
      <c r="AA173" s="53"/>
      <c r="AB173" s="35" t="s">
        <v>92</v>
      </c>
      <c r="AD173" s="53">
        <v>4826853</v>
      </c>
      <c r="AE173" s="53"/>
      <c r="AF173" s="53">
        <v>3419526</v>
      </c>
      <c r="AG173" s="53"/>
      <c r="AH173" s="53">
        <v>903109</v>
      </c>
      <c r="AI173" s="53"/>
      <c r="AJ173" s="45">
        <f t="shared" si="33"/>
        <v>504218</v>
      </c>
      <c r="AK173" s="45"/>
      <c r="AL173" s="53">
        <v>83197</v>
      </c>
      <c r="AM173" s="45"/>
      <c r="AN173" s="53">
        <v>500000</v>
      </c>
      <c r="AO173" s="53"/>
      <c r="AP173" s="53">
        <v>509000</v>
      </c>
      <c r="AQ173" s="53"/>
      <c r="AR173" s="53">
        <v>0</v>
      </c>
      <c r="AS173" s="53"/>
      <c r="AT173" s="45">
        <f t="shared" si="31"/>
        <v>578415</v>
      </c>
      <c r="AU173" s="45"/>
      <c r="AV173" s="53">
        <v>0</v>
      </c>
      <c r="AW173" s="53"/>
      <c r="AX173" s="53">
        <v>0</v>
      </c>
      <c r="AY173" s="53"/>
      <c r="AZ173" s="53">
        <f t="shared" si="32"/>
        <v>2443404</v>
      </c>
      <c r="BA173" s="65"/>
      <c r="BB173" s="35" t="s">
        <v>201</v>
      </c>
      <c r="BD173" s="35" t="s">
        <v>92</v>
      </c>
      <c r="BE173" s="53"/>
      <c r="BF173" s="53">
        <v>3545000</v>
      </c>
      <c r="BG173" s="53"/>
      <c r="BH173" s="35">
        <v>0</v>
      </c>
      <c r="BI173" s="53"/>
      <c r="BJ173" s="53">
        <v>1544324</v>
      </c>
      <c r="BK173" s="53"/>
      <c r="BL173" s="53">
        <v>4027897</v>
      </c>
      <c r="BM173" s="53"/>
      <c r="BN173" s="53">
        <f t="shared" si="30"/>
        <v>9117221</v>
      </c>
      <c r="BO173" s="54"/>
      <c r="BS173" s="55"/>
      <c r="BT173" s="55"/>
      <c r="BU173" s="84"/>
      <c r="BV173" s="55"/>
      <c r="BW173" s="55"/>
      <c r="BX173" s="55"/>
      <c r="BY173" s="55"/>
      <c r="BZ173" s="55"/>
      <c r="CA173" s="55"/>
      <c r="CB173" s="55"/>
      <c r="CC173" s="55"/>
      <c r="CD173" s="55"/>
      <c r="CE173" s="55"/>
      <c r="CF173" s="55"/>
      <c r="CG173" s="55"/>
      <c r="CH173" s="55"/>
      <c r="CI173" s="55"/>
      <c r="CJ173" s="55"/>
      <c r="CK173" s="55"/>
      <c r="CL173" s="55"/>
      <c r="CM173" s="55"/>
      <c r="CN173" s="55"/>
      <c r="CO173" s="55"/>
      <c r="CP173" s="55"/>
      <c r="CQ173" s="55"/>
    </row>
    <row r="174" spans="1:95" s="142" customFormat="1" ht="12" hidden="1" customHeight="1">
      <c r="A174" s="142" t="s">
        <v>202</v>
      </c>
      <c r="B174" s="140"/>
      <c r="C174" s="142" t="s">
        <v>27</v>
      </c>
      <c r="D174" s="137"/>
      <c r="E174" s="156">
        <f t="shared" si="27"/>
        <v>0</v>
      </c>
      <c r="F174" s="156"/>
      <c r="G174" s="156">
        <v>0</v>
      </c>
      <c r="H174" s="156"/>
      <c r="I174" s="156">
        <v>0</v>
      </c>
      <c r="J174" s="156"/>
      <c r="K174" s="156">
        <f t="shared" si="28"/>
        <v>0</v>
      </c>
      <c r="L174" s="156"/>
      <c r="M174" s="156">
        <v>0</v>
      </c>
      <c r="N174" s="156"/>
      <c r="O174" s="156">
        <v>0</v>
      </c>
      <c r="P174" s="156"/>
      <c r="Q174" s="156">
        <v>0</v>
      </c>
      <c r="R174" s="156"/>
      <c r="S174" s="156">
        <v>0</v>
      </c>
      <c r="T174" s="156"/>
      <c r="U174" s="156">
        <v>0</v>
      </c>
      <c r="V174" s="156"/>
      <c r="W174" s="156">
        <f t="shared" si="29"/>
        <v>0</v>
      </c>
      <c r="X174" s="140"/>
      <c r="Y174" s="140"/>
      <c r="Z174" s="142" t="s">
        <v>202</v>
      </c>
      <c r="AA174" s="156"/>
      <c r="AB174" s="142" t="s">
        <v>27</v>
      </c>
      <c r="AC174" s="140"/>
      <c r="AD174" s="156">
        <v>0</v>
      </c>
      <c r="AE174" s="156"/>
      <c r="AF174" s="156">
        <v>0</v>
      </c>
      <c r="AG174" s="156"/>
      <c r="AH174" s="156">
        <v>0</v>
      </c>
      <c r="AI174" s="156"/>
      <c r="AJ174" s="143">
        <f t="shared" si="33"/>
        <v>0</v>
      </c>
      <c r="AK174" s="143"/>
      <c r="AL174" s="156">
        <v>0</v>
      </c>
      <c r="AM174" s="143"/>
      <c r="AN174" s="156">
        <v>0</v>
      </c>
      <c r="AO174" s="156"/>
      <c r="AP174" s="156">
        <v>0</v>
      </c>
      <c r="AQ174" s="156"/>
      <c r="AR174" s="156">
        <v>0</v>
      </c>
      <c r="AS174" s="156"/>
      <c r="AT174" s="143">
        <f t="shared" si="31"/>
        <v>0</v>
      </c>
      <c r="AU174" s="143"/>
      <c r="AV174" s="156">
        <v>0</v>
      </c>
      <c r="AW174" s="156"/>
      <c r="AX174" s="156">
        <v>0</v>
      </c>
      <c r="AY174" s="156"/>
      <c r="AZ174" s="156">
        <f t="shared" si="32"/>
        <v>0</v>
      </c>
      <c r="BA174" s="140"/>
      <c r="BB174" s="142" t="s">
        <v>202</v>
      </c>
      <c r="BD174" s="142" t="s">
        <v>27</v>
      </c>
      <c r="BE174" s="156"/>
      <c r="BF174" s="156">
        <v>0</v>
      </c>
      <c r="BG174" s="156"/>
      <c r="BH174" s="156">
        <v>0</v>
      </c>
      <c r="BI174" s="156"/>
      <c r="BJ174" s="156">
        <v>0</v>
      </c>
      <c r="BK174" s="156"/>
      <c r="BL174" s="156">
        <v>0</v>
      </c>
      <c r="BM174" s="156"/>
      <c r="BN174" s="156">
        <f t="shared" si="30"/>
        <v>0</v>
      </c>
      <c r="BO174" s="158"/>
      <c r="BS174" s="159"/>
      <c r="BT174" s="159"/>
      <c r="BU174" s="160"/>
      <c r="BV174" s="159"/>
      <c r="BW174" s="159"/>
      <c r="BX174" s="159"/>
      <c r="BY174" s="159"/>
      <c r="BZ174" s="159"/>
      <c r="CA174" s="159"/>
      <c r="CB174" s="159"/>
      <c r="CC174" s="159"/>
      <c r="CD174" s="159"/>
      <c r="CE174" s="159"/>
      <c r="CF174" s="159"/>
      <c r="CG174" s="159"/>
      <c r="CH174" s="159"/>
      <c r="CI174" s="159"/>
      <c r="CJ174" s="159"/>
      <c r="CK174" s="159"/>
      <c r="CL174" s="159"/>
      <c r="CM174" s="159"/>
      <c r="CN174" s="159"/>
      <c r="CO174" s="159"/>
      <c r="CP174" s="159"/>
      <c r="CQ174" s="159"/>
    </row>
    <row r="175" spans="1:95" s="142" customFormat="1" ht="12.75" hidden="1" customHeight="1">
      <c r="A175" s="142" t="s">
        <v>203</v>
      </c>
      <c r="B175" s="140"/>
      <c r="C175" s="142" t="s">
        <v>27</v>
      </c>
      <c r="D175" s="137"/>
      <c r="E175" s="156">
        <f t="shared" si="27"/>
        <v>0</v>
      </c>
      <c r="F175" s="156"/>
      <c r="G175" s="156">
        <v>0</v>
      </c>
      <c r="H175" s="156"/>
      <c r="I175" s="156">
        <v>0</v>
      </c>
      <c r="J175" s="156"/>
      <c r="K175" s="156">
        <f t="shared" si="28"/>
        <v>0</v>
      </c>
      <c r="L175" s="156"/>
      <c r="M175" s="156">
        <v>0</v>
      </c>
      <c r="N175" s="156"/>
      <c r="O175" s="156">
        <v>0</v>
      </c>
      <c r="P175" s="156"/>
      <c r="Q175" s="156">
        <v>0</v>
      </c>
      <c r="R175" s="156"/>
      <c r="S175" s="156">
        <v>0</v>
      </c>
      <c r="T175" s="156"/>
      <c r="U175" s="156">
        <v>0</v>
      </c>
      <c r="V175" s="156"/>
      <c r="W175" s="156">
        <f t="shared" si="29"/>
        <v>0</v>
      </c>
      <c r="X175" s="140"/>
      <c r="Y175" s="140"/>
      <c r="Z175" s="142" t="s">
        <v>203</v>
      </c>
      <c r="AA175" s="156"/>
      <c r="AB175" s="142" t="s">
        <v>27</v>
      </c>
      <c r="AC175" s="140"/>
      <c r="AD175" s="156">
        <v>0</v>
      </c>
      <c r="AE175" s="156"/>
      <c r="AF175" s="156">
        <v>0</v>
      </c>
      <c r="AG175" s="156"/>
      <c r="AH175" s="156">
        <v>0</v>
      </c>
      <c r="AI175" s="156"/>
      <c r="AJ175" s="143">
        <f t="shared" si="33"/>
        <v>0</v>
      </c>
      <c r="AK175" s="143"/>
      <c r="AL175" s="156">
        <v>0</v>
      </c>
      <c r="AM175" s="143"/>
      <c r="AN175" s="156">
        <v>0</v>
      </c>
      <c r="AO175" s="156"/>
      <c r="AP175" s="156">
        <v>0</v>
      </c>
      <c r="AQ175" s="156"/>
      <c r="AR175" s="156">
        <v>0</v>
      </c>
      <c r="AS175" s="156"/>
      <c r="AT175" s="143">
        <f t="shared" si="31"/>
        <v>0</v>
      </c>
      <c r="AU175" s="143"/>
      <c r="AV175" s="156">
        <v>0</v>
      </c>
      <c r="AW175" s="156"/>
      <c r="AX175" s="156">
        <v>0</v>
      </c>
      <c r="AY175" s="156"/>
      <c r="AZ175" s="156">
        <f t="shared" si="32"/>
        <v>0</v>
      </c>
      <c r="BA175" s="140"/>
      <c r="BB175" s="142" t="s">
        <v>203</v>
      </c>
      <c r="BD175" s="142" t="s">
        <v>27</v>
      </c>
      <c r="BE175" s="156"/>
      <c r="BF175" s="156">
        <v>0</v>
      </c>
      <c r="BG175" s="156"/>
      <c r="BH175" s="156">
        <v>0</v>
      </c>
      <c r="BI175" s="156"/>
      <c r="BJ175" s="156">
        <v>0</v>
      </c>
      <c r="BK175" s="156"/>
      <c r="BL175" s="156">
        <v>0</v>
      </c>
      <c r="BM175" s="156"/>
      <c r="BN175" s="156">
        <f t="shared" si="30"/>
        <v>0</v>
      </c>
      <c r="BO175" s="158"/>
      <c r="BS175" s="159"/>
      <c r="BT175" s="159"/>
      <c r="BU175" s="160"/>
      <c r="BV175" s="159"/>
      <c r="BW175" s="159"/>
      <c r="BX175" s="159"/>
      <c r="BY175" s="159"/>
      <c r="BZ175" s="159"/>
      <c r="CA175" s="159"/>
      <c r="CB175" s="159"/>
      <c r="CC175" s="159"/>
      <c r="CD175" s="159"/>
      <c r="CE175" s="159"/>
      <c r="CF175" s="159"/>
      <c r="CG175" s="159"/>
      <c r="CH175" s="159"/>
      <c r="CI175" s="159"/>
      <c r="CJ175" s="159"/>
      <c r="CK175" s="159"/>
      <c r="CL175" s="159"/>
      <c r="CM175" s="159"/>
      <c r="CN175" s="159"/>
      <c r="CO175" s="159"/>
      <c r="CP175" s="159"/>
      <c r="CQ175" s="159"/>
    </row>
    <row r="176" spans="1:95" s="35" customFormat="1" ht="12.75" customHeight="1">
      <c r="A176" s="35" t="s">
        <v>204</v>
      </c>
      <c r="B176" s="51"/>
      <c r="C176" s="35" t="s">
        <v>125</v>
      </c>
      <c r="D176" s="44"/>
      <c r="E176" s="53">
        <v>2822345</v>
      </c>
      <c r="F176" s="53"/>
      <c r="G176" s="53">
        <v>6962017</v>
      </c>
      <c r="H176" s="53"/>
      <c r="I176" s="53">
        <v>9784362</v>
      </c>
      <c r="J176" s="53"/>
      <c r="K176" s="53">
        <v>260726</v>
      </c>
      <c r="L176" s="53"/>
      <c r="M176" s="53">
        <v>6929423</v>
      </c>
      <c r="N176" s="53"/>
      <c r="O176" s="53">
        <v>7190149</v>
      </c>
      <c r="P176" s="53"/>
      <c r="Q176" s="53">
        <v>1986930</v>
      </c>
      <c r="R176" s="53"/>
      <c r="S176" s="53">
        <v>0</v>
      </c>
      <c r="T176" s="53"/>
      <c r="U176" s="53">
        <v>607283</v>
      </c>
      <c r="V176" s="53"/>
      <c r="W176" s="53">
        <f t="shared" si="29"/>
        <v>2594213</v>
      </c>
      <c r="X176" s="51"/>
      <c r="Y176" s="51"/>
      <c r="Z176" s="35" t="s">
        <v>204</v>
      </c>
      <c r="AA176" s="53"/>
      <c r="AB176" s="35" t="s">
        <v>125</v>
      </c>
      <c r="AC176" s="51"/>
      <c r="AD176" s="53">
        <v>1025952</v>
      </c>
      <c r="AE176" s="53"/>
      <c r="AF176" s="53">
        <v>476278</v>
      </c>
      <c r="AG176" s="53"/>
      <c r="AH176" s="53">
        <v>272235</v>
      </c>
      <c r="AI176" s="53"/>
      <c r="AJ176" s="45">
        <f t="shared" si="33"/>
        <v>277439</v>
      </c>
      <c r="AK176" s="45"/>
      <c r="AL176" s="53">
        <v>-394357</v>
      </c>
      <c r="AM176" s="45"/>
      <c r="AN176" s="53">
        <v>0</v>
      </c>
      <c r="AO176" s="53"/>
      <c r="AP176" s="53">
        <v>0</v>
      </c>
      <c r="AQ176" s="53"/>
      <c r="AR176" s="53">
        <v>79695</v>
      </c>
      <c r="AS176" s="53"/>
      <c r="AT176" s="45">
        <f t="shared" si="31"/>
        <v>-37223</v>
      </c>
      <c r="AU176" s="45"/>
      <c r="AV176" s="53">
        <v>0</v>
      </c>
      <c r="AW176" s="53"/>
      <c r="AX176" s="53">
        <v>0</v>
      </c>
      <c r="AY176" s="53"/>
      <c r="AZ176" s="53">
        <f t="shared" si="32"/>
        <v>2561619</v>
      </c>
      <c r="BA176" s="51"/>
      <c r="BB176" s="35" t="s">
        <v>204</v>
      </c>
      <c r="BD176" s="35" t="s">
        <v>125</v>
      </c>
      <c r="BE176" s="53"/>
      <c r="BF176" s="53">
        <v>6629276</v>
      </c>
      <c r="BG176" s="53"/>
      <c r="BH176" s="53">
        <v>0</v>
      </c>
      <c r="BI176" s="53"/>
      <c r="BJ176" s="53">
        <v>292654</v>
      </c>
      <c r="BK176" s="53"/>
      <c r="BL176" s="53">
        <v>7493</v>
      </c>
      <c r="BM176" s="53"/>
      <c r="BN176" s="53">
        <f t="shared" si="30"/>
        <v>6929423</v>
      </c>
      <c r="BO176" s="54"/>
      <c r="BS176" s="55"/>
      <c r="BT176" s="55"/>
      <c r="BU176" s="84"/>
      <c r="BV176" s="55"/>
      <c r="BW176" s="55"/>
      <c r="BX176" s="55"/>
      <c r="BY176" s="55"/>
      <c r="BZ176" s="55"/>
      <c r="CA176" s="55"/>
      <c r="CB176" s="55"/>
      <c r="CC176" s="55"/>
      <c r="CD176" s="55"/>
      <c r="CE176" s="55"/>
      <c r="CF176" s="55"/>
      <c r="CG176" s="55"/>
      <c r="CH176" s="55"/>
      <c r="CI176" s="55"/>
      <c r="CJ176" s="55"/>
      <c r="CK176" s="55"/>
      <c r="CL176" s="55"/>
      <c r="CM176" s="55"/>
      <c r="CN176" s="55"/>
      <c r="CO176" s="55"/>
      <c r="CP176" s="55"/>
      <c r="CQ176" s="55"/>
    </row>
    <row r="177" spans="1:95" s="142" customFormat="1" ht="12.75" hidden="1" customHeight="1">
      <c r="A177" s="142" t="s">
        <v>205</v>
      </c>
      <c r="B177" s="140"/>
      <c r="C177" s="142" t="s">
        <v>27</v>
      </c>
      <c r="D177" s="137"/>
      <c r="E177" s="156">
        <f t="shared" si="27"/>
        <v>0</v>
      </c>
      <c r="F177" s="156"/>
      <c r="G177" s="156">
        <v>0</v>
      </c>
      <c r="H177" s="156"/>
      <c r="I177" s="156">
        <v>0</v>
      </c>
      <c r="J177" s="156"/>
      <c r="K177" s="156">
        <f t="shared" si="28"/>
        <v>0</v>
      </c>
      <c r="L177" s="156"/>
      <c r="M177" s="156">
        <v>0</v>
      </c>
      <c r="N177" s="156"/>
      <c r="O177" s="156">
        <v>0</v>
      </c>
      <c r="P177" s="156"/>
      <c r="Q177" s="156">
        <v>0</v>
      </c>
      <c r="R177" s="156"/>
      <c r="S177" s="156">
        <v>0</v>
      </c>
      <c r="T177" s="156"/>
      <c r="U177" s="156">
        <v>0</v>
      </c>
      <c r="V177" s="156"/>
      <c r="W177" s="156">
        <f t="shared" si="29"/>
        <v>0</v>
      </c>
      <c r="X177" s="140"/>
      <c r="Y177" s="140"/>
      <c r="Z177" s="142" t="s">
        <v>205</v>
      </c>
      <c r="AA177" s="156"/>
      <c r="AB177" s="142" t="s">
        <v>27</v>
      </c>
      <c r="AC177" s="140"/>
      <c r="AD177" s="156">
        <v>0</v>
      </c>
      <c r="AE177" s="156"/>
      <c r="AF177" s="156">
        <v>0</v>
      </c>
      <c r="AG177" s="156"/>
      <c r="AH177" s="156">
        <v>0</v>
      </c>
      <c r="AI177" s="156"/>
      <c r="AJ177" s="143">
        <f t="shared" si="33"/>
        <v>0</v>
      </c>
      <c r="AK177" s="143"/>
      <c r="AL177" s="156">
        <v>0</v>
      </c>
      <c r="AM177" s="143"/>
      <c r="AN177" s="156">
        <v>0</v>
      </c>
      <c r="AO177" s="156"/>
      <c r="AP177" s="156">
        <v>0</v>
      </c>
      <c r="AQ177" s="156"/>
      <c r="AR177" s="156">
        <v>0</v>
      </c>
      <c r="AS177" s="156"/>
      <c r="AT177" s="143">
        <f t="shared" si="31"/>
        <v>0</v>
      </c>
      <c r="AU177" s="143"/>
      <c r="AV177" s="156">
        <v>0</v>
      </c>
      <c r="AW177" s="156"/>
      <c r="AX177" s="156">
        <v>0</v>
      </c>
      <c r="AY177" s="156"/>
      <c r="AZ177" s="156">
        <f t="shared" si="32"/>
        <v>0</v>
      </c>
      <c r="BA177" s="140"/>
      <c r="BB177" s="142" t="s">
        <v>205</v>
      </c>
      <c r="BD177" s="142" t="s">
        <v>27</v>
      </c>
      <c r="BE177" s="156"/>
      <c r="BF177" s="156">
        <v>0</v>
      </c>
      <c r="BG177" s="156"/>
      <c r="BH177" s="156">
        <v>0</v>
      </c>
      <c r="BI177" s="156"/>
      <c r="BJ177" s="156">
        <v>0</v>
      </c>
      <c r="BK177" s="156"/>
      <c r="BL177" s="156">
        <v>0</v>
      </c>
      <c r="BM177" s="156"/>
      <c r="BN177" s="156">
        <f t="shared" si="30"/>
        <v>0</v>
      </c>
      <c r="BO177" s="158"/>
      <c r="BS177" s="159"/>
      <c r="BT177" s="159"/>
      <c r="BU177" s="160"/>
      <c r="BV177" s="159"/>
      <c r="BW177" s="159"/>
      <c r="BX177" s="159"/>
      <c r="BY177" s="159"/>
      <c r="BZ177" s="159"/>
      <c r="CA177" s="159"/>
      <c r="CB177" s="159"/>
      <c r="CC177" s="159"/>
      <c r="CD177" s="159"/>
      <c r="CE177" s="159"/>
      <c r="CF177" s="159"/>
      <c r="CG177" s="159"/>
      <c r="CH177" s="159"/>
      <c r="CI177" s="159"/>
      <c r="CJ177" s="159"/>
      <c r="CK177" s="159"/>
      <c r="CL177" s="159"/>
      <c r="CM177" s="159"/>
      <c r="CN177" s="159"/>
      <c r="CO177" s="159"/>
      <c r="CP177" s="159"/>
      <c r="CQ177" s="159"/>
    </row>
    <row r="178" spans="1:95" s="35" customFormat="1" ht="12.75" customHeight="1">
      <c r="A178" s="35" t="s">
        <v>206</v>
      </c>
      <c r="C178" s="35" t="s">
        <v>47</v>
      </c>
      <c r="D178" s="44"/>
      <c r="E178" s="53">
        <v>3367650</v>
      </c>
      <c r="F178" s="53"/>
      <c r="G178" s="53">
        <v>14652067</v>
      </c>
      <c r="H178" s="53"/>
      <c r="I178" s="53">
        <v>18019717</v>
      </c>
      <c r="J178" s="53"/>
      <c r="K178" s="53">
        <v>1577399</v>
      </c>
      <c r="L178" s="53"/>
      <c r="M178" s="53">
        <v>73885</v>
      </c>
      <c r="N178" s="53"/>
      <c r="O178" s="53">
        <v>1651284</v>
      </c>
      <c r="P178" s="53"/>
      <c r="Q178" s="53">
        <v>13180067</v>
      </c>
      <c r="R178" s="53"/>
      <c r="S178" s="53">
        <v>0</v>
      </c>
      <c r="T178" s="53"/>
      <c r="U178" s="53">
        <v>3188366</v>
      </c>
      <c r="V178" s="53"/>
      <c r="W178" s="53">
        <f>SUM(Q178:U178)</f>
        <v>16368433</v>
      </c>
      <c r="X178" s="51"/>
      <c r="Y178" s="51"/>
      <c r="Z178" s="35" t="s">
        <v>206</v>
      </c>
      <c r="AA178" s="53"/>
      <c r="AB178" s="35" t="s">
        <v>47</v>
      </c>
      <c r="AD178" s="53">
        <v>4191280</v>
      </c>
      <c r="AE178" s="53"/>
      <c r="AF178" s="53">
        <v>2374528</v>
      </c>
      <c r="AG178" s="53"/>
      <c r="AH178" s="53">
        <v>504631</v>
      </c>
      <c r="AI178" s="53"/>
      <c r="AJ178" s="45">
        <f t="shared" ref="AJ178:AJ198" si="34">+AD178-AF178-AH178</f>
        <v>1312121</v>
      </c>
      <c r="AK178" s="45"/>
      <c r="AL178" s="53">
        <v>-68224</v>
      </c>
      <c r="AM178" s="45"/>
      <c r="AN178" s="53">
        <v>0</v>
      </c>
      <c r="AO178" s="53"/>
      <c r="AP178" s="53">
        <v>0</v>
      </c>
      <c r="AQ178" s="53"/>
      <c r="AR178" s="53">
        <v>0</v>
      </c>
      <c r="AS178" s="53"/>
      <c r="AT178" s="45">
        <f t="shared" ref="AT178:AT198" si="35">+AJ178+AL178+AN178-AP178+AR178</f>
        <v>1243897</v>
      </c>
      <c r="AU178" s="45"/>
      <c r="AV178" s="53">
        <v>0</v>
      </c>
      <c r="AW178" s="53"/>
      <c r="AX178" s="53">
        <v>0</v>
      </c>
      <c r="AY178" s="53"/>
      <c r="AZ178" s="53">
        <f t="shared" ref="AZ178:AZ198" si="36">E178-K178</f>
        <v>1790251</v>
      </c>
      <c r="BA178" s="51"/>
      <c r="BB178" s="35" t="s">
        <v>206</v>
      </c>
      <c r="BD178" s="35" t="s">
        <v>47</v>
      </c>
      <c r="BE178" s="53"/>
      <c r="BF178" s="53">
        <v>0</v>
      </c>
      <c r="BG178" s="53"/>
      <c r="BH178" s="53">
        <v>0</v>
      </c>
      <c r="BI178" s="53"/>
      <c r="BJ178" s="53">
        <v>0</v>
      </c>
      <c r="BK178" s="53"/>
      <c r="BL178" s="53">
        <v>73885</v>
      </c>
      <c r="BM178" s="53"/>
      <c r="BN178" s="53">
        <f t="shared" si="30"/>
        <v>73885</v>
      </c>
      <c r="BO178" s="54"/>
      <c r="BS178" s="55"/>
      <c r="BT178" s="55"/>
      <c r="BU178" s="84"/>
      <c r="BV178" s="55"/>
      <c r="BW178" s="55"/>
      <c r="BX178" s="55"/>
      <c r="BY178" s="55"/>
      <c r="BZ178" s="55"/>
      <c r="CA178" s="55"/>
      <c r="CB178" s="55"/>
      <c r="CC178" s="55"/>
      <c r="CD178" s="55"/>
      <c r="CE178" s="55"/>
      <c r="CF178" s="55"/>
      <c r="CG178" s="55"/>
      <c r="CH178" s="55"/>
      <c r="CI178" s="55"/>
      <c r="CJ178" s="55"/>
      <c r="CK178" s="55"/>
      <c r="CL178" s="55"/>
      <c r="CM178" s="55"/>
      <c r="CN178" s="55"/>
      <c r="CO178" s="55"/>
      <c r="CP178" s="55"/>
      <c r="CQ178" s="55"/>
    </row>
    <row r="179" spans="1:95" s="35" customFormat="1" ht="12.75" customHeight="1">
      <c r="A179" s="35" t="s">
        <v>207</v>
      </c>
      <c r="B179" s="51"/>
      <c r="C179" s="35" t="s">
        <v>102</v>
      </c>
      <c r="D179" s="44"/>
      <c r="E179" s="53">
        <v>3060600</v>
      </c>
      <c r="F179" s="53"/>
      <c r="G179" s="53">
        <v>17931992</v>
      </c>
      <c r="H179" s="53"/>
      <c r="I179" s="53">
        <v>20992592</v>
      </c>
      <c r="J179" s="53"/>
      <c r="K179" s="53">
        <v>897159</v>
      </c>
      <c r="L179" s="53"/>
      <c r="M179" s="53">
        <v>3266604</v>
      </c>
      <c r="N179" s="53"/>
      <c r="O179" s="53">
        <v>4163763</v>
      </c>
      <c r="P179" s="53"/>
      <c r="Q179" s="53">
        <v>14107223</v>
      </c>
      <c r="R179" s="53"/>
      <c r="S179" s="53">
        <v>0</v>
      </c>
      <c r="T179" s="53"/>
      <c r="U179" s="53">
        <v>2721606</v>
      </c>
      <c r="V179" s="53"/>
      <c r="W179" s="53">
        <f t="shared" si="29"/>
        <v>16828829</v>
      </c>
      <c r="X179" s="51"/>
      <c r="Y179" s="51"/>
      <c r="Z179" s="35" t="s">
        <v>207</v>
      </c>
      <c r="AA179" s="53"/>
      <c r="AB179" s="35" t="s">
        <v>102</v>
      </c>
      <c r="AC179" s="51"/>
      <c r="AD179" s="53">
        <v>1717300</v>
      </c>
      <c r="AE179" s="53"/>
      <c r="AF179" s="53">
        <v>1262435</v>
      </c>
      <c r="AG179" s="53"/>
      <c r="AH179" s="53">
        <v>502492</v>
      </c>
      <c r="AI179" s="53"/>
      <c r="AJ179" s="45">
        <f t="shared" si="34"/>
        <v>-47627</v>
      </c>
      <c r="AK179" s="45"/>
      <c r="AL179" s="53">
        <v>-59195</v>
      </c>
      <c r="AM179" s="45"/>
      <c r="AN179" s="53">
        <v>0</v>
      </c>
      <c r="AO179" s="53"/>
      <c r="AP179" s="53">
        <v>0</v>
      </c>
      <c r="AQ179" s="53"/>
      <c r="AR179" s="53">
        <v>669874</v>
      </c>
      <c r="AS179" s="53"/>
      <c r="AT179" s="45">
        <f t="shared" si="35"/>
        <v>563052</v>
      </c>
      <c r="AU179" s="45"/>
      <c r="AV179" s="53">
        <v>0</v>
      </c>
      <c r="AW179" s="53"/>
      <c r="AX179" s="53">
        <v>0</v>
      </c>
      <c r="AY179" s="53"/>
      <c r="AZ179" s="53">
        <f t="shared" si="36"/>
        <v>2163441</v>
      </c>
      <c r="BA179" s="51"/>
      <c r="BB179" s="35" t="s">
        <v>207</v>
      </c>
      <c r="BD179" s="35" t="s">
        <v>102</v>
      </c>
      <c r="BE179" s="53"/>
      <c r="BF179" s="53">
        <v>600139</v>
      </c>
      <c r="BG179" s="53"/>
      <c r="BH179" s="53">
        <v>0</v>
      </c>
      <c r="BI179" s="53"/>
      <c r="BJ179" s="53">
        <v>0</v>
      </c>
      <c r="BK179" s="53"/>
      <c r="BL179" s="53">
        <v>2666465</v>
      </c>
      <c r="BM179" s="53"/>
      <c r="BN179" s="53">
        <f t="shared" si="30"/>
        <v>3266604</v>
      </c>
      <c r="BO179" s="54"/>
      <c r="BS179" s="55"/>
      <c r="BT179" s="55"/>
      <c r="BU179" s="84"/>
      <c r="BV179" s="55"/>
      <c r="BW179" s="55"/>
      <c r="BX179" s="55"/>
      <c r="BY179" s="55"/>
      <c r="BZ179" s="55"/>
      <c r="CA179" s="55"/>
      <c r="CB179" s="55"/>
      <c r="CC179" s="55"/>
      <c r="CD179" s="55"/>
      <c r="CE179" s="55"/>
      <c r="CF179" s="55"/>
      <c r="CG179" s="55"/>
      <c r="CH179" s="55"/>
      <c r="CI179" s="55"/>
      <c r="CJ179" s="55"/>
      <c r="CK179" s="55"/>
      <c r="CL179" s="55"/>
      <c r="CM179" s="55"/>
      <c r="CN179" s="55"/>
      <c r="CO179" s="55"/>
      <c r="CP179" s="55"/>
      <c r="CQ179" s="55"/>
    </row>
    <row r="180" spans="1:95" s="35" customFormat="1" ht="12.75" customHeight="1">
      <c r="A180" s="35" t="s">
        <v>208</v>
      </c>
      <c r="B180" s="51"/>
      <c r="C180" s="35" t="s">
        <v>209</v>
      </c>
      <c r="D180" s="44"/>
      <c r="E180" s="53">
        <v>1376239</v>
      </c>
      <c r="F180" s="53"/>
      <c r="G180" s="53">
        <v>11231364</v>
      </c>
      <c r="H180" s="53"/>
      <c r="I180" s="53">
        <v>12607603</v>
      </c>
      <c r="J180" s="53"/>
      <c r="K180" s="53">
        <v>374639</v>
      </c>
      <c r="L180" s="53"/>
      <c r="M180" s="53">
        <v>973061</v>
      </c>
      <c r="N180" s="53"/>
      <c r="O180" s="53">
        <v>1347700</v>
      </c>
      <c r="P180" s="53"/>
      <c r="Q180" s="53">
        <v>10267019</v>
      </c>
      <c r="R180" s="53"/>
      <c r="S180" s="53">
        <v>0</v>
      </c>
      <c r="T180" s="53"/>
      <c r="U180" s="53">
        <v>992884</v>
      </c>
      <c r="V180" s="53"/>
      <c r="W180" s="53">
        <f t="shared" si="29"/>
        <v>11259903</v>
      </c>
      <c r="X180" s="51"/>
      <c r="Y180" s="51"/>
      <c r="Z180" s="35" t="s">
        <v>208</v>
      </c>
      <c r="AA180" s="53"/>
      <c r="AB180" s="35" t="s">
        <v>209</v>
      </c>
      <c r="AC180" s="51"/>
      <c r="AD180" s="53">
        <v>2705693</v>
      </c>
      <c r="AE180" s="53"/>
      <c r="AF180" s="53">
        <v>2329324</v>
      </c>
      <c r="AG180" s="53"/>
      <c r="AH180" s="53">
        <v>383162</v>
      </c>
      <c r="AI180" s="53"/>
      <c r="AJ180" s="45">
        <f t="shared" si="34"/>
        <v>-6793</v>
      </c>
      <c r="AK180" s="45"/>
      <c r="AL180" s="53">
        <v>798763</v>
      </c>
      <c r="AM180" s="45"/>
      <c r="AN180" s="53">
        <v>0</v>
      </c>
      <c r="AO180" s="53"/>
      <c r="AP180" s="53">
        <v>0</v>
      </c>
      <c r="AQ180" s="53"/>
      <c r="AR180" s="53">
        <v>0</v>
      </c>
      <c r="AS180" s="53"/>
      <c r="AT180" s="45">
        <f t="shared" si="35"/>
        <v>791970</v>
      </c>
      <c r="AU180" s="45"/>
      <c r="AV180" s="53">
        <v>0</v>
      </c>
      <c r="AW180" s="53"/>
      <c r="AX180" s="53">
        <v>0</v>
      </c>
      <c r="AY180" s="53"/>
      <c r="AZ180" s="53">
        <f t="shared" si="36"/>
        <v>1001600</v>
      </c>
      <c r="BA180" s="51"/>
      <c r="BB180" s="35" t="s">
        <v>208</v>
      </c>
      <c r="BD180" s="35" t="s">
        <v>209</v>
      </c>
      <c r="BE180" s="53"/>
      <c r="BF180" s="53">
        <v>0</v>
      </c>
      <c r="BG180" s="53"/>
      <c r="BH180" s="53">
        <v>0</v>
      </c>
      <c r="BI180" s="53"/>
      <c r="BJ180" s="53">
        <v>0</v>
      </c>
      <c r="BK180" s="53"/>
      <c r="BL180" s="53">
        <v>973061</v>
      </c>
      <c r="BM180" s="53"/>
      <c r="BN180" s="53">
        <f t="shared" si="30"/>
        <v>973061</v>
      </c>
      <c r="BO180" s="54"/>
      <c r="BS180" s="55"/>
      <c r="BT180" s="55"/>
      <c r="BU180" s="84"/>
      <c r="BV180" s="55"/>
      <c r="BW180" s="55"/>
      <c r="BX180" s="55"/>
      <c r="BY180" s="55"/>
      <c r="BZ180" s="55"/>
      <c r="CA180" s="55"/>
      <c r="CB180" s="55"/>
      <c r="CC180" s="55"/>
      <c r="CD180" s="55"/>
      <c r="CE180" s="55"/>
      <c r="CF180" s="55"/>
      <c r="CG180" s="55"/>
      <c r="CH180" s="55"/>
      <c r="CI180" s="55"/>
      <c r="CJ180" s="55"/>
      <c r="CK180" s="55"/>
      <c r="CL180" s="55"/>
      <c r="CM180" s="55"/>
      <c r="CN180" s="55"/>
      <c r="CO180" s="55"/>
      <c r="CP180" s="55"/>
      <c r="CQ180" s="55"/>
    </row>
    <row r="181" spans="1:95" s="35" customFormat="1" ht="12.75" customHeight="1">
      <c r="A181" s="44" t="s">
        <v>210</v>
      </c>
      <c r="B181" s="51"/>
      <c r="C181" s="44" t="s">
        <v>211</v>
      </c>
      <c r="D181" s="44"/>
      <c r="E181" s="53">
        <f>I181-G181</f>
        <v>622134</v>
      </c>
      <c r="F181" s="53"/>
      <c r="G181" s="53">
        <v>2076763</v>
      </c>
      <c r="H181" s="53"/>
      <c r="I181" s="53">
        <v>2698897</v>
      </c>
      <c r="J181" s="53"/>
      <c r="K181" s="53">
        <f t="shared" si="28"/>
        <v>100699</v>
      </c>
      <c r="L181" s="53"/>
      <c r="M181" s="53">
        <v>781868</v>
      </c>
      <c r="N181" s="53"/>
      <c r="O181" s="53">
        <v>882567</v>
      </c>
      <c r="P181" s="53"/>
      <c r="Q181" s="53">
        <v>1235208</v>
      </c>
      <c r="R181" s="53"/>
      <c r="S181" s="53">
        <v>0</v>
      </c>
      <c r="T181" s="53"/>
      <c r="U181" s="53">
        <v>581122</v>
      </c>
      <c r="V181" s="53"/>
      <c r="W181" s="53">
        <f t="shared" si="29"/>
        <v>1816330</v>
      </c>
      <c r="X181" s="66"/>
      <c r="Y181" s="64"/>
      <c r="Z181" s="44" t="s">
        <v>210</v>
      </c>
      <c r="AA181" s="53"/>
      <c r="AB181" s="44" t="s">
        <v>211</v>
      </c>
      <c r="AC181" s="51"/>
      <c r="AD181" s="53">
        <v>1495987</v>
      </c>
      <c r="AE181" s="53"/>
      <c r="AF181" s="53">
        <v>1183194</v>
      </c>
      <c r="AG181" s="53"/>
      <c r="AH181" s="53">
        <v>61628</v>
      </c>
      <c r="AI181" s="53"/>
      <c r="AJ181" s="45">
        <f t="shared" si="34"/>
        <v>251165</v>
      </c>
      <c r="AK181" s="45"/>
      <c r="AL181" s="53">
        <v>39137</v>
      </c>
      <c r="AM181" s="45"/>
      <c r="AN181" s="53">
        <v>3955</v>
      </c>
      <c r="AO181" s="53"/>
      <c r="AP181" s="53">
        <v>60000</v>
      </c>
      <c r="AQ181" s="53"/>
      <c r="AR181" s="53">
        <v>0</v>
      </c>
      <c r="AS181" s="53"/>
      <c r="AT181" s="45">
        <f t="shared" si="35"/>
        <v>234257</v>
      </c>
      <c r="AU181" s="45"/>
      <c r="AV181" s="53">
        <v>0</v>
      </c>
      <c r="AW181" s="53"/>
      <c r="AX181" s="53">
        <v>0</v>
      </c>
      <c r="AY181" s="53"/>
      <c r="AZ181" s="53">
        <f t="shared" si="36"/>
        <v>521435</v>
      </c>
      <c r="BA181" s="66"/>
      <c r="BB181" s="44" t="s">
        <v>210</v>
      </c>
      <c r="BD181" s="44" t="s">
        <v>211</v>
      </c>
      <c r="BE181" s="53"/>
      <c r="BF181" s="53">
        <v>0</v>
      </c>
      <c r="BG181" s="53"/>
      <c r="BH181" s="53">
        <v>0</v>
      </c>
      <c r="BI181" s="53"/>
      <c r="BJ181" s="53">
        <v>719329</v>
      </c>
      <c r="BK181" s="53"/>
      <c r="BL181" s="53">
        <v>62539</v>
      </c>
      <c r="BM181" s="53"/>
      <c r="BN181" s="53">
        <f t="shared" si="30"/>
        <v>781868</v>
      </c>
      <c r="BO181" s="54"/>
      <c r="BS181" s="55"/>
      <c r="BT181" s="55"/>
      <c r="BU181" s="84"/>
      <c r="BV181" s="55"/>
      <c r="BW181" s="55"/>
      <c r="BX181" s="55"/>
      <c r="BY181" s="55"/>
      <c r="BZ181" s="55"/>
      <c r="CA181" s="55"/>
      <c r="CB181" s="55"/>
      <c r="CC181" s="55"/>
      <c r="CD181" s="55"/>
      <c r="CE181" s="55"/>
      <c r="CF181" s="55"/>
      <c r="CG181" s="55"/>
      <c r="CH181" s="55"/>
      <c r="CI181" s="55"/>
      <c r="CJ181" s="55"/>
      <c r="CK181" s="55"/>
      <c r="CL181" s="55"/>
      <c r="CM181" s="55"/>
      <c r="CN181" s="55"/>
      <c r="CO181" s="55"/>
      <c r="CP181" s="55"/>
      <c r="CQ181" s="55"/>
    </row>
    <row r="182" spans="1:95" s="35" customFormat="1" ht="12.75" customHeight="1">
      <c r="A182" s="44" t="s">
        <v>212</v>
      </c>
      <c r="B182" s="51"/>
      <c r="C182" s="44" t="s">
        <v>213</v>
      </c>
      <c r="D182" s="44"/>
      <c r="E182" s="53">
        <f t="shared" si="27"/>
        <v>7906026</v>
      </c>
      <c r="F182" s="53"/>
      <c r="G182" s="53">
        <v>14944691</v>
      </c>
      <c r="H182" s="53"/>
      <c r="I182" s="53">
        <v>22850717</v>
      </c>
      <c r="J182" s="53"/>
      <c r="K182" s="53">
        <f t="shared" si="28"/>
        <v>1759317</v>
      </c>
      <c r="L182" s="53"/>
      <c r="M182" s="53">
        <v>10712583</v>
      </c>
      <c r="N182" s="53"/>
      <c r="O182" s="53">
        <v>12471900</v>
      </c>
      <c r="P182" s="53"/>
      <c r="Q182" s="53">
        <v>7360652</v>
      </c>
      <c r="R182" s="53"/>
      <c r="S182" s="53">
        <v>783278</v>
      </c>
      <c r="T182" s="53"/>
      <c r="U182" s="53">
        <v>2234887</v>
      </c>
      <c r="V182" s="53"/>
      <c r="W182" s="53">
        <f t="shared" si="29"/>
        <v>10378817</v>
      </c>
      <c r="X182" s="51"/>
      <c r="Y182" s="51"/>
      <c r="Z182" s="44" t="s">
        <v>212</v>
      </c>
      <c r="AA182" s="53"/>
      <c r="AB182" s="44" t="s">
        <v>213</v>
      </c>
      <c r="AC182" s="51"/>
      <c r="AD182" s="53">
        <v>5435168</v>
      </c>
      <c r="AE182" s="53"/>
      <c r="AF182" s="53">
        <v>4882428</v>
      </c>
      <c r="AG182" s="53"/>
      <c r="AH182" s="53">
        <v>375653</v>
      </c>
      <c r="AI182" s="53"/>
      <c r="AJ182" s="45">
        <f t="shared" si="34"/>
        <v>177087</v>
      </c>
      <c r="AK182" s="45"/>
      <c r="AL182" s="53">
        <v>-171084</v>
      </c>
      <c r="AM182" s="45"/>
      <c r="AN182" s="53">
        <v>0</v>
      </c>
      <c r="AO182" s="53"/>
      <c r="AP182" s="53">
        <v>0</v>
      </c>
      <c r="AQ182" s="53"/>
      <c r="AR182" s="53">
        <v>0</v>
      </c>
      <c r="AS182" s="53"/>
      <c r="AT182" s="45">
        <f t="shared" si="35"/>
        <v>6003</v>
      </c>
      <c r="AU182" s="45"/>
      <c r="AV182" s="53">
        <v>0</v>
      </c>
      <c r="AW182" s="53"/>
      <c r="AX182" s="53">
        <v>0</v>
      </c>
      <c r="AY182" s="53"/>
      <c r="AZ182" s="53">
        <f t="shared" si="36"/>
        <v>6146709</v>
      </c>
      <c r="BA182" s="51"/>
      <c r="BB182" s="44" t="s">
        <v>212</v>
      </c>
      <c r="BD182" s="44" t="s">
        <v>213</v>
      </c>
      <c r="BE182" s="53"/>
      <c r="BF182" s="53">
        <v>0</v>
      </c>
      <c r="BG182" s="53"/>
      <c r="BH182" s="53">
        <v>3400093</v>
      </c>
      <c r="BI182" s="53"/>
      <c r="BJ182" s="53">
        <v>1670090</v>
      </c>
      <c r="BK182" s="53"/>
      <c r="BL182" s="53">
        <v>5642400</v>
      </c>
      <c r="BM182" s="53"/>
      <c r="BN182" s="53">
        <f t="shared" si="30"/>
        <v>10712583</v>
      </c>
      <c r="BO182" s="54"/>
      <c r="BP182" s="55"/>
      <c r="BS182" s="55"/>
      <c r="BT182" s="55"/>
      <c r="BU182" s="84"/>
      <c r="BV182" s="55"/>
      <c r="BW182" s="55"/>
      <c r="BX182" s="55"/>
      <c r="BY182" s="55"/>
      <c r="BZ182" s="55"/>
      <c r="CA182" s="55"/>
      <c r="CB182" s="55"/>
      <c r="CC182" s="55"/>
      <c r="CD182" s="55"/>
      <c r="CE182" s="55"/>
      <c r="CF182" s="55"/>
      <c r="CG182" s="55"/>
      <c r="CH182" s="55"/>
      <c r="CI182" s="55"/>
      <c r="CJ182" s="55"/>
      <c r="CK182" s="55"/>
      <c r="CL182" s="55"/>
      <c r="CM182" s="55"/>
      <c r="CN182" s="55"/>
      <c r="CO182" s="55"/>
      <c r="CP182" s="55"/>
      <c r="CQ182" s="55"/>
    </row>
    <row r="183" spans="1:95" s="142" customFormat="1" ht="12.75" hidden="1" customHeight="1">
      <c r="A183" s="137" t="s">
        <v>214</v>
      </c>
      <c r="B183" s="140"/>
      <c r="C183" s="137" t="s">
        <v>86</v>
      </c>
      <c r="D183" s="137"/>
      <c r="E183" s="156">
        <f t="shared" si="27"/>
        <v>0</v>
      </c>
      <c r="F183" s="156"/>
      <c r="G183" s="156">
        <v>0</v>
      </c>
      <c r="H183" s="156"/>
      <c r="I183" s="156">
        <v>0</v>
      </c>
      <c r="J183" s="156"/>
      <c r="K183" s="156">
        <f>O183-M183</f>
        <v>0</v>
      </c>
      <c r="L183" s="156"/>
      <c r="M183" s="156">
        <v>0</v>
      </c>
      <c r="N183" s="156"/>
      <c r="O183" s="156">
        <v>0</v>
      </c>
      <c r="P183" s="156"/>
      <c r="Q183" s="156">
        <v>0</v>
      </c>
      <c r="R183" s="156"/>
      <c r="S183" s="156">
        <v>0</v>
      </c>
      <c r="T183" s="156"/>
      <c r="U183" s="156">
        <v>0</v>
      </c>
      <c r="V183" s="156"/>
      <c r="W183" s="156">
        <f t="shared" si="29"/>
        <v>0</v>
      </c>
      <c r="X183" s="140"/>
      <c r="Y183" s="140"/>
      <c r="Z183" s="137" t="s">
        <v>214</v>
      </c>
      <c r="AA183" s="156"/>
      <c r="AB183" s="137" t="s">
        <v>86</v>
      </c>
      <c r="AC183" s="140"/>
      <c r="AD183" s="156">
        <v>0</v>
      </c>
      <c r="AE183" s="156"/>
      <c r="AF183" s="156">
        <v>0</v>
      </c>
      <c r="AG183" s="156"/>
      <c r="AH183" s="156">
        <v>0</v>
      </c>
      <c r="AI183" s="156"/>
      <c r="AJ183" s="143">
        <f t="shared" si="34"/>
        <v>0</v>
      </c>
      <c r="AK183" s="143"/>
      <c r="AL183" s="156">
        <v>0</v>
      </c>
      <c r="AM183" s="143"/>
      <c r="AN183" s="156">
        <v>0</v>
      </c>
      <c r="AO183" s="156"/>
      <c r="AP183" s="156">
        <v>0</v>
      </c>
      <c r="AQ183" s="156"/>
      <c r="AR183" s="156">
        <v>0</v>
      </c>
      <c r="AS183" s="156"/>
      <c r="AT183" s="143">
        <f t="shared" si="35"/>
        <v>0</v>
      </c>
      <c r="AU183" s="143"/>
      <c r="AV183" s="156">
        <v>0</v>
      </c>
      <c r="AW183" s="156"/>
      <c r="AX183" s="156">
        <v>0</v>
      </c>
      <c r="AY183" s="156"/>
      <c r="AZ183" s="156">
        <f t="shared" si="36"/>
        <v>0</v>
      </c>
      <c r="BA183" s="140"/>
      <c r="BB183" s="137" t="s">
        <v>214</v>
      </c>
      <c r="BD183" s="137" t="s">
        <v>86</v>
      </c>
      <c r="BE183" s="156"/>
      <c r="BF183" s="156">
        <v>0</v>
      </c>
      <c r="BG183" s="156"/>
      <c r="BH183" s="156">
        <v>0</v>
      </c>
      <c r="BI183" s="156"/>
      <c r="BJ183" s="156">
        <v>0</v>
      </c>
      <c r="BK183" s="156"/>
      <c r="BL183" s="156">
        <v>0</v>
      </c>
      <c r="BM183" s="156"/>
      <c r="BN183" s="156">
        <f t="shared" si="30"/>
        <v>0</v>
      </c>
      <c r="BO183" s="158"/>
      <c r="BS183" s="159"/>
      <c r="BT183" s="159"/>
      <c r="BU183" s="160"/>
      <c r="BV183" s="159"/>
      <c r="BW183" s="159"/>
      <c r="BX183" s="159"/>
      <c r="BY183" s="159"/>
      <c r="BZ183" s="159"/>
      <c r="CA183" s="159"/>
      <c r="CB183" s="159"/>
      <c r="CC183" s="159"/>
      <c r="CD183" s="159"/>
      <c r="CE183" s="159"/>
      <c r="CF183" s="159"/>
      <c r="CG183" s="159"/>
      <c r="CH183" s="159"/>
      <c r="CI183" s="159"/>
      <c r="CJ183" s="159"/>
      <c r="CK183" s="159"/>
      <c r="CL183" s="159"/>
      <c r="CM183" s="159"/>
      <c r="CN183" s="159"/>
      <c r="CO183" s="159"/>
      <c r="CP183" s="159"/>
      <c r="CQ183" s="159"/>
    </row>
    <row r="184" spans="1:95" s="35" customFormat="1" ht="12.75" customHeight="1">
      <c r="A184" s="35" t="s">
        <v>215</v>
      </c>
      <c r="C184" s="35" t="s">
        <v>22</v>
      </c>
      <c r="D184" s="44"/>
      <c r="E184" s="53">
        <f>I184-G184</f>
        <v>1947037</v>
      </c>
      <c r="F184" s="53"/>
      <c r="G184" s="53">
        <v>20197329</v>
      </c>
      <c r="H184" s="53"/>
      <c r="I184" s="53">
        <v>22144366</v>
      </c>
      <c r="J184" s="53"/>
      <c r="K184" s="53">
        <f>O184-M184</f>
        <v>627002</v>
      </c>
      <c r="L184" s="53"/>
      <c r="M184" s="53">
        <v>1170511</v>
      </c>
      <c r="N184" s="53"/>
      <c r="O184" s="53">
        <v>1797513</v>
      </c>
      <c r="P184" s="53"/>
      <c r="Q184" s="53">
        <v>17984919</v>
      </c>
      <c r="R184" s="53"/>
      <c r="S184" s="53">
        <v>885639</v>
      </c>
      <c r="T184" s="53"/>
      <c r="U184" s="53">
        <v>1476295</v>
      </c>
      <c r="V184" s="53"/>
      <c r="W184" s="53">
        <f>SUM(Q184:U184)</f>
        <v>20346853</v>
      </c>
      <c r="X184" s="51"/>
      <c r="Y184" s="51"/>
      <c r="Z184" s="44" t="s">
        <v>214</v>
      </c>
      <c r="AA184" s="53"/>
      <c r="AB184" s="44" t="s">
        <v>86</v>
      </c>
      <c r="AC184" s="51"/>
      <c r="AD184" s="53">
        <v>2838123</v>
      </c>
      <c r="AE184" s="53"/>
      <c r="AF184" s="53">
        <v>2891982</v>
      </c>
      <c r="AG184" s="53"/>
      <c r="AH184" s="53">
        <v>549172</v>
      </c>
      <c r="AI184" s="53"/>
      <c r="AJ184" s="45">
        <f t="shared" si="34"/>
        <v>-603031</v>
      </c>
      <c r="AK184" s="45"/>
      <c r="AL184" s="53">
        <v>373226</v>
      </c>
      <c r="AM184" s="45"/>
      <c r="AN184" s="53">
        <v>402674</v>
      </c>
      <c r="AO184" s="53"/>
      <c r="AP184" s="53">
        <v>0</v>
      </c>
      <c r="AQ184" s="53"/>
      <c r="AR184" s="53">
        <v>0</v>
      </c>
      <c r="AS184" s="53"/>
      <c r="AT184" s="45">
        <f t="shared" si="35"/>
        <v>172869</v>
      </c>
      <c r="AU184" s="45"/>
      <c r="AV184" s="53">
        <v>0</v>
      </c>
      <c r="AW184" s="53"/>
      <c r="AX184" s="53">
        <v>0</v>
      </c>
      <c r="AY184" s="53"/>
      <c r="AZ184" s="53">
        <f t="shared" si="36"/>
        <v>1320035</v>
      </c>
      <c r="BA184" s="51"/>
      <c r="BB184" s="44" t="s">
        <v>214</v>
      </c>
      <c r="BD184" s="44" t="s">
        <v>86</v>
      </c>
      <c r="BE184" s="53"/>
      <c r="BF184" s="53">
        <v>0</v>
      </c>
      <c r="BG184" s="53"/>
      <c r="BH184" s="53">
        <v>355801</v>
      </c>
      <c r="BI184" s="53"/>
      <c r="BJ184" s="53">
        <v>615356</v>
      </c>
      <c r="BK184" s="53"/>
      <c r="BL184" s="53">
        <v>199354</v>
      </c>
      <c r="BM184" s="53"/>
      <c r="BN184" s="53">
        <f>SUM(BF184:BL184)</f>
        <v>1170511</v>
      </c>
      <c r="BO184" s="54"/>
      <c r="BS184" s="55"/>
      <c r="BT184" s="55"/>
      <c r="BU184" s="84"/>
      <c r="BV184" s="55"/>
      <c r="BW184" s="55"/>
      <c r="BX184" s="55"/>
      <c r="BY184" s="55"/>
      <c r="BZ184" s="55"/>
      <c r="CA184" s="55"/>
      <c r="CB184" s="55"/>
      <c r="CC184" s="55"/>
      <c r="CD184" s="55"/>
      <c r="CE184" s="55"/>
      <c r="CF184" s="55"/>
      <c r="CG184" s="55"/>
      <c r="CH184" s="55"/>
      <c r="CI184" s="55"/>
      <c r="CJ184" s="55"/>
      <c r="CK184" s="55"/>
      <c r="CL184" s="55"/>
      <c r="CM184" s="55"/>
      <c r="CN184" s="55"/>
      <c r="CO184" s="55"/>
      <c r="CP184" s="55"/>
      <c r="CQ184" s="55"/>
    </row>
    <row r="185" spans="1:95" s="142" customFormat="1" ht="12.75" hidden="1" customHeight="1">
      <c r="A185" s="142" t="s">
        <v>216</v>
      </c>
      <c r="B185" s="140"/>
      <c r="C185" s="142" t="s">
        <v>45</v>
      </c>
      <c r="D185" s="137"/>
      <c r="E185" s="156">
        <f t="shared" si="27"/>
        <v>0</v>
      </c>
      <c r="F185" s="156"/>
      <c r="G185" s="156"/>
      <c r="H185" s="156"/>
      <c r="I185" s="156"/>
      <c r="J185" s="156"/>
      <c r="K185" s="156">
        <f t="shared" si="28"/>
        <v>0</v>
      </c>
      <c r="L185" s="156"/>
      <c r="M185" s="156"/>
      <c r="N185" s="156"/>
      <c r="O185" s="156"/>
      <c r="P185" s="156"/>
      <c r="Q185" s="156"/>
      <c r="R185" s="156"/>
      <c r="S185" s="156"/>
      <c r="T185" s="156"/>
      <c r="U185" s="156"/>
      <c r="V185" s="156"/>
      <c r="W185" s="156">
        <f t="shared" si="29"/>
        <v>0</v>
      </c>
      <c r="X185" s="140"/>
      <c r="Y185" s="140"/>
      <c r="Z185" s="142" t="s">
        <v>216</v>
      </c>
      <c r="AA185" s="156"/>
      <c r="AB185" s="142" t="s">
        <v>45</v>
      </c>
      <c r="AC185" s="140"/>
      <c r="AD185" s="156"/>
      <c r="AE185" s="156"/>
      <c r="AF185" s="156"/>
      <c r="AG185" s="156"/>
      <c r="AH185" s="156"/>
      <c r="AI185" s="156"/>
      <c r="AJ185" s="143">
        <f t="shared" si="34"/>
        <v>0</v>
      </c>
      <c r="AK185" s="143"/>
      <c r="AL185" s="156"/>
      <c r="AM185" s="143"/>
      <c r="AN185" s="156"/>
      <c r="AO185" s="156"/>
      <c r="AP185" s="156"/>
      <c r="AQ185" s="156"/>
      <c r="AR185" s="156"/>
      <c r="AS185" s="156"/>
      <c r="AT185" s="143">
        <f t="shared" si="35"/>
        <v>0</v>
      </c>
      <c r="AU185" s="143"/>
      <c r="AV185" s="156">
        <v>0</v>
      </c>
      <c r="AW185" s="156"/>
      <c r="AX185" s="156">
        <v>0</v>
      </c>
      <c r="AY185" s="156"/>
      <c r="AZ185" s="156">
        <f t="shared" si="36"/>
        <v>0</v>
      </c>
      <c r="BA185" s="140"/>
      <c r="BB185" s="142" t="s">
        <v>216</v>
      </c>
      <c r="BD185" s="142" t="s">
        <v>45</v>
      </c>
      <c r="BE185" s="156"/>
      <c r="BF185" s="156"/>
      <c r="BG185" s="156"/>
      <c r="BH185" s="156"/>
      <c r="BI185" s="156"/>
      <c r="BJ185" s="156"/>
      <c r="BK185" s="156"/>
      <c r="BL185" s="156"/>
      <c r="BM185" s="156"/>
      <c r="BN185" s="156">
        <f t="shared" si="30"/>
        <v>0</v>
      </c>
      <c r="BO185" s="158"/>
      <c r="BS185" s="159"/>
      <c r="BT185" s="159"/>
      <c r="BU185" s="160"/>
      <c r="BV185" s="159"/>
      <c r="BW185" s="159"/>
      <c r="BX185" s="159"/>
      <c r="BY185" s="159"/>
      <c r="BZ185" s="159"/>
      <c r="CA185" s="159"/>
      <c r="CB185" s="159"/>
      <c r="CC185" s="159"/>
      <c r="CD185" s="159"/>
      <c r="CE185" s="159"/>
      <c r="CF185" s="159"/>
      <c r="CG185" s="159"/>
      <c r="CH185" s="159"/>
      <c r="CI185" s="159"/>
      <c r="CJ185" s="159"/>
      <c r="CK185" s="159"/>
      <c r="CL185" s="159"/>
      <c r="CM185" s="159"/>
      <c r="CN185" s="159"/>
      <c r="CO185" s="159"/>
      <c r="CP185" s="159"/>
      <c r="CQ185" s="159"/>
    </row>
    <row r="186" spans="1:95" s="35" customFormat="1" ht="12.75" customHeight="1">
      <c r="B186" s="51"/>
      <c r="D186" s="44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 t="s">
        <v>485</v>
      </c>
      <c r="X186" s="51"/>
      <c r="Y186" s="51"/>
      <c r="AA186" s="53"/>
      <c r="AC186" s="51"/>
      <c r="AD186" s="53"/>
      <c r="AE186" s="53"/>
      <c r="AF186" s="53"/>
      <c r="AG186" s="53"/>
      <c r="AH186" s="53"/>
      <c r="AI186" s="53"/>
      <c r="AJ186" s="45"/>
      <c r="AK186" s="45"/>
      <c r="AL186" s="53"/>
      <c r="AM186" s="45"/>
      <c r="AN186" s="53"/>
      <c r="AO186" s="53"/>
      <c r="AP186" s="53"/>
      <c r="AQ186" s="53"/>
      <c r="AR186" s="53"/>
      <c r="AS186" s="53"/>
      <c r="AT186" s="45"/>
      <c r="AU186" s="45"/>
      <c r="AV186" s="53"/>
      <c r="AW186" s="53"/>
      <c r="AX186" s="53"/>
      <c r="AY186" s="53"/>
      <c r="AZ186" s="53" t="s">
        <v>485</v>
      </c>
      <c r="BA186" s="51"/>
      <c r="BE186" s="53"/>
      <c r="BF186" s="53"/>
      <c r="BG186" s="53"/>
      <c r="BH186" s="53"/>
      <c r="BI186" s="53"/>
      <c r="BJ186" s="53"/>
      <c r="BK186" s="53"/>
      <c r="BL186" s="53"/>
      <c r="BM186" s="53"/>
      <c r="BN186" s="53" t="s">
        <v>485</v>
      </c>
      <c r="BO186" s="54"/>
      <c r="BS186" s="55"/>
      <c r="BT186" s="55"/>
      <c r="BU186" s="84"/>
      <c r="BV186" s="55"/>
      <c r="BW186" s="55"/>
      <c r="BX186" s="55"/>
      <c r="BY186" s="55"/>
      <c r="BZ186" s="55"/>
      <c r="CA186" s="55"/>
      <c r="CB186" s="55"/>
      <c r="CC186" s="55"/>
      <c r="CD186" s="55"/>
      <c r="CE186" s="55"/>
      <c r="CF186" s="55"/>
      <c r="CG186" s="55"/>
      <c r="CH186" s="55"/>
      <c r="CI186" s="55"/>
      <c r="CJ186" s="55"/>
      <c r="CK186" s="55"/>
      <c r="CL186" s="55"/>
      <c r="CM186" s="55"/>
      <c r="CN186" s="55"/>
      <c r="CO186" s="55"/>
      <c r="CP186" s="55"/>
      <c r="CQ186" s="55"/>
    </row>
    <row r="187" spans="1:95" s="64" customFormat="1" ht="12.75" customHeight="1">
      <c r="A187" s="64" t="s">
        <v>217</v>
      </c>
      <c r="B187" s="66"/>
      <c r="C187" s="64" t="s">
        <v>43</v>
      </c>
      <c r="D187" s="46"/>
      <c r="E187" s="79">
        <f t="shared" si="27"/>
        <v>3629512</v>
      </c>
      <c r="F187" s="79"/>
      <c r="G187" s="79">
        <v>22870295</v>
      </c>
      <c r="H187" s="79"/>
      <c r="I187" s="79">
        <v>26499807</v>
      </c>
      <c r="J187" s="79"/>
      <c r="K187" s="79">
        <f t="shared" si="28"/>
        <v>2221468</v>
      </c>
      <c r="L187" s="79"/>
      <c r="M187" s="79">
        <v>2044187</v>
      </c>
      <c r="N187" s="79"/>
      <c r="O187" s="79">
        <v>4265655</v>
      </c>
      <c r="P187" s="79"/>
      <c r="Q187" s="79">
        <v>21333428</v>
      </c>
      <c r="R187" s="79"/>
      <c r="S187" s="79">
        <v>0</v>
      </c>
      <c r="T187" s="79"/>
      <c r="U187" s="79">
        <v>900724</v>
      </c>
      <c r="V187" s="79"/>
      <c r="W187" s="79">
        <f t="shared" si="29"/>
        <v>22234152</v>
      </c>
      <c r="X187" s="66"/>
      <c r="Y187" s="66"/>
      <c r="Z187" s="64" t="s">
        <v>217</v>
      </c>
      <c r="AA187" s="79"/>
      <c r="AB187" s="64" t="s">
        <v>43</v>
      </c>
      <c r="AC187" s="66"/>
      <c r="AD187" s="79">
        <v>3556765</v>
      </c>
      <c r="AE187" s="79"/>
      <c r="AF187" s="79">
        <v>4398887</v>
      </c>
      <c r="AG187" s="79"/>
      <c r="AH187" s="79">
        <v>620158</v>
      </c>
      <c r="AI187" s="79"/>
      <c r="AJ187" s="94">
        <f t="shared" si="34"/>
        <v>-1462280</v>
      </c>
      <c r="AK187" s="94"/>
      <c r="AL187" s="79">
        <v>-97781</v>
      </c>
      <c r="AM187" s="94"/>
      <c r="AN187" s="79">
        <v>0</v>
      </c>
      <c r="AO187" s="79"/>
      <c r="AP187" s="79">
        <v>0</v>
      </c>
      <c r="AQ187" s="79"/>
      <c r="AR187" s="79">
        <v>429524</v>
      </c>
      <c r="AS187" s="79"/>
      <c r="AT187" s="94">
        <f t="shared" si="35"/>
        <v>-1130537</v>
      </c>
      <c r="AU187" s="94"/>
      <c r="AV187" s="79">
        <v>0</v>
      </c>
      <c r="AW187" s="79"/>
      <c r="AX187" s="79">
        <v>0</v>
      </c>
      <c r="AY187" s="79"/>
      <c r="AZ187" s="79">
        <f t="shared" si="36"/>
        <v>1408044</v>
      </c>
      <c r="BA187" s="66"/>
      <c r="BB187" s="64" t="s">
        <v>217</v>
      </c>
      <c r="BD187" s="64" t="s">
        <v>43</v>
      </c>
      <c r="BE187" s="79"/>
      <c r="BF187" s="79">
        <v>896950</v>
      </c>
      <c r="BG187" s="79"/>
      <c r="BH187" s="79">
        <v>0</v>
      </c>
      <c r="BI187" s="79"/>
      <c r="BJ187" s="79">
        <v>0</v>
      </c>
      <c r="BK187" s="79"/>
      <c r="BL187" s="79">
        <v>1147237</v>
      </c>
      <c r="BM187" s="79"/>
      <c r="BN187" s="79">
        <f t="shared" si="30"/>
        <v>2044187</v>
      </c>
      <c r="BO187" s="91"/>
      <c r="BS187" s="90"/>
      <c r="BT187" s="90"/>
      <c r="BU187" s="95"/>
      <c r="BV187" s="90"/>
      <c r="BW187" s="90"/>
      <c r="BX187" s="90"/>
      <c r="BY187" s="90"/>
      <c r="BZ187" s="90"/>
      <c r="CA187" s="90"/>
      <c r="CB187" s="90"/>
      <c r="CC187" s="90"/>
      <c r="CD187" s="90"/>
      <c r="CE187" s="90"/>
      <c r="CF187" s="90"/>
      <c r="CG187" s="90"/>
      <c r="CH187" s="90"/>
      <c r="CI187" s="90"/>
      <c r="CJ187" s="90"/>
      <c r="CK187" s="90"/>
      <c r="CL187" s="90"/>
      <c r="CM187" s="90"/>
      <c r="CN187" s="90"/>
      <c r="CO187" s="90"/>
      <c r="CP187" s="90"/>
      <c r="CQ187" s="90"/>
    </row>
    <row r="188" spans="1:95" s="142" customFormat="1" ht="12.75" hidden="1" customHeight="1">
      <c r="A188" s="142" t="s">
        <v>218</v>
      </c>
      <c r="B188" s="140"/>
      <c r="C188" s="142" t="s">
        <v>27</v>
      </c>
      <c r="D188" s="137"/>
      <c r="E188" s="156">
        <f t="shared" si="27"/>
        <v>0</v>
      </c>
      <c r="F188" s="156"/>
      <c r="G188" s="156">
        <v>0</v>
      </c>
      <c r="H188" s="156"/>
      <c r="I188" s="156">
        <v>0</v>
      </c>
      <c r="J188" s="156"/>
      <c r="K188" s="156">
        <f t="shared" si="28"/>
        <v>0</v>
      </c>
      <c r="L188" s="156"/>
      <c r="M188" s="156">
        <v>0</v>
      </c>
      <c r="N188" s="156"/>
      <c r="O188" s="156">
        <v>0</v>
      </c>
      <c r="P188" s="156"/>
      <c r="Q188" s="156">
        <v>0</v>
      </c>
      <c r="R188" s="156"/>
      <c r="S188" s="156">
        <v>0</v>
      </c>
      <c r="T188" s="156"/>
      <c r="U188" s="156">
        <v>0</v>
      </c>
      <c r="V188" s="156"/>
      <c r="W188" s="156">
        <f t="shared" si="29"/>
        <v>0</v>
      </c>
      <c r="X188" s="140"/>
      <c r="Y188" s="140"/>
      <c r="Z188" s="142" t="s">
        <v>218</v>
      </c>
      <c r="AA188" s="156"/>
      <c r="AB188" s="142" t="s">
        <v>27</v>
      </c>
      <c r="AC188" s="140"/>
      <c r="AD188" s="156">
        <v>0</v>
      </c>
      <c r="AE188" s="156"/>
      <c r="AF188" s="156">
        <v>0</v>
      </c>
      <c r="AG188" s="156"/>
      <c r="AH188" s="156">
        <v>0</v>
      </c>
      <c r="AI188" s="156"/>
      <c r="AJ188" s="143">
        <f t="shared" si="34"/>
        <v>0</v>
      </c>
      <c r="AK188" s="143"/>
      <c r="AL188" s="156">
        <v>0</v>
      </c>
      <c r="AM188" s="143"/>
      <c r="AN188" s="156">
        <v>0</v>
      </c>
      <c r="AO188" s="156"/>
      <c r="AP188" s="156">
        <v>0</v>
      </c>
      <c r="AQ188" s="156"/>
      <c r="AR188" s="156">
        <v>0</v>
      </c>
      <c r="AS188" s="156"/>
      <c r="AT188" s="143">
        <f t="shared" si="35"/>
        <v>0</v>
      </c>
      <c r="AU188" s="143"/>
      <c r="AV188" s="156">
        <v>0</v>
      </c>
      <c r="AW188" s="156"/>
      <c r="AX188" s="156">
        <v>0</v>
      </c>
      <c r="AY188" s="156"/>
      <c r="AZ188" s="156">
        <f t="shared" si="36"/>
        <v>0</v>
      </c>
      <c r="BA188" s="140"/>
      <c r="BB188" s="142" t="s">
        <v>218</v>
      </c>
      <c r="BD188" s="142" t="s">
        <v>27</v>
      </c>
      <c r="BE188" s="156"/>
      <c r="BF188" s="156">
        <v>0</v>
      </c>
      <c r="BG188" s="156"/>
      <c r="BH188" s="156">
        <v>0</v>
      </c>
      <c r="BI188" s="156"/>
      <c r="BJ188" s="156">
        <v>0</v>
      </c>
      <c r="BK188" s="156"/>
      <c r="BL188" s="156">
        <v>0</v>
      </c>
      <c r="BM188" s="156"/>
      <c r="BN188" s="156">
        <f t="shared" si="30"/>
        <v>0</v>
      </c>
      <c r="BO188" s="158"/>
      <c r="BS188" s="159"/>
      <c r="BT188" s="159"/>
      <c r="BU188" s="160"/>
      <c r="BV188" s="159"/>
      <c r="BW188" s="159"/>
      <c r="BX188" s="159"/>
      <c r="BY188" s="159"/>
      <c r="BZ188" s="159"/>
      <c r="CA188" s="159"/>
      <c r="CB188" s="159"/>
      <c r="CC188" s="159"/>
      <c r="CD188" s="159"/>
      <c r="CE188" s="159"/>
      <c r="CF188" s="159"/>
      <c r="CG188" s="159"/>
      <c r="CH188" s="159"/>
      <c r="CI188" s="159"/>
      <c r="CJ188" s="159"/>
      <c r="CK188" s="159"/>
      <c r="CL188" s="159"/>
      <c r="CM188" s="159"/>
      <c r="CN188" s="159"/>
      <c r="CO188" s="159"/>
      <c r="CP188" s="159"/>
      <c r="CQ188" s="159"/>
    </row>
    <row r="189" spans="1:95" s="35" customFormat="1" ht="12.75" customHeight="1">
      <c r="A189" s="35" t="s">
        <v>219</v>
      </c>
      <c r="B189" s="51"/>
      <c r="C189" s="35" t="s">
        <v>199</v>
      </c>
      <c r="D189" s="44"/>
      <c r="E189" s="53">
        <f t="shared" si="27"/>
        <v>984810</v>
      </c>
      <c r="F189" s="53"/>
      <c r="G189" s="53">
        <v>5492689</v>
      </c>
      <c r="H189" s="53"/>
      <c r="I189" s="53">
        <v>6477499</v>
      </c>
      <c r="J189" s="53"/>
      <c r="K189" s="53">
        <f t="shared" si="28"/>
        <v>127211</v>
      </c>
      <c r="L189" s="53"/>
      <c r="M189" s="53">
        <v>1546566</v>
      </c>
      <c r="N189" s="53"/>
      <c r="O189" s="53">
        <v>1673777</v>
      </c>
      <c r="P189" s="53"/>
      <c r="Q189" s="53">
        <v>3921785</v>
      </c>
      <c r="R189" s="53"/>
      <c r="S189" s="53">
        <v>0</v>
      </c>
      <c r="T189" s="53"/>
      <c r="U189" s="53">
        <v>881937</v>
      </c>
      <c r="V189" s="53"/>
      <c r="W189" s="53">
        <f t="shared" si="29"/>
        <v>4803722</v>
      </c>
      <c r="X189" s="51"/>
      <c r="Y189" s="51"/>
      <c r="Z189" s="35" t="s">
        <v>219</v>
      </c>
      <c r="AA189" s="53"/>
      <c r="AB189" s="35" t="s">
        <v>199</v>
      </c>
      <c r="AC189" s="51"/>
      <c r="AD189" s="53">
        <v>390197</v>
      </c>
      <c r="AE189" s="53"/>
      <c r="AF189" s="53">
        <v>492820</v>
      </c>
      <c r="AG189" s="53"/>
      <c r="AH189" s="53">
        <v>172296</v>
      </c>
      <c r="AI189" s="53"/>
      <c r="AJ189" s="45">
        <f t="shared" si="34"/>
        <v>-274919</v>
      </c>
      <c r="AK189" s="45"/>
      <c r="AL189" s="53">
        <v>274986</v>
      </c>
      <c r="AM189" s="45"/>
      <c r="AN189" s="53">
        <v>0</v>
      </c>
      <c r="AO189" s="53"/>
      <c r="AP189" s="53">
        <v>0</v>
      </c>
      <c r="AQ189" s="53"/>
      <c r="AR189" s="53">
        <v>0</v>
      </c>
      <c r="AS189" s="53"/>
      <c r="AT189" s="45">
        <f t="shared" si="35"/>
        <v>67</v>
      </c>
      <c r="AU189" s="45"/>
      <c r="AV189" s="53">
        <v>0</v>
      </c>
      <c r="AW189" s="53"/>
      <c r="AX189" s="53">
        <v>0</v>
      </c>
      <c r="AY189" s="53"/>
      <c r="AZ189" s="53">
        <f t="shared" si="36"/>
        <v>857599</v>
      </c>
      <c r="BA189" s="51"/>
      <c r="BB189" s="35" t="s">
        <v>219</v>
      </c>
      <c r="BD189" s="35" t="s">
        <v>199</v>
      </c>
      <c r="BE189" s="53"/>
      <c r="BF189" s="53">
        <v>1320000</v>
      </c>
      <c r="BG189" s="53"/>
      <c r="BH189" s="53">
        <v>0</v>
      </c>
      <c r="BI189" s="53"/>
      <c r="BJ189" s="53">
        <v>212500</v>
      </c>
      <c r="BK189" s="53"/>
      <c r="BL189" s="53">
        <v>14066</v>
      </c>
      <c r="BM189" s="53"/>
      <c r="BN189" s="53">
        <f t="shared" si="30"/>
        <v>1546566</v>
      </c>
      <c r="BO189" s="54"/>
      <c r="BS189" s="55"/>
      <c r="BT189" s="55"/>
      <c r="BU189" s="84"/>
      <c r="BV189" s="55"/>
      <c r="BW189" s="55"/>
      <c r="BX189" s="55"/>
      <c r="BY189" s="55"/>
      <c r="BZ189" s="55"/>
      <c r="CA189" s="55"/>
      <c r="CB189" s="55"/>
      <c r="CC189" s="55"/>
      <c r="CD189" s="55"/>
      <c r="CE189" s="55"/>
      <c r="CF189" s="55"/>
      <c r="CG189" s="55"/>
      <c r="CH189" s="55"/>
      <c r="CI189" s="55"/>
      <c r="CJ189" s="55"/>
      <c r="CK189" s="55"/>
      <c r="CL189" s="55"/>
      <c r="CM189" s="55"/>
      <c r="CN189" s="55"/>
      <c r="CO189" s="55"/>
      <c r="CP189" s="55"/>
      <c r="CQ189" s="55"/>
    </row>
    <row r="190" spans="1:95" s="142" customFormat="1" ht="12.75" hidden="1" customHeight="1">
      <c r="A190" s="142" t="s">
        <v>220</v>
      </c>
      <c r="B190" s="140"/>
      <c r="C190" s="142" t="s">
        <v>66</v>
      </c>
      <c r="D190" s="137"/>
      <c r="E190" s="156">
        <f t="shared" si="27"/>
        <v>0</v>
      </c>
      <c r="F190" s="156"/>
      <c r="G190" s="156">
        <v>0</v>
      </c>
      <c r="H190" s="156"/>
      <c r="I190" s="156">
        <v>0</v>
      </c>
      <c r="J190" s="156"/>
      <c r="K190" s="156">
        <f t="shared" si="28"/>
        <v>0</v>
      </c>
      <c r="L190" s="156"/>
      <c r="M190" s="156">
        <v>0</v>
      </c>
      <c r="N190" s="156"/>
      <c r="O190" s="156">
        <v>0</v>
      </c>
      <c r="P190" s="156"/>
      <c r="Q190" s="156">
        <v>0</v>
      </c>
      <c r="R190" s="156"/>
      <c r="S190" s="156">
        <v>0</v>
      </c>
      <c r="T190" s="156"/>
      <c r="U190" s="156">
        <v>0</v>
      </c>
      <c r="V190" s="156"/>
      <c r="W190" s="156">
        <f t="shared" si="29"/>
        <v>0</v>
      </c>
      <c r="X190" s="140"/>
      <c r="Y190" s="140"/>
      <c r="Z190" s="142" t="s">
        <v>220</v>
      </c>
      <c r="AA190" s="156"/>
      <c r="AB190" s="142" t="s">
        <v>66</v>
      </c>
      <c r="AC190" s="140"/>
      <c r="AD190" s="156">
        <v>0</v>
      </c>
      <c r="AE190" s="156"/>
      <c r="AF190" s="156">
        <v>0</v>
      </c>
      <c r="AG190" s="156"/>
      <c r="AH190" s="156">
        <v>0</v>
      </c>
      <c r="AI190" s="156"/>
      <c r="AJ190" s="143">
        <f t="shared" si="34"/>
        <v>0</v>
      </c>
      <c r="AK190" s="143"/>
      <c r="AL190" s="156">
        <v>0</v>
      </c>
      <c r="AM190" s="143"/>
      <c r="AN190" s="156">
        <v>0</v>
      </c>
      <c r="AO190" s="156"/>
      <c r="AP190" s="156">
        <v>0</v>
      </c>
      <c r="AQ190" s="156"/>
      <c r="AR190" s="156">
        <v>0</v>
      </c>
      <c r="AS190" s="156"/>
      <c r="AT190" s="143">
        <f t="shared" si="35"/>
        <v>0</v>
      </c>
      <c r="AU190" s="143"/>
      <c r="AV190" s="156">
        <v>0</v>
      </c>
      <c r="AW190" s="156"/>
      <c r="AX190" s="156">
        <v>0</v>
      </c>
      <c r="AY190" s="156"/>
      <c r="AZ190" s="156">
        <f t="shared" si="36"/>
        <v>0</v>
      </c>
      <c r="BA190" s="140"/>
      <c r="BB190" s="142" t="s">
        <v>220</v>
      </c>
      <c r="BD190" s="142" t="s">
        <v>66</v>
      </c>
      <c r="BE190" s="156"/>
      <c r="BF190" s="156">
        <v>0</v>
      </c>
      <c r="BG190" s="156"/>
      <c r="BH190" s="156">
        <v>0</v>
      </c>
      <c r="BI190" s="156"/>
      <c r="BJ190" s="156">
        <v>0</v>
      </c>
      <c r="BK190" s="156"/>
      <c r="BL190" s="156">
        <v>0</v>
      </c>
      <c r="BM190" s="156"/>
      <c r="BN190" s="156">
        <f t="shared" si="30"/>
        <v>0</v>
      </c>
      <c r="BO190" s="158"/>
      <c r="BS190" s="159"/>
      <c r="BT190" s="159"/>
      <c r="BU190" s="160"/>
      <c r="BV190" s="159"/>
      <c r="BW190" s="159"/>
      <c r="BX190" s="159"/>
      <c r="BY190" s="159"/>
      <c r="BZ190" s="159"/>
      <c r="CA190" s="159"/>
      <c r="CB190" s="159"/>
      <c r="CC190" s="159"/>
      <c r="CD190" s="159"/>
      <c r="CE190" s="159"/>
      <c r="CF190" s="159"/>
      <c r="CG190" s="159"/>
      <c r="CH190" s="159"/>
      <c r="CI190" s="159"/>
      <c r="CJ190" s="159"/>
      <c r="CK190" s="159"/>
      <c r="CL190" s="159"/>
      <c r="CM190" s="159"/>
      <c r="CN190" s="159"/>
      <c r="CO190" s="159"/>
      <c r="CP190" s="159"/>
      <c r="CQ190" s="159"/>
    </row>
    <row r="191" spans="1:95" s="142" customFormat="1" ht="12.75" hidden="1" customHeight="1">
      <c r="A191" s="142" t="s">
        <v>221</v>
      </c>
      <c r="B191" s="140"/>
      <c r="C191" s="142" t="s">
        <v>27</v>
      </c>
      <c r="D191" s="137"/>
      <c r="E191" s="156">
        <f t="shared" si="27"/>
        <v>0</v>
      </c>
      <c r="F191" s="156"/>
      <c r="G191" s="156">
        <v>0</v>
      </c>
      <c r="H191" s="156"/>
      <c r="I191" s="156">
        <v>0</v>
      </c>
      <c r="J191" s="156"/>
      <c r="K191" s="156">
        <f t="shared" si="28"/>
        <v>0</v>
      </c>
      <c r="L191" s="156"/>
      <c r="M191" s="156">
        <v>0</v>
      </c>
      <c r="N191" s="156"/>
      <c r="O191" s="156">
        <v>0</v>
      </c>
      <c r="P191" s="156"/>
      <c r="Q191" s="156">
        <v>0</v>
      </c>
      <c r="R191" s="156"/>
      <c r="S191" s="156">
        <v>0</v>
      </c>
      <c r="T191" s="156"/>
      <c r="U191" s="156">
        <v>0</v>
      </c>
      <c r="V191" s="156"/>
      <c r="W191" s="156">
        <f t="shared" si="29"/>
        <v>0</v>
      </c>
      <c r="X191" s="140"/>
      <c r="Y191" s="140"/>
      <c r="Z191" s="142" t="s">
        <v>221</v>
      </c>
      <c r="AA191" s="156"/>
      <c r="AB191" s="142" t="s">
        <v>27</v>
      </c>
      <c r="AC191" s="140"/>
      <c r="AD191" s="156">
        <v>0</v>
      </c>
      <c r="AE191" s="156"/>
      <c r="AF191" s="156">
        <v>0</v>
      </c>
      <c r="AG191" s="156"/>
      <c r="AH191" s="156">
        <v>0</v>
      </c>
      <c r="AI191" s="156"/>
      <c r="AJ191" s="143">
        <f t="shared" si="34"/>
        <v>0</v>
      </c>
      <c r="AK191" s="143"/>
      <c r="AL191" s="156">
        <v>0</v>
      </c>
      <c r="AM191" s="143"/>
      <c r="AN191" s="156">
        <v>0</v>
      </c>
      <c r="AO191" s="156"/>
      <c r="AP191" s="156">
        <v>0</v>
      </c>
      <c r="AQ191" s="156"/>
      <c r="AR191" s="156">
        <v>0</v>
      </c>
      <c r="AS191" s="156"/>
      <c r="AT191" s="143">
        <f t="shared" si="35"/>
        <v>0</v>
      </c>
      <c r="AU191" s="143"/>
      <c r="AV191" s="156">
        <v>0</v>
      </c>
      <c r="AW191" s="156"/>
      <c r="AX191" s="156">
        <v>0</v>
      </c>
      <c r="AY191" s="156"/>
      <c r="AZ191" s="156">
        <f t="shared" si="36"/>
        <v>0</v>
      </c>
      <c r="BA191" s="140"/>
      <c r="BB191" s="142" t="s">
        <v>221</v>
      </c>
      <c r="BD191" s="142" t="s">
        <v>27</v>
      </c>
      <c r="BE191" s="156"/>
      <c r="BF191" s="156">
        <v>0</v>
      </c>
      <c r="BG191" s="156"/>
      <c r="BH191" s="156">
        <v>0</v>
      </c>
      <c r="BI191" s="156"/>
      <c r="BJ191" s="156">
        <v>0</v>
      </c>
      <c r="BK191" s="156"/>
      <c r="BL191" s="156">
        <v>0</v>
      </c>
      <c r="BM191" s="156"/>
      <c r="BN191" s="156">
        <f t="shared" si="30"/>
        <v>0</v>
      </c>
      <c r="BO191" s="158"/>
      <c r="BS191" s="159"/>
      <c r="BT191" s="159"/>
      <c r="BU191" s="160"/>
      <c r="BV191" s="159"/>
      <c r="BW191" s="159"/>
      <c r="BX191" s="159"/>
      <c r="BY191" s="159"/>
      <c r="BZ191" s="159"/>
      <c r="CA191" s="159"/>
      <c r="CB191" s="159"/>
      <c r="CC191" s="159"/>
      <c r="CD191" s="159"/>
      <c r="CE191" s="159"/>
      <c r="CF191" s="159"/>
      <c r="CG191" s="159"/>
      <c r="CH191" s="159"/>
      <c r="CI191" s="159"/>
      <c r="CJ191" s="159"/>
      <c r="CK191" s="159"/>
      <c r="CL191" s="159"/>
      <c r="CM191" s="159"/>
      <c r="CN191" s="159"/>
      <c r="CO191" s="159"/>
      <c r="CP191" s="159"/>
      <c r="CQ191" s="159"/>
    </row>
    <row r="192" spans="1:95" s="35" customFormat="1" ht="12.75" customHeight="1">
      <c r="A192" s="35" t="s">
        <v>222</v>
      </c>
      <c r="B192" s="51"/>
      <c r="C192" s="35" t="s">
        <v>47</v>
      </c>
      <c r="D192" s="44"/>
      <c r="E192" s="53">
        <f t="shared" si="27"/>
        <v>408873</v>
      </c>
      <c r="F192" s="53"/>
      <c r="G192" s="53">
        <v>1830146</v>
      </c>
      <c r="H192" s="53"/>
      <c r="I192" s="53">
        <v>2239019</v>
      </c>
      <c r="J192" s="53"/>
      <c r="K192" s="53">
        <f t="shared" si="28"/>
        <v>343565</v>
      </c>
      <c r="L192" s="53"/>
      <c r="M192" s="53">
        <v>1638881</v>
      </c>
      <c r="N192" s="53"/>
      <c r="O192" s="53">
        <v>1982446</v>
      </c>
      <c r="P192" s="53"/>
      <c r="Q192" s="53">
        <v>130666</v>
      </c>
      <c r="R192" s="53"/>
      <c r="S192" s="53">
        <v>0</v>
      </c>
      <c r="T192" s="53"/>
      <c r="U192" s="53">
        <v>125907</v>
      </c>
      <c r="V192" s="53"/>
      <c r="W192" s="53">
        <f t="shared" si="29"/>
        <v>256573</v>
      </c>
      <c r="X192" s="51"/>
      <c r="Y192" s="51"/>
      <c r="Z192" s="35" t="s">
        <v>222</v>
      </c>
      <c r="AA192" s="53"/>
      <c r="AB192" s="35" t="s">
        <v>47</v>
      </c>
      <c r="AC192" s="51"/>
      <c r="AD192" s="53">
        <v>185366</v>
      </c>
      <c r="AE192" s="53"/>
      <c r="AF192" s="53">
        <v>21851</v>
      </c>
      <c r="AG192" s="53"/>
      <c r="AH192" s="53">
        <v>58704</v>
      </c>
      <c r="AI192" s="53"/>
      <c r="AJ192" s="45">
        <f t="shared" si="34"/>
        <v>104811</v>
      </c>
      <c r="AK192" s="45"/>
      <c r="AL192" s="53">
        <v>-93197</v>
      </c>
      <c r="AM192" s="45"/>
      <c r="AN192" s="53">
        <v>31000</v>
      </c>
      <c r="AO192" s="53"/>
      <c r="AP192" s="53">
        <v>0</v>
      </c>
      <c r="AQ192" s="53"/>
      <c r="AR192" s="53">
        <v>0</v>
      </c>
      <c r="AS192" s="53"/>
      <c r="AT192" s="45">
        <f t="shared" si="35"/>
        <v>42614</v>
      </c>
      <c r="AU192" s="45"/>
      <c r="AV192" s="53">
        <v>0</v>
      </c>
      <c r="AW192" s="53"/>
      <c r="AX192" s="53">
        <v>0</v>
      </c>
      <c r="AY192" s="53"/>
      <c r="AZ192" s="53">
        <f t="shared" si="36"/>
        <v>65308</v>
      </c>
      <c r="BA192" s="51"/>
      <c r="BB192" s="35" t="s">
        <v>222</v>
      </c>
      <c r="BD192" s="35" t="s">
        <v>47</v>
      </c>
      <c r="BE192" s="53"/>
      <c r="BF192" s="53">
        <v>0</v>
      </c>
      <c r="BG192" s="53"/>
      <c r="BH192" s="53">
        <v>1587241</v>
      </c>
      <c r="BI192" s="53"/>
      <c r="BJ192" s="53">
        <v>51640</v>
      </c>
      <c r="BK192" s="53"/>
      <c r="BL192" s="53">
        <v>0</v>
      </c>
      <c r="BM192" s="53"/>
      <c r="BN192" s="53">
        <f t="shared" si="30"/>
        <v>1638881</v>
      </c>
      <c r="BO192" s="54"/>
      <c r="BS192" s="55"/>
      <c r="BT192" s="55"/>
      <c r="BU192" s="84"/>
      <c r="BV192" s="55"/>
      <c r="BW192" s="55"/>
      <c r="BX192" s="55"/>
      <c r="BY192" s="55"/>
      <c r="BZ192" s="55"/>
      <c r="CA192" s="55"/>
      <c r="CB192" s="55"/>
      <c r="CC192" s="55"/>
      <c r="CD192" s="55"/>
      <c r="CE192" s="55"/>
      <c r="CF192" s="55"/>
      <c r="CG192" s="55"/>
      <c r="CH192" s="55"/>
      <c r="CI192" s="55"/>
      <c r="CJ192" s="55"/>
      <c r="CK192" s="55"/>
      <c r="CL192" s="55"/>
      <c r="CM192" s="55"/>
      <c r="CN192" s="55"/>
      <c r="CO192" s="55"/>
      <c r="CP192" s="55"/>
      <c r="CQ192" s="55"/>
    </row>
    <row r="193" spans="1:227" s="35" customFormat="1" ht="12.75" customHeight="1">
      <c r="A193" s="35" t="s">
        <v>223</v>
      </c>
      <c r="B193" s="51"/>
      <c r="C193" s="35" t="s">
        <v>94</v>
      </c>
      <c r="D193" s="44"/>
      <c r="E193" s="53">
        <f t="shared" si="27"/>
        <v>4975146</v>
      </c>
      <c r="F193" s="53"/>
      <c r="G193" s="53">
        <v>8414751</v>
      </c>
      <c r="H193" s="53"/>
      <c r="I193" s="53">
        <v>13389897</v>
      </c>
      <c r="J193" s="53"/>
      <c r="K193" s="53">
        <f t="shared" si="28"/>
        <v>130908</v>
      </c>
      <c r="L193" s="53"/>
      <c r="M193" s="53">
        <v>256719</v>
      </c>
      <c r="N193" s="53"/>
      <c r="O193" s="53">
        <v>387627</v>
      </c>
      <c r="P193" s="53"/>
      <c r="Q193" s="53">
        <v>8158501</v>
      </c>
      <c r="R193" s="53"/>
      <c r="S193" s="53">
        <v>0</v>
      </c>
      <c r="T193" s="53"/>
      <c r="U193" s="53">
        <v>4843769</v>
      </c>
      <c r="V193" s="53"/>
      <c r="W193" s="53">
        <f t="shared" si="29"/>
        <v>13002270</v>
      </c>
      <c r="X193" s="51"/>
      <c r="Y193" s="51"/>
      <c r="Z193" s="35" t="s">
        <v>223</v>
      </c>
      <c r="AA193" s="53"/>
      <c r="AB193" s="35" t="s">
        <v>94</v>
      </c>
      <c r="AC193" s="51"/>
      <c r="AD193" s="53">
        <v>1441260</v>
      </c>
      <c r="AE193" s="53"/>
      <c r="AF193" s="53">
        <v>1422830</v>
      </c>
      <c r="AG193" s="53"/>
      <c r="AH193" s="53">
        <v>514627</v>
      </c>
      <c r="AI193" s="53"/>
      <c r="AJ193" s="45">
        <f t="shared" si="34"/>
        <v>-496197</v>
      </c>
      <c r="AK193" s="45"/>
      <c r="AL193" s="53">
        <v>-2499</v>
      </c>
      <c r="AM193" s="45"/>
      <c r="AN193" s="53">
        <v>222163</v>
      </c>
      <c r="AO193" s="53"/>
      <c r="AP193" s="53">
        <v>0</v>
      </c>
      <c r="AQ193" s="53"/>
      <c r="AR193" s="53">
        <v>194000</v>
      </c>
      <c r="AS193" s="53"/>
      <c r="AT193" s="45">
        <f t="shared" si="35"/>
        <v>-82533</v>
      </c>
      <c r="AU193" s="45"/>
      <c r="AV193" s="53">
        <v>0</v>
      </c>
      <c r="AW193" s="53"/>
      <c r="AX193" s="53">
        <v>0</v>
      </c>
      <c r="AY193" s="53"/>
      <c r="AZ193" s="53">
        <f t="shared" si="36"/>
        <v>4844238</v>
      </c>
      <c r="BA193" s="51"/>
      <c r="BB193" s="35" t="s">
        <v>223</v>
      </c>
      <c r="BD193" s="35" t="s">
        <v>94</v>
      </c>
      <c r="BE193" s="53"/>
      <c r="BF193" s="53">
        <v>0</v>
      </c>
      <c r="BG193" s="53"/>
      <c r="BH193" s="53">
        <v>0</v>
      </c>
      <c r="BI193" s="53"/>
      <c r="BJ193" s="53">
        <v>235750</v>
      </c>
      <c r="BK193" s="53"/>
      <c r="BL193" s="53">
        <v>20969</v>
      </c>
      <c r="BM193" s="53"/>
      <c r="BN193" s="53">
        <f t="shared" si="30"/>
        <v>256719</v>
      </c>
      <c r="BO193" s="54"/>
      <c r="BS193" s="55"/>
      <c r="BT193" s="55"/>
      <c r="BU193" s="84"/>
      <c r="BV193" s="55"/>
      <c r="BW193" s="55"/>
      <c r="BX193" s="55"/>
      <c r="BY193" s="55"/>
      <c r="BZ193" s="55"/>
      <c r="CA193" s="55"/>
      <c r="CB193" s="55"/>
      <c r="CC193" s="55"/>
      <c r="CD193" s="55"/>
      <c r="CE193" s="55"/>
      <c r="CF193" s="55"/>
      <c r="CG193" s="55"/>
      <c r="CH193" s="55"/>
      <c r="CI193" s="55"/>
      <c r="CJ193" s="55"/>
      <c r="CK193" s="55"/>
      <c r="CL193" s="55"/>
      <c r="CM193" s="55"/>
      <c r="CN193" s="55"/>
      <c r="CO193" s="55"/>
      <c r="CP193" s="55"/>
      <c r="CQ193" s="55"/>
    </row>
    <row r="194" spans="1:227" s="35" customFormat="1" ht="12.75" customHeight="1">
      <c r="A194" s="35" t="s">
        <v>76</v>
      </c>
      <c r="B194" s="51"/>
      <c r="C194" s="35" t="s">
        <v>132</v>
      </c>
      <c r="D194" s="44"/>
      <c r="E194" s="53">
        <f>I194-G194</f>
        <v>10097869</v>
      </c>
      <c r="F194" s="53"/>
      <c r="G194" s="53">
        <v>22992916</v>
      </c>
      <c r="H194" s="53"/>
      <c r="I194" s="53">
        <v>33090785</v>
      </c>
      <c r="J194" s="53"/>
      <c r="K194" s="53">
        <f t="shared" si="28"/>
        <v>336356</v>
      </c>
      <c r="L194" s="53"/>
      <c r="M194" s="53">
        <v>14099971</v>
      </c>
      <c r="N194" s="53"/>
      <c r="O194" s="53">
        <v>14436327</v>
      </c>
      <c r="P194" s="53"/>
      <c r="Q194" s="53">
        <v>9228940</v>
      </c>
      <c r="R194" s="53"/>
      <c r="S194" s="53">
        <v>0</v>
      </c>
      <c r="T194" s="53"/>
      <c r="U194" s="53">
        <v>9425518</v>
      </c>
      <c r="V194" s="53"/>
      <c r="W194" s="53">
        <f t="shared" si="29"/>
        <v>18654458</v>
      </c>
      <c r="X194" s="51"/>
      <c r="Y194" s="51"/>
      <c r="Z194" s="35" t="s">
        <v>76</v>
      </c>
      <c r="AA194" s="53"/>
      <c r="AB194" s="35" t="s">
        <v>132</v>
      </c>
      <c r="AC194" s="51"/>
      <c r="AD194" s="53">
        <v>4746271</v>
      </c>
      <c r="AE194" s="53"/>
      <c r="AF194" s="53">
        <v>3171600</v>
      </c>
      <c r="AG194" s="53"/>
      <c r="AH194" s="53">
        <v>670014</v>
      </c>
      <c r="AI194" s="53"/>
      <c r="AJ194" s="45">
        <f t="shared" si="34"/>
        <v>904657</v>
      </c>
      <c r="AK194" s="45"/>
      <c r="AL194" s="53">
        <v>-672885</v>
      </c>
      <c r="AM194" s="45"/>
      <c r="AN194" s="53">
        <v>0</v>
      </c>
      <c r="AO194" s="53"/>
      <c r="AP194" s="53">
        <v>425914</v>
      </c>
      <c r="AQ194" s="53"/>
      <c r="AR194" s="53">
        <v>102047</v>
      </c>
      <c r="AS194" s="53"/>
      <c r="AT194" s="45">
        <f t="shared" si="35"/>
        <v>-92095</v>
      </c>
      <c r="AU194" s="45"/>
      <c r="AV194" s="53">
        <v>0</v>
      </c>
      <c r="AW194" s="53"/>
      <c r="AX194" s="53">
        <v>0</v>
      </c>
      <c r="AY194" s="53"/>
      <c r="AZ194" s="53">
        <f t="shared" si="36"/>
        <v>9761513</v>
      </c>
      <c r="BA194" s="51"/>
      <c r="BB194" s="35" t="s">
        <v>76</v>
      </c>
      <c r="BD194" s="35" t="s">
        <v>132</v>
      </c>
      <c r="BE194" s="53"/>
      <c r="BF194" s="53">
        <v>416406</v>
      </c>
      <c r="BG194" s="53"/>
      <c r="BH194" s="53">
        <v>0</v>
      </c>
      <c r="BI194" s="53"/>
      <c r="BJ194" s="53">
        <v>13435871</v>
      </c>
      <c r="BK194" s="53"/>
      <c r="BL194" s="53">
        <v>247694</v>
      </c>
      <c r="BM194" s="53"/>
      <c r="BN194" s="53">
        <f t="shared" si="30"/>
        <v>14099971</v>
      </c>
      <c r="BO194" s="54"/>
      <c r="BS194" s="55"/>
      <c r="BT194" s="55"/>
      <c r="BU194" s="84"/>
      <c r="BV194" s="55"/>
      <c r="BW194" s="55"/>
      <c r="BX194" s="55"/>
      <c r="BY194" s="55"/>
      <c r="BZ194" s="55"/>
      <c r="CA194" s="55"/>
      <c r="CB194" s="55"/>
      <c r="CC194" s="55"/>
      <c r="CD194" s="55"/>
      <c r="CE194" s="55"/>
      <c r="CF194" s="55"/>
      <c r="CG194" s="55"/>
      <c r="CH194" s="55"/>
      <c r="CI194" s="55"/>
      <c r="CJ194" s="55"/>
      <c r="CK194" s="55"/>
      <c r="CL194" s="55"/>
      <c r="CM194" s="55"/>
      <c r="CN194" s="55"/>
      <c r="CO194" s="55"/>
      <c r="CP194" s="55"/>
      <c r="CQ194" s="55"/>
    </row>
    <row r="195" spans="1:227" s="142" customFormat="1" ht="12.75" hidden="1" customHeight="1">
      <c r="A195" s="142" t="s">
        <v>224</v>
      </c>
      <c r="B195" s="140"/>
      <c r="C195" s="142" t="s">
        <v>27</v>
      </c>
      <c r="D195" s="137"/>
      <c r="E195" s="156">
        <f>I195-G195</f>
        <v>0</v>
      </c>
      <c r="F195" s="156"/>
      <c r="G195" s="156">
        <v>0</v>
      </c>
      <c r="H195" s="156"/>
      <c r="I195" s="156">
        <v>0</v>
      </c>
      <c r="J195" s="156"/>
      <c r="K195" s="156">
        <f t="shared" si="28"/>
        <v>0</v>
      </c>
      <c r="L195" s="156"/>
      <c r="M195" s="156">
        <v>0</v>
      </c>
      <c r="N195" s="156"/>
      <c r="O195" s="156">
        <v>0</v>
      </c>
      <c r="P195" s="156"/>
      <c r="Q195" s="156">
        <v>0</v>
      </c>
      <c r="R195" s="156"/>
      <c r="S195" s="156">
        <v>0</v>
      </c>
      <c r="T195" s="156"/>
      <c r="U195" s="156">
        <v>0</v>
      </c>
      <c r="V195" s="156"/>
      <c r="W195" s="156">
        <f t="shared" si="29"/>
        <v>0</v>
      </c>
      <c r="X195" s="140"/>
      <c r="Y195" s="140"/>
      <c r="Z195" s="142" t="s">
        <v>224</v>
      </c>
      <c r="AA195" s="156"/>
      <c r="AB195" s="142" t="s">
        <v>27</v>
      </c>
      <c r="AC195" s="140"/>
      <c r="AD195" s="156">
        <v>0</v>
      </c>
      <c r="AE195" s="156"/>
      <c r="AF195" s="156">
        <v>0</v>
      </c>
      <c r="AG195" s="156"/>
      <c r="AH195" s="156">
        <v>0</v>
      </c>
      <c r="AI195" s="156"/>
      <c r="AJ195" s="143">
        <f t="shared" si="34"/>
        <v>0</v>
      </c>
      <c r="AK195" s="143"/>
      <c r="AL195" s="156">
        <v>0</v>
      </c>
      <c r="AM195" s="143"/>
      <c r="AN195" s="156">
        <v>0</v>
      </c>
      <c r="AO195" s="156"/>
      <c r="AP195" s="156">
        <v>0</v>
      </c>
      <c r="AQ195" s="156"/>
      <c r="AR195" s="156">
        <v>0</v>
      </c>
      <c r="AS195" s="156"/>
      <c r="AT195" s="143">
        <f t="shared" si="35"/>
        <v>0</v>
      </c>
      <c r="AU195" s="143"/>
      <c r="AV195" s="156">
        <v>0</v>
      </c>
      <c r="AW195" s="156"/>
      <c r="AX195" s="156">
        <v>0</v>
      </c>
      <c r="AY195" s="156"/>
      <c r="AZ195" s="156">
        <f t="shared" si="36"/>
        <v>0</v>
      </c>
      <c r="BA195" s="140"/>
      <c r="BB195" s="142" t="s">
        <v>224</v>
      </c>
      <c r="BD195" s="142" t="s">
        <v>27</v>
      </c>
      <c r="BE195" s="156"/>
      <c r="BF195" s="156">
        <v>0</v>
      </c>
      <c r="BG195" s="156"/>
      <c r="BH195" s="156">
        <v>0</v>
      </c>
      <c r="BI195" s="156"/>
      <c r="BJ195" s="156">
        <v>0</v>
      </c>
      <c r="BK195" s="156"/>
      <c r="BL195" s="156">
        <v>0</v>
      </c>
      <c r="BM195" s="156"/>
      <c r="BN195" s="156">
        <f t="shared" si="30"/>
        <v>0</v>
      </c>
      <c r="BO195" s="158"/>
      <c r="BS195" s="159"/>
      <c r="BT195" s="159"/>
      <c r="BU195" s="160"/>
      <c r="BV195" s="159"/>
      <c r="BW195" s="159"/>
      <c r="BX195" s="159"/>
      <c r="BY195" s="159"/>
      <c r="BZ195" s="159"/>
      <c r="CA195" s="159"/>
      <c r="CB195" s="159"/>
      <c r="CC195" s="159"/>
      <c r="CD195" s="159"/>
      <c r="CE195" s="159"/>
      <c r="CF195" s="159"/>
      <c r="CG195" s="159"/>
      <c r="CH195" s="159"/>
      <c r="CI195" s="159"/>
      <c r="CJ195" s="159"/>
      <c r="CK195" s="159"/>
      <c r="CL195" s="159"/>
      <c r="CM195" s="159"/>
      <c r="CN195" s="159"/>
      <c r="CO195" s="159"/>
      <c r="CP195" s="159"/>
      <c r="CQ195" s="159"/>
    </row>
    <row r="196" spans="1:227" s="142" customFormat="1" ht="12.75" hidden="1" customHeight="1">
      <c r="A196" s="142" t="s">
        <v>225</v>
      </c>
      <c r="B196" s="140"/>
      <c r="C196" s="142" t="s">
        <v>27</v>
      </c>
      <c r="D196" s="137"/>
      <c r="E196" s="156">
        <f t="shared" si="27"/>
        <v>0</v>
      </c>
      <c r="F196" s="156"/>
      <c r="G196" s="156">
        <v>0</v>
      </c>
      <c r="H196" s="156"/>
      <c r="I196" s="156">
        <v>0</v>
      </c>
      <c r="J196" s="156"/>
      <c r="K196" s="156">
        <f t="shared" si="28"/>
        <v>0</v>
      </c>
      <c r="L196" s="156"/>
      <c r="M196" s="156">
        <v>0</v>
      </c>
      <c r="N196" s="156"/>
      <c r="O196" s="156">
        <v>0</v>
      </c>
      <c r="P196" s="156"/>
      <c r="Q196" s="156">
        <v>0</v>
      </c>
      <c r="R196" s="156"/>
      <c r="S196" s="156">
        <v>0</v>
      </c>
      <c r="T196" s="156"/>
      <c r="U196" s="156">
        <v>0</v>
      </c>
      <c r="V196" s="156"/>
      <c r="W196" s="156">
        <f t="shared" si="29"/>
        <v>0</v>
      </c>
      <c r="X196" s="140"/>
      <c r="Y196" s="140"/>
      <c r="Z196" s="142" t="s">
        <v>225</v>
      </c>
      <c r="AA196" s="156"/>
      <c r="AB196" s="142" t="s">
        <v>27</v>
      </c>
      <c r="AC196" s="140"/>
      <c r="AD196" s="156">
        <v>0</v>
      </c>
      <c r="AE196" s="156"/>
      <c r="AF196" s="156">
        <v>0</v>
      </c>
      <c r="AG196" s="156"/>
      <c r="AH196" s="156">
        <v>0</v>
      </c>
      <c r="AI196" s="156"/>
      <c r="AJ196" s="143">
        <f t="shared" si="34"/>
        <v>0</v>
      </c>
      <c r="AK196" s="143"/>
      <c r="AL196" s="156">
        <v>0</v>
      </c>
      <c r="AM196" s="143"/>
      <c r="AN196" s="156">
        <v>0</v>
      </c>
      <c r="AO196" s="156"/>
      <c r="AP196" s="156">
        <v>0</v>
      </c>
      <c r="AQ196" s="156"/>
      <c r="AR196" s="156">
        <v>0</v>
      </c>
      <c r="AS196" s="156"/>
      <c r="AT196" s="143">
        <f t="shared" si="35"/>
        <v>0</v>
      </c>
      <c r="AU196" s="143"/>
      <c r="AV196" s="156">
        <v>0</v>
      </c>
      <c r="AW196" s="156"/>
      <c r="AX196" s="156">
        <v>0</v>
      </c>
      <c r="AY196" s="156"/>
      <c r="AZ196" s="156">
        <f t="shared" si="36"/>
        <v>0</v>
      </c>
      <c r="BA196" s="140"/>
      <c r="BB196" s="142" t="s">
        <v>225</v>
      </c>
      <c r="BD196" s="142" t="s">
        <v>27</v>
      </c>
      <c r="BE196" s="156"/>
      <c r="BF196" s="156">
        <v>0</v>
      </c>
      <c r="BG196" s="156"/>
      <c r="BH196" s="156">
        <v>0</v>
      </c>
      <c r="BI196" s="156"/>
      <c r="BJ196" s="156">
        <v>0</v>
      </c>
      <c r="BK196" s="156"/>
      <c r="BL196" s="156">
        <v>0</v>
      </c>
      <c r="BM196" s="156"/>
      <c r="BN196" s="156">
        <f t="shared" si="30"/>
        <v>0</v>
      </c>
      <c r="BO196" s="158"/>
      <c r="BS196" s="159"/>
      <c r="BT196" s="159"/>
      <c r="BU196" s="160"/>
      <c r="BV196" s="159"/>
      <c r="BW196" s="159"/>
      <c r="BX196" s="159"/>
      <c r="BY196" s="159"/>
      <c r="BZ196" s="159"/>
      <c r="CA196" s="159"/>
      <c r="CB196" s="159"/>
      <c r="CC196" s="159"/>
      <c r="CD196" s="159"/>
      <c r="CE196" s="159"/>
      <c r="CF196" s="159"/>
      <c r="CG196" s="159"/>
      <c r="CH196" s="159"/>
      <c r="CI196" s="159"/>
      <c r="CJ196" s="159"/>
      <c r="CK196" s="159"/>
      <c r="CL196" s="159"/>
      <c r="CM196" s="159"/>
      <c r="CN196" s="159"/>
      <c r="CO196" s="159"/>
      <c r="CP196" s="159"/>
      <c r="CQ196" s="159"/>
    </row>
    <row r="197" spans="1:227" s="142" customFormat="1" ht="12.75" hidden="1" customHeight="1">
      <c r="A197" s="142" t="s">
        <v>226</v>
      </c>
      <c r="B197" s="140"/>
      <c r="C197" s="142" t="s">
        <v>45</v>
      </c>
      <c r="D197" s="137"/>
      <c r="E197" s="156">
        <f t="shared" si="27"/>
        <v>0</v>
      </c>
      <c r="F197" s="156"/>
      <c r="G197" s="156">
        <v>0</v>
      </c>
      <c r="H197" s="156"/>
      <c r="I197" s="156">
        <v>0</v>
      </c>
      <c r="J197" s="156"/>
      <c r="K197" s="156">
        <f t="shared" si="28"/>
        <v>0</v>
      </c>
      <c r="L197" s="156"/>
      <c r="M197" s="156">
        <v>0</v>
      </c>
      <c r="N197" s="156"/>
      <c r="O197" s="156">
        <v>0</v>
      </c>
      <c r="P197" s="156"/>
      <c r="Q197" s="156">
        <v>0</v>
      </c>
      <c r="R197" s="156"/>
      <c r="S197" s="156">
        <v>0</v>
      </c>
      <c r="T197" s="156"/>
      <c r="U197" s="156">
        <v>0</v>
      </c>
      <c r="V197" s="156"/>
      <c r="W197" s="156">
        <f t="shared" si="29"/>
        <v>0</v>
      </c>
      <c r="X197" s="140"/>
      <c r="Y197" s="140"/>
      <c r="Z197" s="142" t="s">
        <v>226</v>
      </c>
      <c r="AA197" s="156"/>
      <c r="AB197" s="142" t="s">
        <v>45</v>
      </c>
      <c r="AC197" s="140"/>
      <c r="AD197" s="156">
        <v>0</v>
      </c>
      <c r="AE197" s="156"/>
      <c r="AF197" s="156">
        <v>0</v>
      </c>
      <c r="AG197" s="156"/>
      <c r="AH197" s="156">
        <v>0</v>
      </c>
      <c r="AI197" s="156"/>
      <c r="AJ197" s="143">
        <f t="shared" si="34"/>
        <v>0</v>
      </c>
      <c r="AK197" s="143"/>
      <c r="AL197" s="156">
        <v>0</v>
      </c>
      <c r="AM197" s="143"/>
      <c r="AN197" s="156">
        <v>0</v>
      </c>
      <c r="AO197" s="156"/>
      <c r="AP197" s="156">
        <v>0</v>
      </c>
      <c r="AQ197" s="156"/>
      <c r="AR197" s="156">
        <v>0</v>
      </c>
      <c r="AS197" s="156"/>
      <c r="AT197" s="143">
        <f t="shared" si="35"/>
        <v>0</v>
      </c>
      <c r="AU197" s="143"/>
      <c r="AV197" s="156">
        <v>0</v>
      </c>
      <c r="AW197" s="156"/>
      <c r="AX197" s="156">
        <v>0</v>
      </c>
      <c r="AY197" s="156"/>
      <c r="AZ197" s="156">
        <f t="shared" si="36"/>
        <v>0</v>
      </c>
      <c r="BA197" s="140"/>
      <c r="BB197" s="142" t="s">
        <v>226</v>
      </c>
      <c r="BD197" s="142" t="s">
        <v>45</v>
      </c>
      <c r="BE197" s="156"/>
      <c r="BF197" s="156">
        <v>0</v>
      </c>
      <c r="BG197" s="156"/>
      <c r="BH197" s="156">
        <v>0</v>
      </c>
      <c r="BI197" s="156"/>
      <c r="BJ197" s="156">
        <v>0</v>
      </c>
      <c r="BK197" s="156"/>
      <c r="BL197" s="156">
        <v>0</v>
      </c>
      <c r="BM197" s="156"/>
      <c r="BN197" s="156">
        <f t="shared" si="30"/>
        <v>0</v>
      </c>
      <c r="BO197" s="158"/>
      <c r="BS197" s="159"/>
      <c r="BT197" s="159"/>
      <c r="BU197" s="160"/>
      <c r="BV197" s="159"/>
      <c r="BW197" s="159"/>
      <c r="BX197" s="159"/>
      <c r="BY197" s="159"/>
      <c r="BZ197" s="159"/>
      <c r="CA197" s="159"/>
      <c r="CB197" s="159"/>
      <c r="CC197" s="159"/>
      <c r="CD197" s="159"/>
      <c r="CE197" s="159"/>
      <c r="CF197" s="159"/>
      <c r="CG197" s="159"/>
      <c r="CH197" s="159"/>
      <c r="CI197" s="159"/>
      <c r="CJ197" s="159"/>
      <c r="CK197" s="159"/>
      <c r="CL197" s="159"/>
      <c r="CM197" s="159"/>
      <c r="CN197" s="159"/>
      <c r="CO197" s="159"/>
      <c r="CP197" s="159"/>
      <c r="CQ197" s="159"/>
    </row>
    <row r="198" spans="1:227" s="35" customFormat="1" ht="12.75" customHeight="1">
      <c r="A198" s="35" t="s">
        <v>227</v>
      </c>
      <c r="C198" s="35" t="s">
        <v>17</v>
      </c>
      <c r="D198" s="44"/>
      <c r="E198" s="53">
        <f t="shared" si="27"/>
        <v>804696</v>
      </c>
      <c r="F198" s="53"/>
      <c r="G198" s="53">
        <v>0</v>
      </c>
      <c r="H198" s="53"/>
      <c r="I198" s="53">
        <v>804696</v>
      </c>
      <c r="J198" s="53"/>
      <c r="K198" s="53">
        <f t="shared" si="28"/>
        <v>259311</v>
      </c>
      <c r="L198" s="53"/>
      <c r="M198" s="53">
        <v>28574</v>
      </c>
      <c r="N198" s="53"/>
      <c r="O198" s="53">
        <v>287885</v>
      </c>
      <c r="P198" s="53"/>
      <c r="Q198" s="53">
        <v>365281</v>
      </c>
      <c r="R198" s="53"/>
      <c r="S198" s="53">
        <v>0</v>
      </c>
      <c r="T198" s="53"/>
      <c r="U198" s="53">
        <v>151530</v>
      </c>
      <c r="V198" s="53"/>
      <c r="W198" s="53">
        <f t="shared" si="29"/>
        <v>516811</v>
      </c>
      <c r="X198" s="51"/>
      <c r="Y198" s="51"/>
      <c r="Z198" s="35" t="s">
        <v>227</v>
      </c>
      <c r="AA198" s="53"/>
      <c r="AB198" s="35" t="s">
        <v>17</v>
      </c>
      <c r="AD198" s="53">
        <v>600196</v>
      </c>
      <c r="AE198" s="53"/>
      <c r="AF198" s="53">
        <v>500273</v>
      </c>
      <c r="AG198" s="53"/>
      <c r="AH198" s="53">
        <v>77044</v>
      </c>
      <c r="AI198" s="53"/>
      <c r="AJ198" s="45">
        <f t="shared" si="34"/>
        <v>22879</v>
      </c>
      <c r="AK198" s="45"/>
      <c r="AL198" s="53">
        <v>-13191</v>
      </c>
      <c r="AM198" s="45"/>
      <c r="AN198" s="53">
        <v>0</v>
      </c>
      <c r="AO198" s="53"/>
      <c r="AP198" s="53">
        <v>0</v>
      </c>
      <c r="AQ198" s="53"/>
      <c r="AR198" s="53">
        <v>0</v>
      </c>
      <c r="AS198" s="53"/>
      <c r="AT198" s="45">
        <f t="shared" si="35"/>
        <v>9688</v>
      </c>
      <c r="AU198" s="45"/>
      <c r="AV198" s="53">
        <v>0</v>
      </c>
      <c r="AW198" s="53"/>
      <c r="AX198" s="53">
        <v>0</v>
      </c>
      <c r="AY198" s="53"/>
      <c r="AZ198" s="53">
        <f t="shared" si="36"/>
        <v>545385</v>
      </c>
      <c r="BA198" s="51"/>
      <c r="BB198" s="35" t="s">
        <v>227</v>
      </c>
      <c r="BD198" s="35" t="s">
        <v>17</v>
      </c>
      <c r="BE198" s="53"/>
      <c r="BF198" s="53">
        <v>0</v>
      </c>
      <c r="BG198" s="53"/>
      <c r="BH198" s="53">
        <v>0</v>
      </c>
      <c r="BI198" s="53"/>
      <c r="BJ198" s="53">
        <v>0</v>
      </c>
      <c r="BK198" s="53"/>
      <c r="BL198" s="53">
        <v>28574</v>
      </c>
      <c r="BM198" s="53"/>
      <c r="BN198" s="53">
        <f t="shared" si="30"/>
        <v>28574</v>
      </c>
      <c r="BO198" s="54"/>
      <c r="BS198" s="55"/>
      <c r="BT198" s="55"/>
      <c r="BU198" s="84"/>
      <c r="BV198" s="55"/>
      <c r="BW198" s="55"/>
      <c r="BX198" s="55"/>
      <c r="BY198" s="55"/>
      <c r="BZ198" s="55"/>
      <c r="CA198" s="55"/>
      <c r="CB198" s="55"/>
      <c r="CC198" s="55"/>
      <c r="CD198" s="55"/>
      <c r="CE198" s="55"/>
      <c r="CF198" s="55"/>
      <c r="CG198" s="55"/>
      <c r="CH198" s="55"/>
      <c r="CI198" s="55"/>
      <c r="CJ198" s="55"/>
      <c r="CK198" s="55"/>
      <c r="CL198" s="55"/>
      <c r="CM198" s="55"/>
      <c r="CN198" s="55"/>
      <c r="CO198" s="55"/>
      <c r="CP198" s="55"/>
      <c r="CQ198" s="55"/>
    </row>
    <row r="199" spans="1:227" s="35" customFormat="1" ht="12.75" customHeight="1">
      <c r="A199" s="35" t="s">
        <v>228</v>
      </c>
      <c r="B199" s="51"/>
      <c r="C199" s="35" t="s">
        <v>153</v>
      </c>
      <c r="D199" s="44"/>
      <c r="E199" s="53">
        <f t="shared" si="27"/>
        <v>1173760</v>
      </c>
      <c r="F199" s="53"/>
      <c r="G199" s="53">
        <v>10191696</v>
      </c>
      <c r="H199" s="53"/>
      <c r="I199" s="53">
        <v>11365456</v>
      </c>
      <c r="J199" s="53"/>
      <c r="K199" s="53">
        <f t="shared" si="28"/>
        <v>547527</v>
      </c>
      <c r="L199" s="53"/>
      <c r="M199" s="53">
        <v>3040351</v>
      </c>
      <c r="N199" s="53"/>
      <c r="O199" s="53">
        <v>3587878</v>
      </c>
      <c r="P199" s="53"/>
      <c r="Q199" s="53">
        <v>7068384</v>
      </c>
      <c r="R199" s="53"/>
      <c r="S199" s="53">
        <v>0</v>
      </c>
      <c r="T199" s="53"/>
      <c r="U199" s="53">
        <v>709194</v>
      </c>
      <c r="V199" s="53"/>
      <c r="W199" s="53">
        <f t="shared" si="29"/>
        <v>7777578</v>
      </c>
      <c r="X199" s="51"/>
      <c r="Y199" s="51"/>
      <c r="Z199" s="35" t="s">
        <v>228</v>
      </c>
      <c r="AA199" s="53"/>
      <c r="AB199" s="35" t="s">
        <v>153</v>
      </c>
      <c r="AC199" s="51"/>
      <c r="AD199" s="53">
        <v>1677830</v>
      </c>
      <c r="AE199" s="53"/>
      <c r="AF199" s="53">
        <v>1291266</v>
      </c>
      <c r="AG199" s="53"/>
      <c r="AH199" s="53">
        <v>318937</v>
      </c>
      <c r="AI199" s="53"/>
      <c r="AJ199" s="45">
        <f>+AD199-AF199-AH199</f>
        <v>67627</v>
      </c>
      <c r="AK199" s="45"/>
      <c r="AL199" s="53">
        <v>-81551</v>
      </c>
      <c r="AM199" s="45"/>
      <c r="AN199" s="53">
        <v>0</v>
      </c>
      <c r="AO199" s="53"/>
      <c r="AP199" s="53">
        <v>0</v>
      </c>
      <c r="AQ199" s="53"/>
      <c r="AR199" s="53">
        <v>79913</v>
      </c>
      <c r="AS199" s="53"/>
      <c r="AT199" s="45">
        <f>+AJ199+AL199+AN199-AP199+AR199</f>
        <v>65989</v>
      </c>
      <c r="AU199" s="45"/>
      <c r="AV199" s="53">
        <v>0</v>
      </c>
      <c r="AW199" s="53"/>
      <c r="AX199" s="53">
        <v>0</v>
      </c>
      <c r="AY199" s="53"/>
      <c r="AZ199" s="53">
        <f>E199-K199</f>
        <v>626233</v>
      </c>
      <c r="BA199" s="51"/>
      <c r="BB199" s="35" t="s">
        <v>228</v>
      </c>
      <c r="BD199" s="35" t="s">
        <v>153</v>
      </c>
      <c r="BE199" s="53"/>
      <c r="BF199" s="53">
        <v>0</v>
      </c>
      <c r="BG199" s="53"/>
      <c r="BH199" s="53">
        <v>0</v>
      </c>
      <c r="BI199" s="53"/>
      <c r="BJ199" s="53">
        <v>2990039</v>
      </c>
      <c r="BK199" s="53"/>
      <c r="BL199" s="53">
        <v>50312</v>
      </c>
      <c r="BM199" s="53"/>
      <c r="BN199" s="53">
        <f t="shared" si="30"/>
        <v>3040351</v>
      </c>
      <c r="BO199" s="54"/>
      <c r="BP199" s="55"/>
      <c r="BS199" s="55"/>
      <c r="BT199" s="55"/>
      <c r="BU199" s="84"/>
      <c r="BV199" s="55"/>
      <c r="BW199" s="55"/>
      <c r="BX199" s="55"/>
      <c r="BY199" s="55"/>
      <c r="BZ199" s="55"/>
      <c r="CA199" s="55"/>
      <c r="CB199" s="55"/>
      <c r="CC199" s="55"/>
      <c r="CD199" s="55"/>
      <c r="CE199" s="55"/>
      <c r="CF199" s="55"/>
      <c r="CG199" s="55"/>
      <c r="CH199" s="55"/>
      <c r="CI199" s="55"/>
      <c r="CJ199" s="55"/>
      <c r="CK199" s="55"/>
      <c r="CL199" s="55"/>
      <c r="CM199" s="55"/>
      <c r="CN199" s="55"/>
      <c r="CO199" s="55"/>
      <c r="CP199" s="55"/>
      <c r="CQ199" s="55"/>
    </row>
    <row r="200" spans="1:227" s="35" customFormat="1" ht="12.75" customHeight="1">
      <c r="A200" s="35" t="s">
        <v>229</v>
      </c>
      <c r="B200" s="51"/>
      <c r="C200" s="35" t="s">
        <v>228</v>
      </c>
      <c r="D200" s="44"/>
      <c r="E200" s="53">
        <v>3210918</v>
      </c>
      <c r="F200" s="53"/>
      <c r="G200" s="53">
        <v>7369216</v>
      </c>
      <c r="H200" s="53"/>
      <c r="I200" s="53">
        <v>10580134</v>
      </c>
      <c r="J200" s="53"/>
      <c r="K200" s="53">
        <v>543100</v>
      </c>
      <c r="L200" s="53"/>
      <c r="M200" s="53">
        <v>131233</v>
      </c>
      <c r="N200" s="53"/>
      <c r="O200" s="53">
        <v>674333</v>
      </c>
      <c r="P200" s="53"/>
      <c r="Q200" s="53">
        <v>7169216</v>
      </c>
      <c r="R200" s="53"/>
      <c r="S200" s="53">
        <v>0</v>
      </c>
      <c r="T200" s="53"/>
      <c r="U200" s="53">
        <v>2736585</v>
      </c>
      <c r="V200" s="53"/>
      <c r="W200" s="53">
        <f t="shared" si="29"/>
        <v>9905801</v>
      </c>
      <c r="Z200" s="35" t="s">
        <v>229</v>
      </c>
      <c r="AA200" s="53"/>
      <c r="AB200" s="35" t="s">
        <v>228</v>
      </c>
      <c r="AC200" s="51"/>
      <c r="AD200" s="53">
        <v>3905837</v>
      </c>
      <c r="AE200" s="53"/>
      <c r="AF200" s="53">
        <v>3490488</v>
      </c>
      <c r="AG200" s="53"/>
      <c r="AH200" s="53">
        <v>341520</v>
      </c>
      <c r="AI200" s="53"/>
      <c r="AJ200" s="45">
        <f>+AD200-AF200-AH200</f>
        <v>73829</v>
      </c>
      <c r="AK200" s="45"/>
      <c r="AL200" s="53">
        <v>312128</v>
      </c>
      <c r="AM200" s="45"/>
      <c r="AN200" s="53">
        <v>5073</v>
      </c>
      <c r="AO200" s="53"/>
      <c r="AP200" s="53">
        <v>31000</v>
      </c>
      <c r="AQ200" s="53"/>
      <c r="AR200" s="53">
        <v>0</v>
      </c>
      <c r="AS200" s="53"/>
      <c r="AT200" s="45">
        <f>+AJ200+AL200+AN200-AP200+AR200</f>
        <v>360030</v>
      </c>
      <c r="AU200" s="45"/>
      <c r="AV200" s="53">
        <v>0</v>
      </c>
      <c r="AW200" s="53"/>
      <c r="AX200" s="53">
        <v>0</v>
      </c>
      <c r="AY200" s="53"/>
      <c r="AZ200" s="53">
        <f t="shared" ref="AZ200:AZ233" si="37">E200-K200</f>
        <v>2667818</v>
      </c>
      <c r="BA200" s="51"/>
      <c r="BB200" s="35" t="s">
        <v>229</v>
      </c>
      <c r="BD200" s="35" t="s">
        <v>228</v>
      </c>
      <c r="BE200" s="53"/>
      <c r="BF200" s="53">
        <v>0</v>
      </c>
      <c r="BG200" s="53"/>
      <c r="BH200" s="53">
        <v>0</v>
      </c>
      <c r="BI200" s="53"/>
      <c r="BJ200" s="53">
        <v>0</v>
      </c>
      <c r="BK200" s="53"/>
      <c r="BL200" s="53">
        <v>131233</v>
      </c>
      <c r="BM200" s="53"/>
      <c r="BN200" s="53">
        <f t="shared" si="30"/>
        <v>131233</v>
      </c>
      <c r="BO200" s="54"/>
      <c r="BS200" s="55"/>
      <c r="BT200" s="55"/>
      <c r="BU200" s="84"/>
      <c r="BV200" s="55"/>
      <c r="BW200" s="55"/>
      <c r="BX200" s="55"/>
      <c r="BY200" s="55"/>
      <c r="BZ200" s="55"/>
      <c r="CA200" s="55"/>
      <c r="CB200" s="55"/>
      <c r="CC200" s="55"/>
      <c r="CD200" s="55"/>
      <c r="CE200" s="55"/>
      <c r="CF200" s="55"/>
      <c r="CG200" s="55"/>
      <c r="CH200" s="55"/>
      <c r="CI200" s="55"/>
      <c r="CJ200" s="55"/>
      <c r="CK200" s="55"/>
      <c r="CL200" s="55"/>
      <c r="CM200" s="55"/>
      <c r="CN200" s="55"/>
      <c r="CO200" s="55"/>
      <c r="CP200" s="55"/>
      <c r="CQ200" s="55"/>
    </row>
    <row r="201" spans="1:227" s="142" customFormat="1" ht="12.75" hidden="1" customHeight="1">
      <c r="A201" s="142" t="s">
        <v>230</v>
      </c>
      <c r="B201" s="140"/>
      <c r="C201" s="142" t="s">
        <v>45</v>
      </c>
      <c r="D201" s="137"/>
      <c r="E201" s="156">
        <f t="shared" si="27"/>
        <v>0</v>
      </c>
      <c r="F201" s="156"/>
      <c r="G201" s="156"/>
      <c r="H201" s="156"/>
      <c r="I201" s="156"/>
      <c r="J201" s="156"/>
      <c r="K201" s="156">
        <f t="shared" si="28"/>
        <v>0</v>
      </c>
      <c r="L201" s="156"/>
      <c r="M201" s="156"/>
      <c r="N201" s="156"/>
      <c r="O201" s="156"/>
      <c r="P201" s="156"/>
      <c r="Q201" s="156"/>
      <c r="R201" s="156"/>
      <c r="S201" s="156"/>
      <c r="T201" s="156"/>
      <c r="U201" s="156"/>
      <c r="V201" s="156"/>
      <c r="W201" s="156">
        <f t="shared" si="29"/>
        <v>0</v>
      </c>
      <c r="X201" s="140"/>
      <c r="Y201" s="140"/>
      <c r="Z201" s="142" t="s">
        <v>230</v>
      </c>
      <c r="AA201" s="156"/>
      <c r="AB201" s="142" t="s">
        <v>45</v>
      </c>
      <c r="AC201" s="140"/>
      <c r="AD201" s="156"/>
      <c r="AE201" s="156"/>
      <c r="AF201" s="156"/>
      <c r="AG201" s="156"/>
      <c r="AH201" s="156"/>
      <c r="AI201" s="156"/>
      <c r="AJ201" s="143">
        <f t="shared" ref="AJ201:AJ233" si="38">+AD201-AF201-AH201</f>
        <v>0</v>
      </c>
      <c r="AK201" s="143"/>
      <c r="AL201" s="156"/>
      <c r="AM201" s="143"/>
      <c r="AN201" s="156"/>
      <c r="AO201" s="156"/>
      <c r="AP201" s="156"/>
      <c r="AQ201" s="156"/>
      <c r="AR201" s="156"/>
      <c r="AS201" s="156"/>
      <c r="AT201" s="143">
        <f t="shared" ref="AT201:AT233" si="39">+AJ201+AL201+AN201-AP201+AR201</f>
        <v>0</v>
      </c>
      <c r="AU201" s="143"/>
      <c r="AV201" s="156">
        <v>0</v>
      </c>
      <c r="AW201" s="156"/>
      <c r="AX201" s="156">
        <v>0</v>
      </c>
      <c r="AY201" s="156"/>
      <c r="AZ201" s="156">
        <f t="shared" si="37"/>
        <v>0</v>
      </c>
      <c r="BA201" s="140"/>
      <c r="BB201" s="142" t="s">
        <v>230</v>
      </c>
      <c r="BD201" s="142" t="s">
        <v>45</v>
      </c>
      <c r="BE201" s="156"/>
      <c r="BF201" s="156"/>
      <c r="BG201" s="156"/>
      <c r="BH201" s="156"/>
      <c r="BI201" s="156"/>
      <c r="BJ201" s="156"/>
      <c r="BK201" s="156"/>
      <c r="BL201" s="156"/>
      <c r="BM201" s="156"/>
      <c r="BN201" s="156">
        <f t="shared" si="30"/>
        <v>0</v>
      </c>
      <c r="BO201" s="158"/>
      <c r="BS201" s="159"/>
      <c r="BT201" s="159"/>
      <c r="BU201" s="160"/>
      <c r="BV201" s="159"/>
      <c r="BW201" s="159"/>
      <c r="BX201" s="159"/>
      <c r="BY201" s="159"/>
      <c r="BZ201" s="159"/>
      <c r="CA201" s="159"/>
      <c r="CB201" s="159"/>
      <c r="CC201" s="159"/>
      <c r="CD201" s="159"/>
      <c r="CE201" s="159"/>
      <c r="CF201" s="159"/>
      <c r="CG201" s="159"/>
      <c r="CH201" s="159"/>
      <c r="CI201" s="159"/>
      <c r="CJ201" s="159"/>
      <c r="CK201" s="159"/>
      <c r="CL201" s="159"/>
      <c r="CM201" s="159"/>
      <c r="CN201" s="159"/>
      <c r="CO201" s="159"/>
      <c r="CP201" s="159"/>
      <c r="CQ201" s="159"/>
    </row>
    <row r="202" spans="1:227" s="64" customFormat="1" ht="12.75" customHeight="1">
      <c r="A202" s="35" t="s">
        <v>231</v>
      </c>
      <c r="B202" s="51"/>
      <c r="C202" s="35" t="s">
        <v>27</v>
      </c>
      <c r="D202" s="44"/>
      <c r="E202" s="53">
        <f t="shared" si="27"/>
        <v>6842713</v>
      </c>
      <c r="F202" s="53"/>
      <c r="G202" s="53">
        <v>61862707</v>
      </c>
      <c r="H202" s="53"/>
      <c r="I202" s="53">
        <v>68705420</v>
      </c>
      <c r="J202" s="53"/>
      <c r="K202" s="53">
        <f t="shared" si="28"/>
        <v>1921847</v>
      </c>
      <c r="L202" s="53"/>
      <c r="M202" s="53">
        <v>13143360</v>
      </c>
      <c r="N202" s="53"/>
      <c r="O202" s="53">
        <v>15065207</v>
      </c>
      <c r="P202" s="53"/>
      <c r="Q202" s="53">
        <v>47587430</v>
      </c>
      <c r="R202" s="53"/>
      <c r="S202" s="53">
        <v>0</v>
      </c>
      <c r="T202" s="53"/>
      <c r="U202" s="53">
        <v>6052783</v>
      </c>
      <c r="V202" s="53"/>
      <c r="W202" s="53">
        <f t="shared" si="29"/>
        <v>53640213</v>
      </c>
      <c r="X202" s="51"/>
      <c r="Y202" s="51"/>
      <c r="Z202" s="35" t="s">
        <v>231</v>
      </c>
      <c r="AA202" s="53"/>
      <c r="AB202" s="35" t="s">
        <v>27</v>
      </c>
      <c r="AC202" s="51"/>
      <c r="AD202" s="53">
        <v>5801399</v>
      </c>
      <c r="AE202" s="53"/>
      <c r="AF202" s="53">
        <v>2305143</v>
      </c>
      <c r="AG202" s="53"/>
      <c r="AH202" s="53">
        <v>1717143</v>
      </c>
      <c r="AI202" s="53"/>
      <c r="AJ202" s="45">
        <v>1778688</v>
      </c>
      <c r="AK202" s="45"/>
      <c r="AL202" s="53">
        <v>-422653</v>
      </c>
      <c r="AM202" s="45"/>
      <c r="AN202" s="53">
        <v>910307</v>
      </c>
      <c r="AO202" s="53"/>
      <c r="AP202" s="53">
        <v>0</v>
      </c>
      <c r="AQ202" s="53"/>
      <c r="AR202" s="53">
        <v>0</v>
      </c>
      <c r="AS202" s="53"/>
      <c r="AT202" s="45">
        <f t="shared" si="39"/>
        <v>2266342</v>
      </c>
      <c r="AU202" s="45"/>
      <c r="AV202" s="53">
        <v>0</v>
      </c>
      <c r="AW202" s="53"/>
      <c r="AX202" s="53">
        <v>0</v>
      </c>
      <c r="AY202" s="53"/>
      <c r="AZ202" s="53">
        <f t="shared" si="37"/>
        <v>4920866</v>
      </c>
      <c r="BA202" s="51"/>
      <c r="BB202" s="35" t="s">
        <v>231</v>
      </c>
      <c r="BC202" s="35"/>
      <c r="BD202" s="35" t="s">
        <v>27</v>
      </c>
      <c r="BE202" s="53"/>
      <c r="BF202" s="53">
        <v>0</v>
      </c>
      <c r="BG202" s="53"/>
      <c r="BH202" s="53">
        <v>0</v>
      </c>
      <c r="BI202" s="53"/>
      <c r="BJ202" s="53">
        <v>12854145</v>
      </c>
      <c r="BK202" s="53"/>
      <c r="BL202" s="53">
        <v>289215</v>
      </c>
      <c r="BM202" s="53"/>
      <c r="BN202" s="53">
        <f t="shared" si="30"/>
        <v>13143360</v>
      </c>
      <c r="BO202" s="91"/>
      <c r="BS202" s="90"/>
      <c r="BT202" s="90"/>
      <c r="BU202" s="95"/>
      <c r="BV202" s="90"/>
      <c r="BW202" s="90"/>
      <c r="BX202" s="90"/>
      <c r="BY202" s="90"/>
      <c r="BZ202" s="90"/>
      <c r="CA202" s="90"/>
      <c r="CB202" s="90"/>
      <c r="CC202" s="90"/>
      <c r="CD202" s="90"/>
      <c r="CE202" s="90"/>
      <c r="CF202" s="90"/>
      <c r="CG202" s="90"/>
      <c r="CH202" s="90"/>
      <c r="CI202" s="90"/>
      <c r="CJ202" s="90"/>
      <c r="CK202" s="90"/>
      <c r="CL202" s="90"/>
      <c r="CM202" s="90"/>
      <c r="CN202" s="90"/>
      <c r="CO202" s="90"/>
      <c r="CP202" s="90"/>
      <c r="CQ202" s="90"/>
    </row>
    <row r="203" spans="1:227" s="142" customFormat="1" ht="12.75" hidden="1" customHeight="1">
      <c r="A203" s="142" t="s">
        <v>232</v>
      </c>
      <c r="B203" s="140"/>
      <c r="C203" s="142" t="s">
        <v>27</v>
      </c>
      <c r="D203" s="137"/>
      <c r="E203" s="156">
        <f t="shared" si="27"/>
        <v>0</v>
      </c>
      <c r="F203" s="156"/>
      <c r="G203" s="156">
        <v>0</v>
      </c>
      <c r="H203" s="156"/>
      <c r="I203" s="156">
        <v>0</v>
      </c>
      <c r="J203" s="156"/>
      <c r="K203" s="156">
        <f t="shared" si="28"/>
        <v>0</v>
      </c>
      <c r="L203" s="156"/>
      <c r="M203" s="156">
        <v>0</v>
      </c>
      <c r="N203" s="156"/>
      <c r="O203" s="156">
        <v>0</v>
      </c>
      <c r="P203" s="156"/>
      <c r="Q203" s="156">
        <v>0</v>
      </c>
      <c r="R203" s="156"/>
      <c r="S203" s="156">
        <v>0</v>
      </c>
      <c r="T203" s="156"/>
      <c r="U203" s="156">
        <v>0</v>
      </c>
      <c r="V203" s="156"/>
      <c r="W203" s="156">
        <f t="shared" si="29"/>
        <v>0</v>
      </c>
      <c r="X203" s="140"/>
      <c r="Y203" s="140"/>
      <c r="Z203" s="142" t="s">
        <v>232</v>
      </c>
      <c r="AA203" s="156"/>
      <c r="AB203" s="142" t="s">
        <v>27</v>
      </c>
      <c r="AC203" s="140"/>
      <c r="AD203" s="156">
        <v>0</v>
      </c>
      <c r="AE203" s="156"/>
      <c r="AF203" s="156">
        <v>0</v>
      </c>
      <c r="AG203" s="156"/>
      <c r="AH203" s="156">
        <v>0</v>
      </c>
      <c r="AI203" s="156"/>
      <c r="AJ203" s="143">
        <f t="shared" si="38"/>
        <v>0</v>
      </c>
      <c r="AK203" s="143"/>
      <c r="AL203" s="156">
        <v>0</v>
      </c>
      <c r="AM203" s="143"/>
      <c r="AN203" s="156">
        <v>0</v>
      </c>
      <c r="AO203" s="156"/>
      <c r="AP203" s="156">
        <v>0</v>
      </c>
      <c r="AQ203" s="156"/>
      <c r="AR203" s="156">
        <v>0</v>
      </c>
      <c r="AS203" s="156"/>
      <c r="AT203" s="143">
        <f t="shared" si="39"/>
        <v>0</v>
      </c>
      <c r="AU203" s="143"/>
      <c r="AV203" s="156">
        <v>0</v>
      </c>
      <c r="AW203" s="156"/>
      <c r="AX203" s="156">
        <v>0</v>
      </c>
      <c r="AY203" s="156"/>
      <c r="AZ203" s="156">
        <f t="shared" si="37"/>
        <v>0</v>
      </c>
      <c r="BA203" s="140"/>
      <c r="BB203" s="142" t="s">
        <v>232</v>
      </c>
      <c r="BD203" s="142" t="s">
        <v>27</v>
      </c>
      <c r="BE203" s="156"/>
      <c r="BF203" s="156">
        <v>0</v>
      </c>
      <c r="BG203" s="156"/>
      <c r="BH203" s="156">
        <v>0</v>
      </c>
      <c r="BI203" s="156"/>
      <c r="BJ203" s="156">
        <v>0</v>
      </c>
      <c r="BK203" s="156"/>
      <c r="BL203" s="156">
        <v>0</v>
      </c>
      <c r="BM203" s="156"/>
      <c r="BN203" s="156">
        <f t="shared" si="30"/>
        <v>0</v>
      </c>
      <c r="BO203" s="158"/>
      <c r="BP203" s="161"/>
      <c r="BQ203" s="161"/>
      <c r="BR203" s="161"/>
      <c r="BS203" s="159"/>
      <c r="BT203" s="159"/>
      <c r="BU203" s="160"/>
      <c r="BV203" s="159"/>
      <c r="BW203" s="159"/>
      <c r="BX203" s="159"/>
      <c r="BY203" s="159"/>
      <c r="BZ203" s="159"/>
      <c r="CA203" s="159"/>
      <c r="CB203" s="159"/>
      <c r="CC203" s="159"/>
      <c r="CD203" s="159"/>
      <c r="CE203" s="159"/>
      <c r="CF203" s="159"/>
      <c r="CG203" s="159"/>
      <c r="CH203" s="159"/>
      <c r="CI203" s="159"/>
      <c r="CJ203" s="159"/>
      <c r="CK203" s="159"/>
      <c r="CL203" s="159"/>
      <c r="CM203" s="159"/>
      <c r="CN203" s="159"/>
      <c r="CO203" s="159"/>
      <c r="CP203" s="159"/>
      <c r="CQ203" s="159"/>
      <c r="CR203" s="161"/>
      <c r="CS203" s="161"/>
      <c r="CT203" s="161"/>
      <c r="CU203" s="161"/>
      <c r="CV203" s="161"/>
      <c r="CW203" s="161"/>
      <c r="CX203" s="161"/>
      <c r="CY203" s="161"/>
      <c r="CZ203" s="161"/>
      <c r="DA203" s="161"/>
      <c r="DB203" s="161"/>
      <c r="DC203" s="161"/>
      <c r="DD203" s="161"/>
      <c r="DE203" s="161"/>
      <c r="DF203" s="161"/>
      <c r="DG203" s="161"/>
      <c r="DH203" s="161"/>
      <c r="DI203" s="161"/>
      <c r="DJ203" s="161"/>
      <c r="DK203" s="161"/>
      <c r="DL203" s="161"/>
      <c r="DM203" s="161"/>
      <c r="DN203" s="161"/>
      <c r="DO203" s="161"/>
      <c r="DP203" s="161"/>
      <c r="DQ203" s="161"/>
      <c r="DR203" s="161"/>
      <c r="DS203" s="161"/>
      <c r="DT203" s="161"/>
      <c r="DU203" s="161"/>
      <c r="DV203" s="161"/>
      <c r="DW203" s="161"/>
      <c r="DX203" s="161"/>
      <c r="DY203" s="161"/>
      <c r="DZ203" s="161"/>
      <c r="EA203" s="161"/>
      <c r="EB203" s="161"/>
      <c r="EC203" s="161"/>
      <c r="ED203" s="161"/>
      <c r="EE203" s="161"/>
      <c r="EF203" s="161"/>
      <c r="EG203" s="161"/>
      <c r="EH203" s="161"/>
      <c r="EI203" s="161"/>
      <c r="EJ203" s="161"/>
      <c r="EK203" s="161"/>
      <c r="EL203" s="161"/>
      <c r="EM203" s="161"/>
      <c r="EN203" s="161"/>
      <c r="EO203" s="161"/>
      <c r="EP203" s="161"/>
      <c r="EQ203" s="161"/>
      <c r="ER203" s="161"/>
      <c r="ES203" s="161"/>
      <c r="ET203" s="161"/>
      <c r="EU203" s="161"/>
      <c r="EV203" s="161"/>
      <c r="EW203" s="161"/>
      <c r="EX203" s="161"/>
      <c r="EY203" s="161"/>
      <c r="EZ203" s="161"/>
      <c r="FA203" s="161"/>
      <c r="FB203" s="161"/>
      <c r="FC203" s="161"/>
      <c r="FD203" s="161"/>
      <c r="FE203" s="161"/>
      <c r="FF203" s="161"/>
      <c r="FG203" s="161"/>
      <c r="FH203" s="161"/>
      <c r="FI203" s="161"/>
      <c r="FJ203" s="161"/>
      <c r="FK203" s="161"/>
      <c r="FL203" s="161"/>
      <c r="FM203" s="161"/>
      <c r="FN203" s="161"/>
      <c r="FO203" s="161"/>
      <c r="FP203" s="161"/>
      <c r="FQ203" s="161"/>
      <c r="FR203" s="161"/>
      <c r="FS203" s="161"/>
      <c r="FT203" s="161"/>
      <c r="FU203" s="161"/>
      <c r="FV203" s="161"/>
      <c r="FW203" s="161"/>
      <c r="FX203" s="161"/>
      <c r="FY203" s="161"/>
      <c r="FZ203" s="161"/>
      <c r="GA203" s="161"/>
      <c r="GB203" s="161"/>
      <c r="GC203" s="161"/>
      <c r="GD203" s="161"/>
      <c r="GE203" s="161"/>
      <c r="GF203" s="161"/>
      <c r="GG203" s="161"/>
      <c r="GH203" s="161"/>
      <c r="GI203" s="161"/>
      <c r="GJ203" s="161"/>
      <c r="GK203" s="161"/>
      <c r="GL203" s="161"/>
      <c r="GM203" s="161"/>
      <c r="GN203" s="161"/>
      <c r="GO203" s="161"/>
      <c r="GP203" s="161"/>
      <c r="GQ203" s="161"/>
      <c r="GR203" s="161"/>
      <c r="GS203" s="161"/>
      <c r="GT203" s="161"/>
      <c r="GU203" s="161"/>
      <c r="GV203" s="161"/>
      <c r="GW203" s="161"/>
      <c r="GX203" s="161"/>
      <c r="GY203" s="161"/>
      <c r="GZ203" s="161"/>
      <c r="HA203" s="161"/>
      <c r="HB203" s="161"/>
      <c r="HC203" s="161"/>
      <c r="HD203" s="161"/>
      <c r="HE203" s="161"/>
      <c r="HF203" s="161"/>
      <c r="HG203" s="161"/>
      <c r="HH203" s="161"/>
      <c r="HI203" s="161"/>
      <c r="HJ203" s="161"/>
      <c r="HK203" s="161"/>
      <c r="HL203" s="161"/>
      <c r="HM203" s="161"/>
      <c r="HN203" s="161"/>
      <c r="HO203" s="161"/>
      <c r="HP203" s="161"/>
      <c r="HQ203" s="161"/>
      <c r="HR203" s="161"/>
      <c r="HS203" s="161"/>
    </row>
    <row r="204" spans="1:227" s="35" customFormat="1" ht="12.75" customHeight="1">
      <c r="A204" s="35" t="s">
        <v>233</v>
      </c>
      <c r="B204" s="51"/>
      <c r="C204" s="35" t="s">
        <v>111</v>
      </c>
      <c r="D204" s="44"/>
      <c r="E204" s="53">
        <f t="shared" si="27"/>
        <v>3855532</v>
      </c>
      <c r="F204" s="53"/>
      <c r="G204" s="53">
        <v>31064322</v>
      </c>
      <c r="H204" s="53"/>
      <c r="I204" s="53">
        <v>34919854</v>
      </c>
      <c r="J204" s="53"/>
      <c r="K204" s="53">
        <f t="shared" si="28"/>
        <v>980145</v>
      </c>
      <c r="L204" s="53"/>
      <c r="M204" s="53">
        <v>13063557</v>
      </c>
      <c r="N204" s="53"/>
      <c r="O204" s="53">
        <v>14043702</v>
      </c>
      <c r="P204" s="53"/>
      <c r="Q204" s="53">
        <v>15597116</v>
      </c>
      <c r="R204" s="53"/>
      <c r="S204" s="53">
        <v>1612553</v>
      </c>
      <c r="T204" s="53"/>
      <c r="U204" s="53">
        <v>3666483</v>
      </c>
      <c r="V204" s="53"/>
      <c r="W204" s="53">
        <f t="shared" si="29"/>
        <v>20876152</v>
      </c>
      <c r="X204" s="51"/>
      <c r="Y204" s="51"/>
      <c r="Z204" s="35" t="s">
        <v>233</v>
      </c>
      <c r="AA204" s="53"/>
      <c r="AB204" s="35" t="s">
        <v>111</v>
      </c>
      <c r="AC204" s="51"/>
      <c r="AD204" s="53">
        <v>3244071</v>
      </c>
      <c r="AE204" s="53"/>
      <c r="AF204" s="53">
        <v>2092356</v>
      </c>
      <c r="AG204" s="53"/>
      <c r="AH204" s="53">
        <v>585224</v>
      </c>
      <c r="AI204" s="53"/>
      <c r="AJ204" s="45">
        <f t="shared" si="38"/>
        <v>566491</v>
      </c>
      <c r="AK204" s="45"/>
      <c r="AL204" s="53">
        <v>-426563</v>
      </c>
      <c r="AM204" s="45"/>
      <c r="AN204" s="53">
        <v>0</v>
      </c>
      <c r="AO204" s="53"/>
      <c r="AP204" s="53">
        <v>0</v>
      </c>
      <c r="AQ204" s="53"/>
      <c r="AR204" s="53">
        <v>309928</v>
      </c>
      <c r="AS204" s="53"/>
      <c r="AT204" s="45">
        <f t="shared" si="39"/>
        <v>449856</v>
      </c>
      <c r="AU204" s="45"/>
      <c r="AV204" s="53">
        <v>0</v>
      </c>
      <c r="AW204" s="53"/>
      <c r="AX204" s="53">
        <v>0</v>
      </c>
      <c r="AY204" s="53"/>
      <c r="AZ204" s="53">
        <f t="shared" si="37"/>
        <v>2875387</v>
      </c>
      <c r="BA204" s="51"/>
      <c r="BB204" s="35" t="s">
        <v>233</v>
      </c>
      <c r="BD204" s="35" t="s">
        <v>111</v>
      </c>
      <c r="BE204" s="53"/>
      <c r="BF204" s="53">
        <v>0</v>
      </c>
      <c r="BG204" s="53"/>
      <c r="BH204" s="53">
        <v>13019925</v>
      </c>
      <c r="BI204" s="53"/>
      <c r="BJ204" s="53">
        <v>0</v>
      </c>
      <c r="BK204" s="53"/>
      <c r="BL204" s="53">
        <v>43632</v>
      </c>
      <c r="BM204" s="53"/>
      <c r="BN204" s="53">
        <f t="shared" si="30"/>
        <v>13063557</v>
      </c>
      <c r="BO204" s="54"/>
      <c r="BS204" s="55"/>
      <c r="BT204" s="55"/>
      <c r="BU204" s="84"/>
      <c r="BV204" s="55"/>
      <c r="BW204" s="55"/>
      <c r="BX204" s="55"/>
      <c r="BY204" s="55"/>
      <c r="BZ204" s="55"/>
      <c r="CA204" s="55"/>
      <c r="CB204" s="55"/>
      <c r="CC204" s="55"/>
      <c r="CD204" s="55"/>
      <c r="CE204" s="55"/>
      <c r="CF204" s="55"/>
      <c r="CG204" s="55"/>
      <c r="CH204" s="55"/>
      <c r="CI204" s="55"/>
      <c r="CJ204" s="55"/>
      <c r="CK204" s="55"/>
      <c r="CL204" s="55"/>
      <c r="CM204" s="55"/>
      <c r="CN204" s="55"/>
      <c r="CO204" s="55"/>
      <c r="CP204" s="55"/>
      <c r="CQ204" s="55"/>
    </row>
    <row r="205" spans="1:227" s="142" customFormat="1" ht="12.75" hidden="1" customHeight="1">
      <c r="A205" s="142" t="s">
        <v>234</v>
      </c>
      <c r="B205" s="140"/>
      <c r="C205" s="142" t="s">
        <v>45</v>
      </c>
      <c r="D205" s="137"/>
      <c r="E205" s="156">
        <f t="shared" si="27"/>
        <v>0</v>
      </c>
      <c r="F205" s="156"/>
      <c r="G205" s="156">
        <v>0</v>
      </c>
      <c r="H205" s="156"/>
      <c r="I205" s="156">
        <v>0</v>
      </c>
      <c r="J205" s="156"/>
      <c r="K205" s="156">
        <f t="shared" si="28"/>
        <v>0</v>
      </c>
      <c r="L205" s="156"/>
      <c r="M205" s="156">
        <v>0</v>
      </c>
      <c r="N205" s="156"/>
      <c r="O205" s="156">
        <v>0</v>
      </c>
      <c r="P205" s="156"/>
      <c r="Q205" s="156">
        <v>0</v>
      </c>
      <c r="R205" s="156"/>
      <c r="S205" s="156">
        <v>0</v>
      </c>
      <c r="T205" s="156"/>
      <c r="U205" s="156">
        <v>0</v>
      </c>
      <c r="V205" s="156"/>
      <c r="W205" s="156">
        <f t="shared" si="29"/>
        <v>0</v>
      </c>
      <c r="X205" s="140"/>
      <c r="Y205" s="140"/>
      <c r="Z205" s="142" t="s">
        <v>234</v>
      </c>
      <c r="AA205" s="156"/>
      <c r="AB205" s="142" t="s">
        <v>45</v>
      </c>
      <c r="AC205" s="140"/>
      <c r="AD205" s="156">
        <v>0</v>
      </c>
      <c r="AE205" s="156"/>
      <c r="AF205" s="156">
        <v>0</v>
      </c>
      <c r="AG205" s="156"/>
      <c r="AH205" s="156">
        <v>0</v>
      </c>
      <c r="AI205" s="156"/>
      <c r="AJ205" s="143">
        <f t="shared" si="38"/>
        <v>0</v>
      </c>
      <c r="AK205" s="143"/>
      <c r="AL205" s="156">
        <v>0</v>
      </c>
      <c r="AM205" s="143"/>
      <c r="AN205" s="156">
        <v>0</v>
      </c>
      <c r="AO205" s="156"/>
      <c r="AP205" s="156">
        <v>0</v>
      </c>
      <c r="AQ205" s="156"/>
      <c r="AR205" s="156">
        <v>0</v>
      </c>
      <c r="AS205" s="156"/>
      <c r="AT205" s="143">
        <f t="shared" si="39"/>
        <v>0</v>
      </c>
      <c r="AU205" s="143"/>
      <c r="AV205" s="156">
        <v>0</v>
      </c>
      <c r="AW205" s="156"/>
      <c r="AX205" s="156">
        <v>0</v>
      </c>
      <c r="AY205" s="156"/>
      <c r="AZ205" s="156">
        <f t="shared" si="37"/>
        <v>0</v>
      </c>
      <c r="BA205" s="140"/>
      <c r="BB205" s="142" t="s">
        <v>234</v>
      </c>
      <c r="BD205" s="142" t="s">
        <v>45</v>
      </c>
      <c r="BE205" s="156"/>
      <c r="BF205" s="156">
        <v>0</v>
      </c>
      <c r="BG205" s="156"/>
      <c r="BH205" s="156">
        <v>0</v>
      </c>
      <c r="BI205" s="156"/>
      <c r="BJ205" s="156">
        <v>0</v>
      </c>
      <c r="BK205" s="156"/>
      <c r="BL205" s="156">
        <v>0</v>
      </c>
      <c r="BM205" s="156"/>
      <c r="BN205" s="156">
        <f t="shared" si="30"/>
        <v>0</v>
      </c>
      <c r="BO205" s="158"/>
      <c r="BS205" s="159"/>
      <c r="BT205" s="159"/>
      <c r="BU205" s="160"/>
      <c r="BV205" s="159"/>
      <c r="BW205" s="159"/>
      <c r="BX205" s="159"/>
      <c r="BY205" s="159"/>
      <c r="BZ205" s="159"/>
      <c r="CA205" s="159"/>
      <c r="CB205" s="159"/>
      <c r="CC205" s="159"/>
      <c r="CD205" s="159"/>
      <c r="CE205" s="159"/>
      <c r="CF205" s="159"/>
      <c r="CG205" s="159"/>
      <c r="CH205" s="159"/>
      <c r="CI205" s="159"/>
      <c r="CJ205" s="159"/>
      <c r="CK205" s="159"/>
      <c r="CL205" s="159"/>
      <c r="CM205" s="159"/>
      <c r="CN205" s="159"/>
      <c r="CO205" s="159"/>
      <c r="CP205" s="159"/>
      <c r="CQ205" s="159"/>
    </row>
    <row r="206" spans="1:227" s="35" customFormat="1" ht="12.75" customHeight="1">
      <c r="A206" s="35" t="s">
        <v>235</v>
      </c>
      <c r="B206" s="51"/>
      <c r="C206" s="35" t="s">
        <v>183</v>
      </c>
      <c r="D206" s="44"/>
      <c r="E206" s="53">
        <f t="shared" si="27"/>
        <v>12612980</v>
      </c>
      <c r="F206" s="53"/>
      <c r="G206" s="53">
        <v>13591716</v>
      </c>
      <c r="H206" s="53"/>
      <c r="I206" s="53">
        <v>26204696</v>
      </c>
      <c r="J206" s="53"/>
      <c r="K206" s="53">
        <f t="shared" si="28"/>
        <v>1290959</v>
      </c>
      <c r="L206" s="53"/>
      <c r="M206" s="53">
        <v>5514488</v>
      </c>
      <c r="N206" s="53"/>
      <c r="O206" s="53">
        <v>6805447</v>
      </c>
      <c r="P206" s="53"/>
      <c r="Q206" s="53">
        <v>10134539</v>
      </c>
      <c r="R206" s="53"/>
      <c r="S206" s="53">
        <v>0</v>
      </c>
      <c r="T206" s="53"/>
      <c r="U206" s="53">
        <v>9264710</v>
      </c>
      <c r="V206" s="53"/>
      <c r="W206" s="53">
        <f t="shared" si="29"/>
        <v>19399249</v>
      </c>
      <c r="X206" s="51"/>
      <c r="Y206" s="51"/>
      <c r="Z206" s="35" t="s">
        <v>235</v>
      </c>
      <c r="AA206" s="53"/>
      <c r="AB206" s="35" t="s">
        <v>183</v>
      </c>
      <c r="AC206" s="51"/>
      <c r="AD206" s="53">
        <v>7483784</v>
      </c>
      <c r="AE206" s="53"/>
      <c r="AF206" s="53">
        <v>4831867</v>
      </c>
      <c r="AG206" s="53"/>
      <c r="AH206" s="53">
        <v>1115683</v>
      </c>
      <c r="AI206" s="53"/>
      <c r="AJ206" s="45">
        <f t="shared" si="38"/>
        <v>1536234</v>
      </c>
      <c r="AK206" s="45"/>
      <c r="AL206" s="53">
        <v>1111852</v>
      </c>
      <c r="AM206" s="45"/>
      <c r="AN206" s="53">
        <v>0</v>
      </c>
      <c r="AO206" s="53"/>
      <c r="AP206" s="53">
        <v>298130</v>
      </c>
      <c r="AQ206" s="53"/>
      <c r="AR206" s="53">
        <v>42126</v>
      </c>
      <c r="AS206" s="53"/>
      <c r="AT206" s="45">
        <f t="shared" si="39"/>
        <v>2392082</v>
      </c>
      <c r="AU206" s="45"/>
      <c r="AV206" s="53">
        <v>0</v>
      </c>
      <c r="AW206" s="53"/>
      <c r="AX206" s="53">
        <v>0</v>
      </c>
      <c r="AY206" s="53"/>
      <c r="AZ206" s="53">
        <f t="shared" si="37"/>
        <v>11322021</v>
      </c>
      <c r="BA206" s="51"/>
      <c r="BB206" s="35" t="s">
        <v>235</v>
      </c>
      <c r="BD206" s="35" t="s">
        <v>183</v>
      </c>
      <c r="BE206" s="53"/>
      <c r="BF206" s="53">
        <v>0</v>
      </c>
      <c r="BG206" s="53"/>
      <c r="BH206" s="53">
        <v>0</v>
      </c>
      <c r="BI206" s="53"/>
      <c r="BJ206" s="53">
        <v>0</v>
      </c>
      <c r="BK206" s="53"/>
      <c r="BL206" s="53">
        <v>5515488</v>
      </c>
      <c r="BM206" s="53"/>
      <c r="BN206" s="53">
        <f t="shared" si="30"/>
        <v>5515488</v>
      </c>
      <c r="BO206" s="54"/>
      <c r="BS206" s="55"/>
      <c r="BT206" s="55"/>
      <c r="BU206" s="84"/>
      <c r="BV206" s="55"/>
      <c r="BW206" s="55"/>
      <c r="BX206" s="55"/>
      <c r="BY206" s="55"/>
      <c r="BZ206" s="55"/>
      <c r="CA206" s="55"/>
      <c r="CB206" s="55"/>
      <c r="CC206" s="55"/>
      <c r="CD206" s="55"/>
      <c r="CE206" s="55"/>
      <c r="CF206" s="55"/>
      <c r="CG206" s="55"/>
      <c r="CH206" s="55"/>
      <c r="CI206" s="55"/>
      <c r="CJ206" s="55"/>
      <c r="CK206" s="55"/>
      <c r="CL206" s="55"/>
      <c r="CM206" s="55"/>
      <c r="CN206" s="55"/>
      <c r="CO206" s="55"/>
      <c r="CP206" s="55"/>
      <c r="CQ206" s="55"/>
    </row>
    <row r="207" spans="1:227" s="142" customFormat="1" ht="12.75" hidden="1" customHeight="1">
      <c r="A207" s="142" t="s">
        <v>236</v>
      </c>
      <c r="B207" s="140"/>
      <c r="C207" s="142" t="s">
        <v>45</v>
      </c>
      <c r="D207" s="137"/>
      <c r="E207" s="156">
        <f t="shared" si="27"/>
        <v>0</v>
      </c>
      <c r="F207" s="156"/>
      <c r="G207" s="156">
        <v>0</v>
      </c>
      <c r="H207" s="156"/>
      <c r="I207" s="156">
        <v>0</v>
      </c>
      <c r="J207" s="156"/>
      <c r="K207" s="156">
        <f t="shared" si="28"/>
        <v>0</v>
      </c>
      <c r="L207" s="156"/>
      <c r="M207" s="156">
        <v>0</v>
      </c>
      <c r="N207" s="156"/>
      <c r="O207" s="156">
        <v>0</v>
      </c>
      <c r="P207" s="156"/>
      <c r="Q207" s="156">
        <v>0</v>
      </c>
      <c r="R207" s="156"/>
      <c r="S207" s="156">
        <v>0</v>
      </c>
      <c r="T207" s="156"/>
      <c r="U207" s="156">
        <v>0</v>
      </c>
      <c r="V207" s="156"/>
      <c r="W207" s="156">
        <f t="shared" si="29"/>
        <v>0</v>
      </c>
      <c r="X207" s="140"/>
      <c r="Y207" s="140"/>
      <c r="Z207" s="142" t="s">
        <v>236</v>
      </c>
      <c r="AA207" s="156"/>
      <c r="AB207" s="142" t="s">
        <v>45</v>
      </c>
      <c r="AC207" s="140"/>
      <c r="AD207" s="156">
        <v>0</v>
      </c>
      <c r="AE207" s="156"/>
      <c r="AF207" s="156">
        <v>0</v>
      </c>
      <c r="AG207" s="156"/>
      <c r="AH207" s="156">
        <v>0</v>
      </c>
      <c r="AI207" s="156"/>
      <c r="AJ207" s="143">
        <f t="shared" si="38"/>
        <v>0</v>
      </c>
      <c r="AK207" s="143"/>
      <c r="AL207" s="156">
        <v>0</v>
      </c>
      <c r="AM207" s="143"/>
      <c r="AN207" s="156">
        <v>0</v>
      </c>
      <c r="AO207" s="156"/>
      <c r="AP207" s="156">
        <v>0</v>
      </c>
      <c r="AQ207" s="156"/>
      <c r="AR207" s="156">
        <v>0</v>
      </c>
      <c r="AS207" s="156"/>
      <c r="AT207" s="143">
        <f t="shared" si="39"/>
        <v>0</v>
      </c>
      <c r="AU207" s="143"/>
      <c r="AV207" s="156">
        <v>0</v>
      </c>
      <c r="AW207" s="156"/>
      <c r="AX207" s="156">
        <v>0</v>
      </c>
      <c r="AY207" s="156"/>
      <c r="AZ207" s="156">
        <f t="shared" si="37"/>
        <v>0</v>
      </c>
      <c r="BA207" s="140"/>
      <c r="BB207" s="142" t="s">
        <v>236</v>
      </c>
      <c r="BD207" s="142" t="s">
        <v>45</v>
      </c>
      <c r="BE207" s="156"/>
      <c r="BF207" s="156">
        <v>0</v>
      </c>
      <c r="BG207" s="156"/>
      <c r="BH207" s="156">
        <v>0</v>
      </c>
      <c r="BI207" s="156"/>
      <c r="BJ207" s="156">
        <v>0</v>
      </c>
      <c r="BK207" s="156"/>
      <c r="BL207" s="156">
        <v>0</v>
      </c>
      <c r="BM207" s="156"/>
      <c r="BN207" s="156">
        <f t="shared" si="30"/>
        <v>0</v>
      </c>
      <c r="BO207" s="158"/>
      <c r="BS207" s="159"/>
      <c r="BT207" s="159"/>
      <c r="BU207" s="160"/>
      <c r="BV207" s="159"/>
      <c r="BW207" s="159"/>
      <c r="BX207" s="159"/>
      <c r="BY207" s="159"/>
      <c r="BZ207" s="159"/>
      <c r="CA207" s="159"/>
      <c r="CB207" s="159"/>
      <c r="CC207" s="159"/>
      <c r="CD207" s="159"/>
      <c r="CE207" s="159"/>
      <c r="CF207" s="159"/>
      <c r="CG207" s="159"/>
      <c r="CH207" s="159"/>
      <c r="CI207" s="159"/>
      <c r="CJ207" s="159"/>
      <c r="CK207" s="159"/>
      <c r="CL207" s="159"/>
      <c r="CM207" s="159"/>
      <c r="CN207" s="159"/>
      <c r="CO207" s="159"/>
      <c r="CP207" s="159"/>
      <c r="CQ207" s="159"/>
    </row>
    <row r="208" spans="1:227" s="35" customFormat="1" ht="12.75" customHeight="1">
      <c r="A208" s="35" t="s">
        <v>237</v>
      </c>
      <c r="B208" s="51"/>
      <c r="C208" s="35" t="s">
        <v>33</v>
      </c>
      <c r="D208" s="44"/>
      <c r="E208" s="53">
        <f t="shared" si="27"/>
        <v>320590</v>
      </c>
      <c r="F208" s="53"/>
      <c r="G208" s="53">
        <v>2258301</v>
      </c>
      <c r="H208" s="53"/>
      <c r="I208" s="53">
        <v>2578891</v>
      </c>
      <c r="J208" s="53"/>
      <c r="K208" s="53">
        <f t="shared" si="28"/>
        <v>369990</v>
      </c>
      <c r="L208" s="53"/>
      <c r="M208" s="53">
        <v>312204</v>
      </c>
      <c r="N208" s="53"/>
      <c r="O208" s="53">
        <v>682194</v>
      </c>
      <c r="P208" s="53"/>
      <c r="Q208" s="53">
        <v>1889391</v>
      </c>
      <c r="R208" s="53"/>
      <c r="S208" s="53">
        <v>0</v>
      </c>
      <c r="T208" s="53"/>
      <c r="U208" s="53">
        <v>7306</v>
      </c>
      <c r="V208" s="53"/>
      <c r="W208" s="53">
        <f t="shared" si="29"/>
        <v>1896697</v>
      </c>
      <c r="X208" s="51"/>
      <c r="Y208" s="51"/>
      <c r="Z208" s="35" t="s">
        <v>237</v>
      </c>
      <c r="AA208" s="53"/>
      <c r="AB208" s="35" t="s">
        <v>33</v>
      </c>
      <c r="AC208" s="51"/>
      <c r="AD208" s="53">
        <v>862383</v>
      </c>
      <c r="AE208" s="53"/>
      <c r="AF208" s="53">
        <v>778074</v>
      </c>
      <c r="AG208" s="53"/>
      <c r="AH208" s="53">
        <v>247174</v>
      </c>
      <c r="AI208" s="53"/>
      <c r="AJ208" s="45">
        <f t="shared" si="38"/>
        <v>-162865</v>
      </c>
      <c r="AK208" s="45"/>
      <c r="AL208" s="53">
        <v>-36613</v>
      </c>
      <c r="AM208" s="45"/>
      <c r="AN208" s="53">
        <v>0</v>
      </c>
      <c r="AO208" s="53"/>
      <c r="AP208" s="53">
        <v>0</v>
      </c>
      <c r="AQ208" s="53"/>
      <c r="AR208" s="53">
        <v>0</v>
      </c>
      <c r="AS208" s="53"/>
      <c r="AT208" s="45">
        <f t="shared" si="39"/>
        <v>-199478</v>
      </c>
      <c r="AU208" s="45"/>
      <c r="AV208" s="53">
        <v>0</v>
      </c>
      <c r="AW208" s="53"/>
      <c r="AX208" s="53">
        <v>0</v>
      </c>
      <c r="AY208" s="53"/>
      <c r="AZ208" s="53">
        <f t="shared" si="37"/>
        <v>-49400</v>
      </c>
      <c r="BA208" s="51"/>
      <c r="BB208" s="35" t="s">
        <v>237</v>
      </c>
      <c r="BD208" s="35" t="s">
        <v>33</v>
      </c>
      <c r="BE208" s="53"/>
      <c r="BF208" s="53">
        <v>263123</v>
      </c>
      <c r="BG208" s="53"/>
      <c r="BH208" s="53">
        <v>0</v>
      </c>
      <c r="BI208" s="53"/>
      <c r="BJ208" s="53">
        <v>46221</v>
      </c>
      <c r="BK208" s="53"/>
      <c r="BL208" s="53">
        <v>2860</v>
      </c>
      <c r="BM208" s="53"/>
      <c r="BN208" s="53">
        <f t="shared" si="30"/>
        <v>312204</v>
      </c>
      <c r="BO208" s="54"/>
      <c r="BS208" s="55"/>
      <c r="BT208" s="55"/>
      <c r="BU208" s="84"/>
      <c r="BV208" s="55"/>
      <c r="BW208" s="55"/>
      <c r="BX208" s="55"/>
      <c r="BY208" s="55"/>
      <c r="BZ208" s="55"/>
      <c r="CA208" s="55"/>
      <c r="CB208" s="55"/>
      <c r="CC208" s="55"/>
      <c r="CD208" s="55"/>
      <c r="CE208" s="55"/>
      <c r="CF208" s="55"/>
      <c r="CG208" s="55"/>
      <c r="CH208" s="55"/>
      <c r="CI208" s="55"/>
      <c r="CJ208" s="55"/>
      <c r="CK208" s="55"/>
      <c r="CL208" s="55"/>
      <c r="CM208" s="55"/>
      <c r="CN208" s="55"/>
      <c r="CO208" s="55"/>
      <c r="CP208" s="55"/>
      <c r="CQ208" s="55"/>
    </row>
    <row r="209" spans="1:95" s="35" customFormat="1" ht="12.75" customHeight="1">
      <c r="A209" s="35" t="s">
        <v>238</v>
      </c>
      <c r="B209" s="51"/>
      <c r="C209" s="35" t="s">
        <v>239</v>
      </c>
      <c r="D209" s="44"/>
      <c r="E209" s="53">
        <f t="shared" si="27"/>
        <v>1668304</v>
      </c>
      <c r="F209" s="53"/>
      <c r="G209" s="53">
        <v>4713350</v>
      </c>
      <c r="H209" s="53"/>
      <c r="I209" s="53">
        <v>6381654</v>
      </c>
      <c r="J209" s="53"/>
      <c r="K209" s="53">
        <f t="shared" si="28"/>
        <v>60465</v>
      </c>
      <c r="L209" s="53"/>
      <c r="M209" s="53">
        <v>84501</v>
      </c>
      <c r="N209" s="53"/>
      <c r="O209" s="53">
        <v>144966</v>
      </c>
      <c r="P209" s="53"/>
      <c r="Q209" s="53">
        <v>4713350</v>
      </c>
      <c r="R209" s="53"/>
      <c r="S209" s="53">
        <v>0</v>
      </c>
      <c r="T209" s="53"/>
      <c r="U209" s="53">
        <v>1523338</v>
      </c>
      <c r="V209" s="53"/>
      <c r="W209" s="53">
        <f t="shared" si="29"/>
        <v>6236688</v>
      </c>
      <c r="X209" s="51"/>
      <c r="Y209" s="51"/>
      <c r="Z209" s="35" t="s">
        <v>238</v>
      </c>
      <c r="AA209" s="53"/>
      <c r="AB209" s="35" t="s">
        <v>239</v>
      </c>
      <c r="AC209" s="51"/>
      <c r="AD209" s="53">
        <v>1227954</v>
      </c>
      <c r="AE209" s="53"/>
      <c r="AF209" s="53">
        <v>1047635</v>
      </c>
      <c r="AG209" s="53"/>
      <c r="AH209" s="53">
        <v>222857</v>
      </c>
      <c r="AI209" s="53"/>
      <c r="AJ209" s="45">
        <f t="shared" si="38"/>
        <v>-42538</v>
      </c>
      <c r="AK209" s="45"/>
      <c r="AL209" s="53">
        <v>23280</v>
      </c>
      <c r="AM209" s="45"/>
      <c r="AN209" s="53">
        <v>0</v>
      </c>
      <c r="AO209" s="53"/>
      <c r="AP209" s="53">
        <v>0</v>
      </c>
      <c r="AQ209" s="53"/>
      <c r="AR209" s="53">
        <v>36984</v>
      </c>
      <c r="AS209" s="53"/>
      <c r="AT209" s="45">
        <f t="shared" si="39"/>
        <v>17726</v>
      </c>
      <c r="AU209" s="45"/>
      <c r="AV209" s="53">
        <v>0</v>
      </c>
      <c r="AW209" s="53"/>
      <c r="AX209" s="53">
        <v>0</v>
      </c>
      <c r="AY209" s="53"/>
      <c r="AZ209" s="53">
        <f t="shared" si="37"/>
        <v>1607839</v>
      </c>
      <c r="BA209" s="51"/>
      <c r="BB209" s="35" t="s">
        <v>238</v>
      </c>
      <c r="BD209" s="35" t="s">
        <v>239</v>
      </c>
      <c r="BE209" s="53"/>
      <c r="BF209" s="53">
        <v>0</v>
      </c>
      <c r="BG209" s="53"/>
      <c r="BH209" s="53">
        <v>0</v>
      </c>
      <c r="BI209" s="53"/>
      <c r="BJ209" s="53">
        <v>0</v>
      </c>
      <c r="BK209" s="53"/>
      <c r="BL209" s="53">
        <v>84501</v>
      </c>
      <c r="BM209" s="53"/>
      <c r="BN209" s="53">
        <f t="shared" si="30"/>
        <v>84501</v>
      </c>
      <c r="BO209" s="54"/>
      <c r="BS209" s="55"/>
      <c r="BT209" s="55"/>
      <c r="BU209" s="84"/>
      <c r="BV209" s="55"/>
      <c r="BW209" s="55"/>
      <c r="BX209" s="55"/>
      <c r="BY209" s="55"/>
      <c r="BZ209" s="55"/>
      <c r="CA209" s="55"/>
      <c r="CB209" s="55"/>
      <c r="CC209" s="55"/>
      <c r="CD209" s="55"/>
      <c r="CE209" s="55"/>
      <c r="CF209" s="55"/>
      <c r="CG209" s="55"/>
      <c r="CH209" s="55"/>
      <c r="CI209" s="55"/>
      <c r="CJ209" s="55"/>
      <c r="CK209" s="55"/>
      <c r="CL209" s="55"/>
      <c r="CM209" s="55"/>
      <c r="CN209" s="55"/>
      <c r="CO209" s="55"/>
      <c r="CP209" s="55"/>
      <c r="CQ209" s="55"/>
    </row>
    <row r="210" spans="1:95" s="35" customFormat="1" ht="12.75" customHeight="1">
      <c r="A210" s="35" t="s">
        <v>487</v>
      </c>
      <c r="B210" s="51"/>
      <c r="C210" s="35" t="s">
        <v>249</v>
      </c>
      <c r="D210" s="44"/>
      <c r="E210" s="53">
        <f>I210-G210</f>
        <v>6901405</v>
      </c>
      <c r="F210" s="53"/>
      <c r="G210" s="53">
        <v>38301447</v>
      </c>
      <c r="H210" s="53"/>
      <c r="I210" s="53">
        <v>45202852</v>
      </c>
      <c r="J210" s="53"/>
      <c r="K210" s="53">
        <f>O210-M210</f>
        <v>2040215</v>
      </c>
      <c r="L210" s="53"/>
      <c r="M210" s="53">
        <v>33095751</v>
      </c>
      <c r="N210" s="53"/>
      <c r="O210" s="53">
        <v>35135966</v>
      </c>
      <c r="P210" s="53"/>
      <c r="Q210" s="53">
        <v>3640377</v>
      </c>
      <c r="R210" s="53"/>
      <c r="S210" s="53">
        <v>0</v>
      </c>
      <c r="T210" s="53"/>
      <c r="U210" s="53">
        <v>6426509</v>
      </c>
      <c r="V210" s="53"/>
      <c r="W210" s="53">
        <f>SUM(Q210:U210)</f>
        <v>10066886</v>
      </c>
      <c r="X210" s="51"/>
      <c r="Y210" s="51"/>
      <c r="Z210" s="35" t="s">
        <v>487</v>
      </c>
      <c r="AA210" s="53"/>
      <c r="AB210" s="35" t="s">
        <v>249</v>
      </c>
      <c r="AC210" s="51"/>
      <c r="AD210" s="53">
        <v>7663037</v>
      </c>
      <c r="AE210" s="53"/>
      <c r="AF210" s="53">
        <v>3060235</v>
      </c>
      <c r="AG210" s="53"/>
      <c r="AH210" s="53">
        <v>565263</v>
      </c>
      <c r="AI210" s="53"/>
      <c r="AJ210" s="45">
        <f>+AD210-AF210-AH210</f>
        <v>4037539</v>
      </c>
      <c r="AK210" s="45"/>
      <c r="AL210" s="53">
        <v>-737305</v>
      </c>
      <c r="AM210" s="45"/>
      <c r="AN210" s="53">
        <v>0</v>
      </c>
      <c r="AO210" s="53"/>
      <c r="AP210" s="53">
        <v>0</v>
      </c>
      <c r="AQ210" s="53"/>
      <c r="AR210" s="53">
        <v>0</v>
      </c>
      <c r="AS210" s="53"/>
      <c r="AT210" s="45">
        <f>+AJ210+AL210+AN210-AP210+AR210</f>
        <v>3300234</v>
      </c>
      <c r="AU210" s="45"/>
      <c r="AV210" s="53">
        <v>0</v>
      </c>
      <c r="AW210" s="53"/>
      <c r="AX210" s="53">
        <v>0</v>
      </c>
      <c r="AY210" s="53"/>
      <c r="AZ210" s="53">
        <f>E210-K210</f>
        <v>4861190</v>
      </c>
      <c r="BA210" s="51"/>
      <c r="BB210" s="35" t="s">
        <v>487</v>
      </c>
      <c r="BD210" s="35" t="s">
        <v>249</v>
      </c>
      <c r="BE210" s="53"/>
      <c r="BF210" s="53">
        <v>1707084</v>
      </c>
      <c r="BG210" s="53"/>
      <c r="BH210" s="53">
        <v>0</v>
      </c>
      <c r="BI210" s="53"/>
      <c r="BJ210" s="53">
        <v>31258970</v>
      </c>
      <c r="BK210" s="53"/>
      <c r="BL210" s="53">
        <v>129697</v>
      </c>
      <c r="BM210" s="53"/>
      <c r="BN210" s="53">
        <f>SUM(BF210:BL210)</f>
        <v>33095751</v>
      </c>
      <c r="BO210" s="54"/>
      <c r="BS210" s="55"/>
      <c r="BT210" s="55"/>
      <c r="BU210" s="84"/>
      <c r="BV210" s="55"/>
      <c r="BW210" s="55"/>
      <c r="BX210" s="55"/>
      <c r="BY210" s="55"/>
      <c r="BZ210" s="55"/>
      <c r="CA210" s="55"/>
      <c r="CB210" s="55"/>
      <c r="CC210" s="55"/>
      <c r="CD210" s="55"/>
      <c r="CE210" s="55"/>
      <c r="CF210" s="55"/>
      <c r="CG210" s="55"/>
      <c r="CH210" s="55"/>
      <c r="CI210" s="55"/>
      <c r="CJ210" s="55"/>
      <c r="CK210" s="55"/>
      <c r="CL210" s="55"/>
      <c r="CM210" s="55"/>
      <c r="CN210" s="55"/>
      <c r="CO210" s="55"/>
      <c r="CP210" s="55"/>
      <c r="CQ210" s="55"/>
    </row>
    <row r="211" spans="1:95" s="35" customFormat="1" ht="12.75" customHeight="1">
      <c r="A211" s="35" t="s">
        <v>240</v>
      </c>
      <c r="B211" s="51"/>
      <c r="C211" s="35" t="s">
        <v>13</v>
      </c>
      <c r="D211" s="44"/>
      <c r="E211" s="53">
        <f t="shared" si="27"/>
        <v>3920760</v>
      </c>
      <c r="F211" s="53"/>
      <c r="G211" s="53">
        <v>18765211</v>
      </c>
      <c r="H211" s="53"/>
      <c r="I211" s="53">
        <v>22685971</v>
      </c>
      <c r="J211" s="53"/>
      <c r="K211" s="53">
        <f t="shared" si="28"/>
        <v>1076141</v>
      </c>
      <c r="L211" s="53"/>
      <c r="M211" s="53">
        <v>2353171</v>
      </c>
      <c r="N211" s="53"/>
      <c r="O211" s="53">
        <v>3429312</v>
      </c>
      <c r="P211" s="53"/>
      <c r="Q211" s="53">
        <v>15950879</v>
      </c>
      <c r="R211" s="53"/>
      <c r="S211" s="53">
        <v>0</v>
      </c>
      <c r="T211" s="53"/>
      <c r="U211" s="53">
        <v>3305780</v>
      </c>
      <c r="V211" s="53"/>
      <c r="W211" s="53">
        <f t="shared" si="29"/>
        <v>19256659</v>
      </c>
      <c r="X211" s="51"/>
      <c r="Y211" s="51"/>
      <c r="Z211" s="35" t="s">
        <v>240</v>
      </c>
      <c r="AA211" s="53"/>
      <c r="AB211" s="35" t="s">
        <v>13</v>
      </c>
      <c r="AC211" s="51"/>
      <c r="AD211" s="53">
        <v>5314102</v>
      </c>
      <c r="AE211" s="53"/>
      <c r="AF211" s="53">
        <v>3725907</v>
      </c>
      <c r="AG211" s="53"/>
      <c r="AH211" s="53">
        <v>353308</v>
      </c>
      <c r="AI211" s="53"/>
      <c r="AJ211" s="45">
        <f t="shared" si="38"/>
        <v>1234887</v>
      </c>
      <c r="AK211" s="45"/>
      <c r="AL211" s="53">
        <v>268358</v>
      </c>
      <c r="AM211" s="45"/>
      <c r="AN211" s="53">
        <v>0</v>
      </c>
      <c r="AO211" s="53"/>
      <c r="AP211" s="53">
        <v>0</v>
      </c>
      <c r="AQ211" s="53"/>
      <c r="AR211" s="53">
        <v>0</v>
      </c>
      <c r="AS211" s="53"/>
      <c r="AT211" s="45">
        <f t="shared" si="39"/>
        <v>1503245</v>
      </c>
      <c r="AU211" s="45"/>
      <c r="AV211" s="53">
        <v>0</v>
      </c>
      <c r="AW211" s="53"/>
      <c r="AX211" s="53">
        <v>0</v>
      </c>
      <c r="AY211" s="53"/>
      <c r="AZ211" s="53">
        <f t="shared" si="37"/>
        <v>2844619</v>
      </c>
      <c r="BA211" s="51"/>
      <c r="BB211" s="35" t="s">
        <v>240</v>
      </c>
      <c r="BD211" s="35" t="s">
        <v>13</v>
      </c>
      <c r="BE211" s="53"/>
      <c r="BF211" s="53">
        <v>0</v>
      </c>
      <c r="BG211" s="53"/>
      <c r="BH211" s="53">
        <v>0</v>
      </c>
      <c r="BI211" s="53"/>
      <c r="BJ211" s="53">
        <v>446936</v>
      </c>
      <c r="BK211" s="53"/>
      <c r="BL211" s="53">
        <v>1906235</v>
      </c>
      <c r="BM211" s="53"/>
      <c r="BN211" s="53">
        <f t="shared" si="30"/>
        <v>2353171</v>
      </c>
      <c r="BO211" s="54"/>
      <c r="BS211" s="55"/>
      <c r="BT211" s="55"/>
      <c r="BU211" s="84"/>
      <c r="BV211" s="55"/>
      <c r="BW211" s="55"/>
      <c r="BX211" s="55"/>
      <c r="BY211" s="55"/>
      <c r="BZ211" s="55"/>
      <c r="CA211" s="55"/>
      <c r="CB211" s="55"/>
      <c r="CC211" s="55"/>
      <c r="CD211" s="55"/>
      <c r="CE211" s="55"/>
      <c r="CF211" s="55"/>
      <c r="CG211" s="55"/>
      <c r="CH211" s="55"/>
      <c r="CI211" s="55"/>
      <c r="CJ211" s="55"/>
      <c r="CK211" s="55"/>
      <c r="CL211" s="55"/>
      <c r="CM211" s="55"/>
      <c r="CN211" s="55"/>
      <c r="CO211" s="55"/>
      <c r="CP211" s="55"/>
      <c r="CQ211" s="55"/>
    </row>
    <row r="212" spans="1:95" s="142" customFormat="1" ht="12.75" hidden="1" customHeight="1">
      <c r="A212" s="145" t="s">
        <v>241</v>
      </c>
      <c r="B212" s="145"/>
      <c r="C212" s="145" t="s">
        <v>22</v>
      </c>
      <c r="D212" s="139"/>
      <c r="E212" s="156">
        <f t="shared" si="27"/>
        <v>0</v>
      </c>
      <c r="F212" s="156"/>
      <c r="G212" s="156">
        <v>0</v>
      </c>
      <c r="H212" s="156"/>
      <c r="I212" s="156">
        <v>0</v>
      </c>
      <c r="J212" s="156"/>
      <c r="K212" s="156">
        <f t="shared" si="28"/>
        <v>0</v>
      </c>
      <c r="L212" s="156"/>
      <c r="M212" s="156">
        <v>0</v>
      </c>
      <c r="N212" s="156"/>
      <c r="O212" s="156">
        <v>0</v>
      </c>
      <c r="P212" s="156"/>
      <c r="Q212" s="156">
        <v>0</v>
      </c>
      <c r="R212" s="156"/>
      <c r="S212" s="156">
        <v>0</v>
      </c>
      <c r="T212" s="156"/>
      <c r="U212" s="156">
        <v>0</v>
      </c>
      <c r="V212" s="156"/>
      <c r="W212" s="156">
        <f t="shared" si="29"/>
        <v>0</v>
      </c>
      <c r="X212" s="140"/>
      <c r="Y212" s="140"/>
      <c r="Z212" s="145" t="s">
        <v>241</v>
      </c>
      <c r="AA212" s="153"/>
      <c r="AB212" s="145" t="s">
        <v>22</v>
      </c>
      <c r="AC212" s="145"/>
      <c r="AD212" s="156">
        <v>0</v>
      </c>
      <c r="AE212" s="156"/>
      <c r="AF212" s="156">
        <v>0</v>
      </c>
      <c r="AG212" s="156"/>
      <c r="AH212" s="156">
        <v>0</v>
      </c>
      <c r="AI212" s="156"/>
      <c r="AJ212" s="143">
        <f t="shared" si="38"/>
        <v>0</v>
      </c>
      <c r="AK212" s="143"/>
      <c r="AL212" s="156">
        <v>0</v>
      </c>
      <c r="AM212" s="143"/>
      <c r="AN212" s="156">
        <v>0</v>
      </c>
      <c r="AO212" s="156"/>
      <c r="AP212" s="156">
        <v>0</v>
      </c>
      <c r="AQ212" s="156"/>
      <c r="AR212" s="156">
        <v>0</v>
      </c>
      <c r="AS212" s="156"/>
      <c r="AT212" s="143">
        <f t="shared" si="39"/>
        <v>0</v>
      </c>
      <c r="AU212" s="143"/>
      <c r="AV212" s="156">
        <v>0</v>
      </c>
      <c r="AW212" s="156"/>
      <c r="AX212" s="156">
        <v>0</v>
      </c>
      <c r="AY212" s="156"/>
      <c r="AZ212" s="156">
        <f t="shared" si="37"/>
        <v>0</v>
      </c>
      <c r="BA212" s="140"/>
      <c r="BB212" s="145" t="s">
        <v>241</v>
      </c>
      <c r="BC212" s="145"/>
      <c r="BD212" s="145" t="s">
        <v>22</v>
      </c>
      <c r="BE212" s="153"/>
      <c r="BF212" s="156">
        <v>0</v>
      </c>
      <c r="BG212" s="156"/>
      <c r="BH212" s="156">
        <v>0</v>
      </c>
      <c r="BI212" s="156"/>
      <c r="BJ212" s="156">
        <v>0</v>
      </c>
      <c r="BK212" s="156"/>
      <c r="BL212" s="156">
        <v>0</v>
      </c>
      <c r="BM212" s="156"/>
      <c r="BN212" s="156">
        <f t="shared" si="30"/>
        <v>0</v>
      </c>
      <c r="BO212" s="158"/>
      <c r="BS212" s="159"/>
      <c r="BT212" s="159"/>
      <c r="BU212" s="160"/>
      <c r="BV212" s="159"/>
      <c r="BW212" s="159"/>
      <c r="BX212" s="159"/>
      <c r="BY212" s="159"/>
      <c r="BZ212" s="159"/>
      <c r="CA212" s="159"/>
      <c r="CB212" s="159"/>
      <c r="CC212" s="159"/>
      <c r="CD212" s="159"/>
      <c r="CE212" s="159"/>
      <c r="CF212" s="159"/>
      <c r="CG212" s="159"/>
      <c r="CH212" s="159"/>
      <c r="CI212" s="159"/>
      <c r="CJ212" s="159"/>
      <c r="CK212" s="159"/>
      <c r="CL212" s="159"/>
      <c r="CM212" s="159"/>
      <c r="CN212" s="159"/>
      <c r="CO212" s="159"/>
      <c r="CP212" s="159"/>
      <c r="CQ212" s="159"/>
    </row>
    <row r="213" spans="1:95" s="142" customFormat="1" ht="12.75" hidden="1" customHeight="1">
      <c r="A213" s="142" t="s">
        <v>242</v>
      </c>
      <c r="B213" s="140"/>
      <c r="C213" s="142" t="s">
        <v>27</v>
      </c>
      <c r="D213" s="137"/>
      <c r="E213" s="156">
        <f t="shared" si="27"/>
        <v>0</v>
      </c>
      <c r="F213" s="156"/>
      <c r="G213" s="156">
        <v>0</v>
      </c>
      <c r="H213" s="156"/>
      <c r="I213" s="156">
        <v>0</v>
      </c>
      <c r="J213" s="156"/>
      <c r="K213" s="156">
        <f t="shared" si="28"/>
        <v>0</v>
      </c>
      <c r="L213" s="156"/>
      <c r="M213" s="156">
        <v>0</v>
      </c>
      <c r="N213" s="156"/>
      <c r="O213" s="156">
        <v>0</v>
      </c>
      <c r="P213" s="156"/>
      <c r="Q213" s="156">
        <v>0</v>
      </c>
      <c r="R213" s="156"/>
      <c r="S213" s="156">
        <v>0</v>
      </c>
      <c r="T213" s="156"/>
      <c r="U213" s="156">
        <v>0</v>
      </c>
      <c r="V213" s="156"/>
      <c r="W213" s="156">
        <f t="shared" si="29"/>
        <v>0</v>
      </c>
      <c r="X213" s="140"/>
      <c r="Y213" s="140"/>
      <c r="Z213" s="142" t="s">
        <v>242</v>
      </c>
      <c r="AA213" s="156"/>
      <c r="AB213" s="142" t="s">
        <v>27</v>
      </c>
      <c r="AC213" s="140"/>
      <c r="AD213" s="156">
        <v>0</v>
      </c>
      <c r="AE213" s="156"/>
      <c r="AF213" s="156">
        <v>0</v>
      </c>
      <c r="AG213" s="156"/>
      <c r="AH213" s="156">
        <v>0</v>
      </c>
      <c r="AI213" s="156"/>
      <c r="AJ213" s="143">
        <f t="shared" si="38"/>
        <v>0</v>
      </c>
      <c r="AK213" s="143"/>
      <c r="AL213" s="156">
        <v>0</v>
      </c>
      <c r="AM213" s="143"/>
      <c r="AN213" s="156">
        <v>0</v>
      </c>
      <c r="AO213" s="156"/>
      <c r="AP213" s="156">
        <v>0</v>
      </c>
      <c r="AQ213" s="156"/>
      <c r="AR213" s="156">
        <v>0</v>
      </c>
      <c r="AS213" s="156"/>
      <c r="AT213" s="143">
        <f t="shared" si="39"/>
        <v>0</v>
      </c>
      <c r="AU213" s="143"/>
      <c r="AV213" s="156">
        <v>0</v>
      </c>
      <c r="AW213" s="156"/>
      <c r="AX213" s="156">
        <v>0</v>
      </c>
      <c r="AY213" s="156"/>
      <c r="AZ213" s="156">
        <f t="shared" si="37"/>
        <v>0</v>
      </c>
      <c r="BA213" s="140"/>
      <c r="BB213" s="142" t="s">
        <v>242</v>
      </c>
      <c r="BD213" s="142" t="s">
        <v>27</v>
      </c>
      <c r="BE213" s="156"/>
      <c r="BF213" s="156">
        <v>0</v>
      </c>
      <c r="BG213" s="156"/>
      <c r="BH213" s="156">
        <v>0</v>
      </c>
      <c r="BI213" s="156"/>
      <c r="BJ213" s="156">
        <v>0</v>
      </c>
      <c r="BK213" s="156"/>
      <c r="BL213" s="156">
        <v>0</v>
      </c>
      <c r="BM213" s="156"/>
      <c r="BN213" s="156">
        <f t="shared" si="30"/>
        <v>0</v>
      </c>
      <c r="BO213" s="158"/>
      <c r="BS213" s="159"/>
      <c r="BT213" s="159"/>
      <c r="BU213" s="160"/>
      <c r="BV213" s="159"/>
      <c r="BW213" s="159"/>
      <c r="BX213" s="159"/>
      <c r="BY213" s="159"/>
      <c r="BZ213" s="159"/>
      <c r="CA213" s="159"/>
      <c r="CB213" s="159"/>
      <c r="CC213" s="159"/>
      <c r="CD213" s="159"/>
      <c r="CE213" s="159"/>
      <c r="CF213" s="159"/>
      <c r="CG213" s="159"/>
      <c r="CH213" s="159"/>
      <c r="CI213" s="159"/>
      <c r="CJ213" s="159"/>
      <c r="CK213" s="159"/>
      <c r="CL213" s="159"/>
      <c r="CM213" s="159"/>
      <c r="CN213" s="159"/>
      <c r="CO213" s="159"/>
      <c r="CP213" s="159"/>
      <c r="CQ213" s="159"/>
    </row>
    <row r="214" spans="1:95" s="35" customFormat="1" ht="12.75" customHeight="1">
      <c r="A214" s="35" t="s">
        <v>243</v>
      </c>
      <c r="C214" s="35" t="s">
        <v>163</v>
      </c>
      <c r="D214" s="44"/>
      <c r="E214" s="53">
        <f t="shared" ref="E214:E255" si="40">I214-G214</f>
        <v>1399188</v>
      </c>
      <c r="F214" s="53"/>
      <c r="G214" s="53">
        <v>6508906</v>
      </c>
      <c r="H214" s="53"/>
      <c r="I214" s="53">
        <v>7908094</v>
      </c>
      <c r="J214" s="53"/>
      <c r="K214" s="53">
        <f t="shared" ref="K214:K255" si="41">O214-M214</f>
        <v>79123</v>
      </c>
      <c r="L214" s="53"/>
      <c r="M214" s="53">
        <v>199213</v>
      </c>
      <c r="N214" s="53"/>
      <c r="O214" s="53">
        <v>278336</v>
      </c>
      <c r="P214" s="53"/>
      <c r="Q214" s="53">
        <v>6508906</v>
      </c>
      <c r="R214" s="53"/>
      <c r="S214" s="53">
        <v>0</v>
      </c>
      <c r="T214" s="53"/>
      <c r="U214" s="53">
        <v>1120852</v>
      </c>
      <c r="V214" s="53"/>
      <c r="W214" s="53">
        <f t="shared" ref="W214:W255" si="42">SUM(Q214:U214)</f>
        <v>7629758</v>
      </c>
      <c r="Z214" s="35" t="s">
        <v>243</v>
      </c>
      <c r="AA214" s="53"/>
      <c r="AB214" s="35" t="s">
        <v>163</v>
      </c>
      <c r="AD214" s="53">
        <v>3280345</v>
      </c>
      <c r="AE214" s="53"/>
      <c r="AF214" s="53">
        <v>3203755</v>
      </c>
      <c r="AG214" s="53"/>
      <c r="AH214" s="53">
        <v>257262</v>
      </c>
      <c r="AI214" s="53"/>
      <c r="AJ214" s="45">
        <f t="shared" si="38"/>
        <v>-180672</v>
      </c>
      <c r="AK214" s="45"/>
      <c r="AL214" s="53">
        <v>45663</v>
      </c>
      <c r="AM214" s="45"/>
      <c r="AN214" s="53">
        <v>0</v>
      </c>
      <c r="AO214" s="53"/>
      <c r="AP214" s="53">
        <v>83339</v>
      </c>
      <c r="AQ214" s="53"/>
      <c r="AR214" s="53">
        <v>0</v>
      </c>
      <c r="AS214" s="53"/>
      <c r="AT214" s="45">
        <f t="shared" si="39"/>
        <v>-218348</v>
      </c>
      <c r="AU214" s="45"/>
      <c r="AV214" s="53">
        <v>0</v>
      </c>
      <c r="AW214" s="53"/>
      <c r="AX214" s="53">
        <v>0</v>
      </c>
      <c r="AY214" s="53"/>
      <c r="AZ214" s="53">
        <f t="shared" si="37"/>
        <v>1320065</v>
      </c>
      <c r="BA214" s="65"/>
      <c r="BB214" s="35" t="s">
        <v>243</v>
      </c>
      <c r="BD214" s="35" t="s">
        <v>163</v>
      </c>
      <c r="BE214" s="53"/>
      <c r="BF214" s="53">
        <v>0</v>
      </c>
      <c r="BG214" s="53"/>
      <c r="BH214" s="53">
        <v>0</v>
      </c>
      <c r="BI214" s="53"/>
      <c r="BJ214" s="53">
        <v>0</v>
      </c>
      <c r="BK214" s="53"/>
      <c r="BL214" s="53">
        <v>199213</v>
      </c>
      <c r="BM214" s="53"/>
      <c r="BN214" s="53">
        <f t="shared" ref="BN214:BN255" si="43">SUM(BF214:BL214)</f>
        <v>199213</v>
      </c>
      <c r="BO214" s="54"/>
      <c r="BS214" s="55"/>
      <c r="BT214" s="55"/>
      <c r="BU214" s="84"/>
      <c r="BV214" s="55"/>
      <c r="BW214" s="55"/>
      <c r="BX214" s="55"/>
      <c r="BY214" s="55"/>
      <c r="BZ214" s="55"/>
      <c r="CA214" s="55"/>
      <c r="CB214" s="55"/>
      <c r="CC214" s="55"/>
      <c r="CD214" s="55"/>
      <c r="CE214" s="55"/>
      <c r="CF214" s="55"/>
      <c r="CG214" s="55"/>
      <c r="CH214" s="55"/>
      <c r="CI214" s="55"/>
      <c r="CJ214" s="55"/>
      <c r="CK214" s="55"/>
      <c r="CL214" s="55"/>
      <c r="CM214" s="55"/>
      <c r="CN214" s="55"/>
      <c r="CO214" s="55"/>
      <c r="CP214" s="55"/>
      <c r="CQ214" s="55"/>
    </row>
    <row r="215" spans="1:95" s="35" customFormat="1" ht="12.75" customHeight="1">
      <c r="A215" s="35" t="s">
        <v>244</v>
      </c>
      <c r="B215" s="51"/>
      <c r="C215" s="35" t="s">
        <v>13</v>
      </c>
      <c r="D215" s="44"/>
      <c r="E215" s="53">
        <f>I215-G215</f>
        <v>3718266</v>
      </c>
      <c r="F215" s="53"/>
      <c r="G215" s="53">
        <v>5793084</v>
      </c>
      <c r="H215" s="53"/>
      <c r="I215" s="53">
        <v>9511350</v>
      </c>
      <c r="J215" s="53"/>
      <c r="K215" s="53">
        <f t="shared" si="41"/>
        <v>484508</v>
      </c>
      <c r="L215" s="53"/>
      <c r="M215" s="53">
        <v>303763</v>
      </c>
      <c r="N215" s="53"/>
      <c r="O215" s="53">
        <v>788271</v>
      </c>
      <c r="P215" s="53"/>
      <c r="Q215" s="53">
        <v>5417422</v>
      </c>
      <c r="R215" s="53"/>
      <c r="S215" s="53">
        <v>0</v>
      </c>
      <c r="T215" s="53"/>
      <c r="U215" s="53">
        <v>3305657</v>
      </c>
      <c r="V215" s="53"/>
      <c r="W215" s="53">
        <f t="shared" si="42"/>
        <v>8723079</v>
      </c>
      <c r="X215" s="51"/>
      <c r="Y215" s="51"/>
      <c r="Z215" s="35" t="s">
        <v>244</v>
      </c>
      <c r="AA215" s="53"/>
      <c r="AB215" s="35" t="s">
        <v>13</v>
      </c>
      <c r="AC215" s="51"/>
      <c r="AD215" s="53">
        <v>1806909</v>
      </c>
      <c r="AE215" s="53"/>
      <c r="AF215" s="53">
        <v>1361769</v>
      </c>
      <c r="AG215" s="53"/>
      <c r="AH215" s="53">
        <v>258700</v>
      </c>
      <c r="AI215" s="53"/>
      <c r="AJ215" s="45">
        <f t="shared" si="38"/>
        <v>186440</v>
      </c>
      <c r="AK215" s="45"/>
      <c r="AL215" s="53">
        <v>198675</v>
      </c>
      <c r="AM215" s="45"/>
      <c r="AN215" s="53">
        <v>0</v>
      </c>
      <c r="AO215" s="53"/>
      <c r="AP215" s="53">
        <v>0</v>
      </c>
      <c r="AQ215" s="53"/>
      <c r="AR215" s="53">
        <v>0</v>
      </c>
      <c r="AS215" s="53"/>
      <c r="AT215" s="45">
        <f t="shared" si="39"/>
        <v>385115</v>
      </c>
      <c r="AU215" s="45"/>
      <c r="AV215" s="53">
        <v>0</v>
      </c>
      <c r="AW215" s="53"/>
      <c r="AX215" s="53">
        <v>0</v>
      </c>
      <c r="AY215" s="53"/>
      <c r="AZ215" s="53">
        <f t="shared" si="37"/>
        <v>3233758</v>
      </c>
      <c r="BA215" s="51"/>
      <c r="BB215" s="35" t="s">
        <v>244</v>
      </c>
      <c r="BD215" s="35" t="s">
        <v>13</v>
      </c>
      <c r="BE215" s="53"/>
      <c r="BF215" s="53">
        <v>0</v>
      </c>
      <c r="BG215" s="53"/>
      <c r="BH215" s="53">
        <v>0</v>
      </c>
      <c r="BI215" s="53"/>
      <c r="BJ215" s="53">
        <v>0</v>
      </c>
      <c r="BK215" s="53"/>
      <c r="BL215" s="53">
        <v>303763</v>
      </c>
      <c r="BM215" s="53"/>
      <c r="BN215" s="53">
        <f t="shared" si="43"/>
        <v>303763</v>
      </c>
      <c r="BO215" s="54"/>
      <c r="BS215" s="55"/>
      <c r="BT215" s="55"/>
      <c r="BU215" s="84"/>
      <c r="BV215" s="55"/>
      <c r="BW215" s="55"/>
      <c r="BX215" s="55"/>
      <c r="BY215" s="55"/>
      <c r="BZ215" s="55"/>
      <c r="CA215" s="55"/>
      <c r="CB215" s="55"/>
      <c r="CC215" s="55"/>
      <c r="CD215" s="55"/>
      <c r="CE215" s="55"/>
      <c r="CF215" s="55"/>
      <c r="CG215" s="55"/>
      <c r="CH215" s="55"/>
      <c r="CI215" s="55"/>
      <c r="CJ215" s="55"/>
      <c r="CK215" s="55"/>
      <c r="CL215" s="55"/>
      <c r="CM215" s="55"/>
      <c r="CN215" s="55"/>
      <c r="CO215" s="55"/>
      <c r="CP215" s="55"/>
      <c r="CQ215" s="55"/>
    </row>
    <row r="216" spans="1:95" s="35" customFormat="1" ht="12.75" customHeight="1">
      <c r="A216" s="35" t="s">
        <v>245</v>
      </c>
      <c r="B216" s="51"/>
      <c r="C216" s="35" t="s">
        <v>110</v>
      </c>
      <c r="D216" s="44"/>
      <c r="E216" s="53">
        <f t="shared" si="40"/>
        <v>3237564</v>
      </c>
      <c r="F216" s="53"/>
      <c r="G216" s="53">
        <v>7696662</v>
      </c>
      <c r="H216" s="53"/>
      <c r="I216" s="53">
        <v>10934226</v>
      </c>
      <c r="J216" s="53"/>
      <c r="K216" s="53">
        <f t="shared" si="41"/>
        <v>178567</v>
      </c>
      <c r="L216" s="53"/>
      <c r="M216" s="53">
        <v>141029</v>
      </c>
      <c r="N216" s="53"/>
      <c r="O216" s="53">
        <v>319596</v>
      </c>
      <c r="P216" s="53"/>
      <c r="Q216" s="53">
        <v>7702063</v>
      </c>
      <c r="R216" s="53"/>
      <c r="S216" s="53">
        <v>0</v>
      </c>
      <c r="T216" s="53"/>
      <c r="U216" s="53">
        <v>2912567</v>
      </c>
      <c r="V216" s="53"/>
      <c r="W216" s="53">
        <f t="shared" si="42"/>
        <v>10614630</v>
      </c>
      <c r="Z216" s="35" t="s">
        <v>245</v>
      </c>
      <c r="AA216" s="53"/>
      <c r="AB216" s="35" t="s">
        <v>110</v>
      </c>
      <c r="AC216" s="51"/>
      <c r="AD216" s="53">
        <v>1892035</v>
      </c>
      <c r="AE216" s="53"/>
      <c r="AF216" s="53">
        <v>1594152</v>
      </c>
      <c r="AG216" s="53"/>
      <c r="AH216" s="53">
        <v>304235</v>
      </c>
      <c r="AI216" s="53"/>
      <c r="AJ216" s="45">
        <f t="shared" si="38"/>
        <v>-6352</v>
      </c>
      <c r="AK216" s="45"/>
      <c r="AL216" s="53">
        <v>-82310</v>
      </c>
      <c r="AM216" s="45"/>
      <c r="AN216" s="53">
        <v>0</v>
      </c>
      <c r="AO216" s="53"/>
      <c r="AP216" s="53">
        <v>117121</v>
      </c>
      <c r="AQ216" s="53"/>
      <c r="AR216" s="53">
        <v>0</v>
      </c>
      <c r="AS216" s="53"/>
      <c r="AT216" s="45">
        <f t="shared" si="39"/>
        <v>-205783</v>
      </c>
      <c r="AU216" s="45"/>
      <c r="AV216" s="53">
        <v>0</v>
      </c>
      <c r="AW216" s="53"/>
      <c r="AX216" s="53">
        <v>0</v>
      </c>
      <c r="AY216" s="53"/>
      <c r="AZ216" s="53">
        <f t="shared" si="37"/>
        <v>3058997</v>
      </c>
      <c r="BA216" s="51"/>
      <c r="BB216" s="35" t="s">
        <v>245</v>
      </c>
      <c r="BD216" s="35" t="s">
        <v>110</v>
      </c>
      <c r="BE216" s="53"/>
      <c r="BF216" s="53">
        <v>75000</v>
      </c>
      <c r="BG216" s="53"/>
      <c r="BH216" s="53">
        <v>0</v>
      </c>
      <c r="BI216" s="53"/>
      <c r="BJ216" s="53">
        <v>0</v>
      </c>
      <c r="BK216" s="53"/>
      <c r="BL216" s="53">
        <v>66029</v>
      </c>
      <c r="BM216" s="53"/>
      <c r="BN216" s="53">
        <f t="shared" si="43"/>
        <v>141029</v>
      </c>
      <c r="BO216" s="54"/>
      <c r="BP216" s="55"/>
      <c r="BS216" s="55"/>
      <c r="BT216" s="55"/>
      <c r="BU216" s="84"/>
      <c r="BV216" s="55"/>
      <c r="BW216" s="55"/>
      <c r="BX216" s="55"/>
      <c r="BY216" s="55"/>
      <c r="BZ216" s="55"/>
      <c r="CA216" s="55"/>
      <c r="CB216" s="55"/>
      <c r="CC216" s="55"/>
      <c r="CD216" s="55"/>
      <c r="CE216" s="55"/>
      <c r="CF216" s="55"/>
      <c r="CG216" s="55"/>
      <c r="CH216" s="55"/>
      <c r="CI216" s="55"/>
      <c r="CJ216" s="55"/>
      <c r="CK216" s="55"/>
      <c r="CL216" s="55"/>
      <c r="CM216" s="55"/>
      <c r="CN216" s="55"/>
      <c r="CO216" s="55"/>
      <c r="CP216" s="55"/>
      <c r="CQ216" s="55"/>
    </row>
    <row r="217" spans="1:95" s="35" customFormat="1" ht="12.75" customHeight="1">
      <c r="A217" s="35" t="s">
        <v>246</v>
      </c>
      <c r="B217" s="51"/>
      <c r="C217" s="35" t="s">
        <v>209</v>
      </c>
      <c r="D217" s="44"/>
      <c r="E217" s="53">
        <f t="shared" si="40"/>
        <v>92569</v>
      </c>
      <c r="F217" s="53"/>
      <c r="G217" s="53">
        <v>188682</v>
      </c>
      <c r="H217" s="53"/>
      <c r="I217" s="53">
        <v>281251</v>
      </c>
      <c r="J217" s="53"/>
      <c r="K217" s="53">
        <f t="shared" si="41"/>
        <v>40900</v>
      </c>
      <c r="L217" s="53"/>
      <c r="M217" s="53">
        <v>99725</v>
      </c>
      <c r="N217" s="53"/>
      <c r="O217" s="53">
        <v>140625</v>
      </c>
      <c r="P217" s="53"/>
      <c r="Q217" s="53">
        <v>86635</v>
      </c>
      <c r="R217" s="53"/>
      <c r="S217" s="53">
        <v>44030</v>
      </c>
      <c r="T217" s="53"/>
      <c r="U217" s="53">
        <v>9961</v>
      </c>
      <c r="V217" s="53"/>
      <c r="W217" s="53">
        <f t="shared" si="42"/>
        <v>140626</v>
      </c>
      <c r="X217" s="51"/>
      <c r="Y217" s="51"/>
      <c r="Z217" s="35" t="s">
        <v>246</v>
      </c>
      <c r="AA217" s="53"/>
      <c r="AB217" s="35" t="s">
        <v>209</v>
      </c>
      <c r="AC217" s="51"/>
      <c r="AD217" s="53">
        <v>38800</v>
      </c>
      <c r="AE217" s="53"/>
      <c r="AF217" s="53">
        <v>29069</v>
      </c>
      <c r="AG217" s="53"/>
      <c r="AH217" s="53">
        <v>4878</v>
      </c>
      <c r="AI217" s="53"/>
      <c r="AJ217" s="45">
        <f>+AD217-AF217-AH217</f>
        <v>4853</v>
      </c>
      <c r="AK217" s="45"/>
      <c r="AL217" s="53">
        <v>-1866</v>
      </c>
      <c r="AM217" s="45"/>
      <c r="AN217" s="53">
        <v>0</v>
      </c>
      <c r="AO217" s="53"/>
      <c r="AP217" s="53">
        <v>88</v>
      </c>
      <c r="AQ217" s="53"/>
      <c r="AR217" s="53">
        <v>0</v>
      </c>
      <c r="AS217" s="53"/>
      <c r="AT217" s="45">
        <f t="shared" si="39"/>
        <v>2899</v>
      </c>
      <c r="AU217" s="45"/>
      <c r="AV217" s="53">
        <v>0</v>
      </c>
      <c r="AW217" s="53"/>
      <c r="AX217" s="53">
        <v>0</v>
      </c>
      <c r="AY217" s="53"/>
      <c r="AZ217" s="53">
        <f t="shared" si="37"/>
        <v>51669</v>
      </c>
      <c r="BA217" s="51"/>
      <c r="BB217" s="35" t="s">
        <v>246</v>
      </c>
      <c r="BD217" s="35" t="s">
        <v>209</v>
      </c>
      <c r="BE217" s="53"/>
      <c r="BF217" s="53">
        <v>0</v>
      </c>
      <c r="BG217" s="53"/>
      <c r="BH217" s="53">
        <v>42447</v>
      </c>
      <c r="BI217" s="53"/>
      <c r="BJ217" s="53">
        <v>0</v>
      </c>
      <c r="BK217" s="53"/>
      <c r="BL217" s="53">
        <v>57278</v>
      </c>
      <c r="BM217" s="53"/>
      <c r="BN217" s="53">
        <f t="shared" si="43"/>
        <v>99725</v>
      </c>
      <c r="BO217" s="54"/>
      <c r="BS217" s="55"/>
      <c r="BT217" s="55"/>
      <c r="BU217" s="84"/>
      <c r="BV217" s="55"/>
      <c r="BW217" s="55"/>
      <c r="BX217" s="55"/>
      <c r="BY217" s="55"/>
      <c r="BZ217" s="55"/>
      <c r="CA217" s="55"/>
      <c r="CB217" s="55"/>
      <c r="CC217" s="55"/>
      <c r="CD217" s="55"/>
      <c r="CE217" s="55"/>
      <c r="CF217" s="55"/>
      <c r="CG217" s="55"/>
      <c r="CH217" s="55"/>
      <c r="CI217" s="55"/>
      <c r="CJ217" s="55"/>
      <c r="CK217" s="55"/>
      <c r="CL217" s="55"/>
      <c r="CM217" s="55"/>
      <c r="CN217" s="55"/>
      <c r="CO217" s="55"/>
      <c r="CP217" s="55"/>
      <c r="CQ217" s="55"/>
    </row>
    <row r="218" spans="1:95" s="142" customFormat="1" ht="12.75" hidden="1" customHeight="1">
      <c r="A218" s="142" t="s">
        <v>247</v>
      </c>
      <c r="C218" s="142" t="s">
        <v>163</v>
      </c>
      <c r="D218" s="137"/>
      <c r="E218" s="156">
        <f t="shared" si="40"/>
        <v>0</v>
      </c>
      <c r="F218" s="156"/>
      <c r="G218" s="156">
        <v>0</v>
      </c>
      <c r="H218" s="156"/>
      <c r="I218" s="156">
        <v>0</v>
      </c>
      <c r="J218" s="156"/>
      <c r="K218" s="156">
        <f t="shared" si="41"/>
        <v>0</v>
      </c>
      <c r="L218" s="156"/>
      <c r="M218" s="156">
        <v>0</v>
      </c>
      <c r="N218" s="156"/>
      <c r="O218" s="156">
        <v>0</v>
      </c>
      <c r="P218" s="156"/>
      <c r="Q218" s="156">
        <v>0</v>
      </c>
      <c r="R218" s="156"/>
      <c r="S218" s="156">
        <v>0</v>
      </c>
      <c r="T218" s="156"/>
      <c r="U218" s="156">
        <v>0</v>
      </c>
      <c r="V218" s="156"/>
      <c r="W218" s="156">
        <f t="shared" si="42"/>
        <v>0</v>
      </c>
      <c r="X218" s="140"/>
      <c r="Y218" s="140"/>
      <c r="Z218" s="142" t="s">
        <v>247</v>
      </c>
      <c r="AA218" s="156"/>
      <c r="AB218" s="142" t="s">
        <v>163</v>
      </c>
      <c r="AD218" s="156">
        <v>0</v>
      </c>
      <c r="AE218" s="156"/>
      <c r="AF218" s="156">
        <v>0</v>
      </c>
      <c r="AG218" s="156"/>
      <c r="AH218" s="156">
        <v>0</v>
      </c>
      <c r="AI218" s="156"/>
      <c r="AJ218" s="143">
        <f t="shared" si="38"/>
        <v>0</v>
      </c>
      <c r="AK218" s="143"/>
      <c r="AL218" s="156">
        <v>0</v>
      </c>
      <c r="AM218" s="143"/>
      <c r="AN218" s="156">
        <v>0</v>
      </c>
      <c r="AO218" s="156"/>
      <c r="AP218" s="156">
        <v>0</v>
      </c>
      <c r="AQ218" s="156"/>
      <c r="AR218" s="156">
        <v>0</v>
      </c>
      <c r="AS218" s="156"/>
      <c r="AT218" s="143">
        <f t="shared" si="39"/>
        <v>0</v>
      </c>
      <c r="AU218" s="143"/>
      <c r="AV218" s="156">
        <v>0</v>
      </c>
      <c r="AW218" s="156"/>
      <c r="AX218" s="156">
        <v>0</v>
      </c>
      <c r="AY218" s="156"/>
      <c r="AZ218" s="156">
        <f t="shared" si="37"/>
        <v>0</v>
      </c>
      <c r="BA218" s="140"/>
      <c r="BB218" s="142" t="s">
        <v>247</v>
      </c>
      <c r="BD218" s="142" t="s">
        <v>163</v>
      </c>
      <c r="BE218" s="156"/>
      <c r="BF218" s="156">
        <v>0</v>
      </c>
      <c r="BG218" s="156"/>
      <c r="BH218" s="156">
        <v>0</v>
      </c>
      <c r="BI218" s="156"/>
      <c r="BJ218" s="156">
        <v>0</v>
      </c>
      <c r="BK218" s="156"/>
      <c r="BL218" s="156">
        <v>0</v>
      </c>
      <c r="BM218" s="156"/>
      <c r="BN218" s="156">
        <f t="shared" si="43"/>
        <v>0</v>
      </c>
      <c r="BO218" s="158"/>
      <c r="BS218" s="159"/>
      <c r="BT218" s="159"/>
      <c r="BU218" s="160"/>
      <c r="BV218" s="159"/>
      <c r="BW218" s="159"/>
      <c r="BX218" s="159"/>
      <c r="BY218" s="159"/>
      <c r="BZ218" s="159"/>
      <c r="CA218" s="159"/>
      <c r="CB218" s="159"/>
      <c r="CC218" s="159"/>
      <c r="CD218" s="159"/>
      <c r="CE218" s="159"/>
      <c r="CF218" s="159"/>
      <c r="CG218" s="159"/>
      <c r="CH218" s="159"/>
      <c r="CI218" s="159"/>
      <c r="CJ218" s="159"/>
      <c r="CK218" s="159"/>
      <c r="CL218" s="159"/>
      <c r="CM218" s="159"/>
      <c r="CN218" s="159"/>
      <c r="CO218" s="159"/>
      <c r="CP218" s="159"/>
      <c r="CQ218" s="159"/>
    </row>
    <row r="219" spans="1:95" s="35" customFormat="1" ht="12.75" customHeight="1">
      <c r="A219" s="35" t="s">
        <v>248</v>
      </c>
      <c r="B219" s="51"/>
      <c r="C219" s="35" t="s">
        <v>249</v>
      </c>
      <c r="D219" s="44"/>
      <c r="E219" s="53">
        <f>I219-G219</f>
        <v>552925</v>
      </c>
      <c r="F219" s="53"/>
      <c r="G219" s="53">
        <v>14262361</v>
      </c>
      <c r="H219" s="53"/>
      <c r="I219" s="53">
        <v>14815286</v>
      </c>
      <c r="J219" s="53"/>
      <c r="K219" s="53">
        <f>O219-M219</f>
        <v>596322</v>
      </c>
      <c r="L219" s="53"/>
      <c r="M219" s="53">
        <v>13035499</v>
      </c>
      <c r="N219" s="53"/>
      <c r="O219" s="53">
        <v>13631821</v>
      </c>
      <c r="P219" s="53"/>
      <c r="Q219" s="53">
        <v>678926</v>
      </c>
      <c r="R219" s="53"/>
      <c r="S219" s="53">
        <v>0</v>
      </c>
      <c r="T219" s="53"/>
      <c r="U219" s="53">
        <v>504539</v>
      </c>
      <c r="V219" s="53"/>
      <c r="W219" s="53">
        <f>SUM(Q219:U219)</f>
        <v>1183465</v>
      </c>
      <c r="Z219" s="35" t="s">
        <v>248</v>
      </c>
      <c r="AA219" s="53"/>
      <c r="AB219" s="35" t="s">
        <v>249</v>
      </c>
      <c r="AC219" s="51"/>
      <c r="AD219" s="53">
        <v>2068330</v>
      </c>
      <c r="AE219" s="53"/>
      <c r="AF219" s="53">
        <v>949745</v>
      </c>
      <c r="AG219" s="53"/>
      <c r="AH219" s="53">
        <v>395628</v>
      </c>
      <c r="AI219" s="53"/>
      <c r="AJ219" s="45">
        <f>+AD219-AF219-AH219</f>
        <v>722957</v>
      </c>
      <c r="AK219" s="45"/>
      <c r="AL219" s="53">
        <v>-441726</v>
      </c>
      <c r="AM219" s="45"/>
      <c r="AN219" s="53">
        <v>42000</v>
      </c>
      <c r="AO219" s="53"/>
      <c r="AP219" s="53">
        <v>0</v>
      </c>
      <c r="AQ219" s="53"/>
      <c r="AR219" s="53">
        <v>0</v>
      </c>
      <c r="AS219" s="53"/>
      <c r="AT219" s="45">
        <f>+AJ219+AL219+AN219-AP219+AR219</f>
        <v>323231</v>
      </c>
      <c r="AU219" s="45"/>
      <c r="AV219" s="53">
        <v>0</v>
      </c>
      <c r="AW219" s="53"/>
      <c r="AX219" s="53">
        <v>0</v>
      </c>
      <c r="AY219" s="53"/>
      <c r="AZ219" s="53">
        <f>E219-K219</f>
        <v>-43397</v>
      </c>
      <c r="BA219" s="51"/>
      <c r="BB219" s="35" t="s">
        <v>248</v>
      </c>
      <c r="BD219" s="35" t="s">
        <v>249</v>
      </c>
      <c r="BE219" s="53"/>
      <c r="BF219" s="53">
        <v>0</v>
      </c>
      <c r="BG219" s="53"/>
      <c r="BH219" s="53">
        <v>0</v>
      </c>
      <c r="BI219" s="53"/>
      <c r="BJ219" s="53">
        <v>13002635</v>
      </c>
      <c r="BK219" s="53"/>
      <c r="BL219" s="53">
        <v>32864</v>
      </c>
      <c r="BM219" s="53"/>
      <c r="BN219" s="53">
        <f>SUM(BF219:BL219)</f>
        <v>13035499</v>
      </c>
      <c r="BO219" s="54"/>
      <c r="BP219" s="55"/>
      <c r="BS219" s="55"/>
      <c r="BT219" s="55"/>
      <c r="BU219" s="84"/>
      <c r="BV219" s="55"/>
      <c r="BW219" s="55"/>
      <c r="BX219" s="55"/>
      <c r="BY219" s="55"/>
      <c r="BZ219" s="55"/>
      <c r="CA219" s="55"/>
      <c r="CB219" s="55"/>
      <c r="CC219" s="55"/>
      <c r="CD219" s="55"/>
      <c r="CE219" s="55"/>
      <c r="CF219" s="55"/>
      <c r="CG219" s="55"/>
      <c r="CH219" s="55"/>
      <c r="CI219" s="55"/>
      <c r="CJ219" s="55"/>
      <c r="CK219" s="55"/>
      <c r="CL219" s="55"/>
      <c r="CM219" s="55"/>
      <c r="CN219" s="55"/>
      <c r="CO219" s="55"/>
      <c r="CP219" s="55"/>
      <c r="CQ219" s="55"/>
    </row>
    <row r="220" spans="1:95" s="35" customFormat="1" ht="12.75" customHeight="1">
      <c r="A220" s="35" t="s">
        <v>250</v>
      </c>
      <c r="B220" s="51"/>
      <c r="C220" s="35" t="s">
        <v>103</v>
      </c>
      <c r="D220" s="44"/>
      <c r="E220" s="53">
        <f t="shared" si="40"/>
        <v>2189957</v>
      </c>
      <c r="F220" s="53"/>
      <c r="G220" s="53">
        <v>10666779</v>
      </c>
      <c r="H220" s="53"/>
      <c r="I220" s="53">
        <v>12856736</v>
      </c>
      <c r="J220" s="53"/>
      <c r="K220" s="53">
        <f t="shared" si="41"/>
        <v>2506522</v>
      </c>
      <c r="L220" s="53"/>
      <c r="M220" s="53">
        <v>7535123</v>
      </c>
      <c r="N220" s="53"/>
      <c r="O220" s="53">
        <v>10041645</v>
      </c>
      <c r="P220" s="53"/>
      <c r="Q220" s="53">
        <v>404023</v>
      </c>
      <c r="R220" s="53"/>
      <c r="S220" s="53">
        <v>0</v>
      </c>
      <c r="T220" s="53"/>
      <c r="U220" s="53">
        <v>2411068</v>
      </c>
      <c r="V220" s="53"/>
      <c r="W220" s="53">
        <f t="shared" si="42"/>
        <v>2815091</v>
      </c>
      <c r="X220" s="51"/>
      <c r="Y220" s="51"/>
      <c r="Z220" s="35" t="s">
        <v>250</v>
      </c>
      <c r="AA220" s="53"/>
      <c r="AB220" s="35" t="s">
        <v>103</v>
      </c>
      <c r="AC220" s="51"/>
      <c r="AD220" s="53">
        <v>1181129</v>
      </c>
      <c r="AE220" s="53"/>
      <c r="AF220" s="53">
        <v>773596</v>
      </c>
      <c r="AG220" s="53"/>
      <c r="AH220" s="53">
        <v>228722</v>
      </c>
      <c r="AI220" s="53"/>
      <c r="AJ220" s="45">
        <f t="shared" si="38"/>
        <v>178811</v>
      </c>
      <c r="AK220" s="45"/>
      <c r="AL220" s="53">
        <v>-438657</v>
      </c>
      <c r="AM220" s="45"/>
      <c r="AN220" s="53">
        <v>0</v>
      </c>
      <c r="AO220" s="53"/>
      <c r="AP220" s="53">
        <v>0</v>
      </c>
      <c r="AQ220" s="53"/>
      <c r="AR220" s="53">
        <v>0</v>
      </c>
      <c r="AS220" s="53"/>
      <c r="AT220" s="45">
        <f t="shared" si="39"/>
        <v>-259846</v>
      </c>
      <c r="AU220" s="45"/>
      <c r="AV220" s="53">
        <v>0</v>
      </c>
      <c r="AW220" s="53"/>
      <c r="AX220" s="53">
        <v>0</v>
      </c>
      <c r="AY220" s="53"/>
      <c r="AZ220" s="53">
        <f t="shared" si="37"/>
        <v>-316565</v>
      </c>
      <c r="BA220" s="51"/>
      <c r="BB220" s="35" t="s">
        <v>250</v>
      </c>
      <c r="BD220" s="35" t="s">
        <v>103</v>
      </c>
      <c r="BE220" s="53"/>
      <c r="BF220" s="53">
        <v>0</v>
      </c>
      <c r="BG220" s="53"/>
      <c r="BH220" s="53">
        <v>7514075</v>
      </c>
      <c r="BI220" s="53"/>
      <c r="BJ220" s="53">
        <v>512</v>
      </c>
      <c r="BK220" s="53"/>
      <c r="BL220" s="53">
        <v>20536</v>
      </c>
      <c r="BM220" s="53"/>
      <c r="BN220" s="53">
        <f t="shared" si="43"/>
        <v>7535123</v>
      </c>
      <c r="BO220" s="54"/>
      <c r="BS220" s="55"/>
      <c r="BT220" s="55"/>
      <c r="BU220" s="84"/>
      <c r="BV220" s="55"/>
      <c r="BW220" s="55"/>
      <c r="BX220" s="55"/>
      <c r="BY220" s="55"/>
      <c r="BZ220" s="55"/>
      <c r="CA220" s="55"/>
      <c r="CB220" s="55"/>
      <c r="CC220" s="55"/>
      <c r="CD220" s="55"/>
      <c r="CE220" s="55"/>
      <c r="CF220" s="55"/>
      <c r="CG220" s="55"/>
      <c r="CH220" s="55"/>
      <c r="CI220" s="55"/>
      <c r="CJ220" s="55"/>
      <c r="CK220" s="55"/>
      <c r="CL220" s="55"/>
      <c r="CM220" s="55"/>
      <c r="CN220" s="55"/>
      <c r="CO220" s="55"/>
      <c r="CP220" s="55"/>
      <c r="CQ220" s="55"/>
    </row>
    <row r="221" spans="1:95" s="35" customFormat="1" ht="12.75" customHeight="1">
      <c r="A221" s="35" t="s">
        <v>251</v>
      </c>
      <c r="B221" s="51"/>
      <c r="C221" s="35" t="s">
        <v>66</v>
      </c>
      <c r="D221" s="44"/>
      <c r="E221" s="53">
        <f t="shared" si="40"/>
        <v>887594</v>
      </c>
      <c r="F221" s="53"/>
      <c r="G221" s="53">
        <v>411352</v>
      </c>
      <c r="H221" s="53"/>
      <c r="I221" s="53">
        <v>1298946</v>
      </c>
      <c r="J221" s="53"/>
      <c r="K221" s="53">
        <f t="shared" si="41"/>
        <v>452179</v>
      </c>
      <c r="L221" s="53"/>
      <c r="M221" s="53">
        <v>7819</v>
      </c>
      <c r="N221" s="53"/>
      <c r="O221" s="53">
        <v>459998</v>
      </c>
      <c r="P221" s="53"/>
      <c r="Q221" s="53">
        <v>261352</v>
      </c>
      <c r="R221" s="53"/>
      <c r="S221" s="53">
        <v>0</v>
      </c>
      <c r="T221" s="53"/>
      <c r="U221" s="53">
        <v>577596</v>
      </c>
      <c r="V221" s="53"/>
      <c r="W221" s="53">
        <f t="shared" si="42"/>
        <v>838948</v>
      </c>
      <c r="Z221" s="35" t="s">
        <v>251</v>
      </c>
      <c r="AA221" s="53"/>
      <c r="AB221" s="35" t="s">
        <v>66</v>
      </c>
      <c r="AC221" s="51"/>
      <c r="AD221" s="53">
        <v>1805273</v>
      </c>
      <c r="AE221" s="53"/>
      <c r="AF221" s="53">
        <v>1187854</v>
      </c>
      <c r="AG221" s="53"/>
      <c r="AH221" s="53">
        <v>124477</v>
      </c>
      <c r="AI221" s="53"/>
      <c r="AJ221" s="45">
        <f t="shared" si="38"/>
        <v>492942</v>
      </c>
      <c r="AK221" s="45"/>
      <c r="AL221" s="53">
        <v>6434</v>
      </c>
      <c r="AM221" s="45"/>
      <c r="AN221" s="53">
        <v>0</v>
      </c>
      <c r="AO221" s="53"/>
      <c r="AP221" s="53">
        <v>0</v>
      </c>
      <c r="AQ221" s="53"/>
      <c r="AR221" s="53">
        <v>0</v>
      </c>
      <c r="AS221" s="53"/>
      <c r="AT221" s="45">
        <f t="shared" si="39"/>
        <v>499376</v>
      </c>
      <c r="AU221" s="45"/>
      <c r="AV221" s="53">
        <v>0</v>
      </c>
      <c r="AW221" s="53"/>
      <c r="AX221" s="53">
        <v>0</v>
      </c>
      <c r="AY221" s="53"/>
      <c r="AZ221" s="53">
        <f t="shared" si="37"/>
        <v>435415</v>
      </c>
      <c r="BA221" s="51"/>
      <c r="BB221" s="35" t="s">
        <v>251</v>
      </c>
      <c r="BD221" s="35" t="s">
        <v>66</v>
      </c>
      <c r="BE221" s="53"/>
      <c r="BF221" s="53">
        <v>0</v>
      </c>
      <c r="BG221" s="53"/>
      <c r="BH221" s="53">
        <v>0</v>
      </c>
      <c r="BI221" s="53"/>
      <c r="BJ221" s="53">
        <v>0</v>
      </c>
      <c r="BK221" s="53"/>
      <c r="BL221" s="53">
        <v>7819</v>
      </c>
      <c r="BM221" s="53"/>
      <c r="BN221" s="53">
        <f t="shared" si="43"/>
        <v>7819</v>
      </c>
      <c r="BO221" s="54"/>
      <c r="BP221" s="55"/>
      <c r="BS221" s="55"/>
      <c r="BT221" s="55"/>
      <c r="BU221" s="84"/>
      <c r="BV221" s="55"/>
      <c r="BW221" s="55"/>
      <c r="BX221" s="55"/>
      <c r="BY221" s="55"/>
      <c r="BZ221" s="55"/>
      <c r="CA221" s="55"/>
      <c r="CB221" s="55"/>
      <c r="CC221" s="55"/>
      <c r="CD221" s="55"/>
      <c r="CE221" s="55"/>
      <c r="CF221" s="55"/>
      <c r="CG221" s="55"/>
      <c r="CH221" s="55"/>
      <c r="CI221" s="55"/>
      <c r="CJ221" s="55"/>
      <c r="CK221" s="55"/>
      <c r="CL221" s="55"/>
      <c r="CM221" s="55"/>
      <c r="CN221" s="55"/>
      <c r="CO221" s="55"/>
      <c r="CP221" s="55"/>
      <c r="CQ221" s="55"/>
    </row>
    <row r="222" spans="1:95" s="35" customFormat="1" ht="12.75" customHeight="1">
      <c r="A222" s="35" t="s">
        <v>252</v>
      </c>
      <c r="B222" s="51"/>
      <c r="C222" s="35" t="s">
        <v>209</v>
      </c>
      <c r="D222" s="44"/>
      <c r="E222" s="53">
        <f t="shared" si="40"/>
        <v>7337176</v>
      </c>
      <c r="F222" s="53"/>
      <c r="G222" s="53">
        <v>21977385</v>
      </c>
      <c r="H222" s="53"/>
      <c r="I222" s="53">
        <v>29314561</v>
      </c>
      <c r="J222" s="53"/>
      <c r="K222" s="53">
        <f t="shared" si="41"/>
        <v>1218201</v>
      </c>
      <c r="L222" s="53"/>
      <c r="M222" s="53">
        <v>7939785</v>
      </c>
      <c r="N222" s="53"/>
      <c r="O222" s="53">
        <v>9157986</v>
      </c>
      <c r="P222" s="53"/>
      <c r="Q222" s="53">
        <v>13347385</v>
      </c>
      <c r="R222" s="53"/>
      <c r="S222" s="53">
        <v>0</v>
      </c>
      <c r="T222" s="53"/>
      <c r="U222" s="53">
        <v>6809190</v>
      </c>
      <c r="V222" s="53"/>
      <c r="W222" s="53">
        <f t="shared" si="42"/>
        <v>20156575</v>
      </c>
      <c r="X222" s="51"/>
      <c r="Y222" s="51"/>
      <c r="Z222" s="35" t="s">
        <v>252</v>
      </c>
      <c r="AA222" s="53"/>
      <c r="AB222" s="35" t="s">
        <v>209</v>
      </c>
      <c r="AC222" s="51"/>
      <c r="AD222" s="53">
        <v>4266265</v>
      </c>
      <c r="AE222" s="53"/>
      <c r="AF222" s="53">
        <v>3255480</v>
      </c>
      <c r="AG222" s="53"/>
      <c r="AH222" s="53">
        <v>959569</v>
      </c>
      <c r="AI222" s="53"/>
      <c r="AJ222" s="45">
        <f t="shared" si="38"/>
        <v>51216</v>
      </c>
      <c r="AK222" s="45"/>
      <c r="AL222" s="53">
        <v>-143313</v>
      </c>
      <c r="AM222" s="45"/>
      <c r="AN222" s="53">
        <v>0</v>
      </c>
      <c r="AO222" s="53"/>
      <c r="AP222" s="53">
        <v>0</v>
      </c>
      <c r="AQ222" s="53"/>
      <c r="AR222" s="53">
        <v>301153</v>
      </c>
      <c r="AS222" s="53"/>
      <c r="AT222" s="45">
        <f t="shared" si="39"/>
        <v>209056</v>
      </c>
      <c r="AU222" s="45"/>
      <c r="AV222" s="53">
        <v>0</v>
      </c>
      <c r="AW222" s="53"/>
      <c r="AX222" s="53">
        <v>0</v>
      </c>
      <c r="AY222" s="53"/>
      <c r="AZ222" s="53">
        <f t="shared" si="37"/>
        <v>6118975</v>
      </c>
      <c r="BA222" s="51"/>
      <c r="BB222" s="35" t="s">
        <v>252</v>
      </c>
      <c r="BD222" s="35" t="s">
        <v>209</v>
      </c>
      <c r="BE222" s="53"/>
      <c r="BF222" s="53">
        <v>0</v>
      </c>
      <c r="BG222" s="53"/>
      <c r="BH222" s="53">
        <v>0</v>
      </c>
      <c r="BI222" s="53"/>
      <c r="BJ222" s="53">
        <v>0</v>
      </c>
      <c r="BK222" s="53"/>
      <c r="BL222" s="53">
        <v>7939785</v>
      </c>
      <c r="BM222" s="53"/>
      <c r="BN222" s="53">
        <f t="shared" si="43"/>
        <v>7939785</v>
      </c>
      <c r="BO222" s="54"/>
      <c r="BS222" s="55"/>
      <c r="BT222" s="55"/>
      <c r="BU222" s="84"/>
      <c r="BV222" s="55"/>
      <c r="BW222" s="55"/>
      <c r="BX222" s="55"/>
      <c r="BY222" s="55"/>
      <c r="BZ222" s="55"/>
      <c r="CA222" s="55"/>
      <c r="CB222" s="55"/>
      <c r="CC222" s="55"/>
      <c r="CD222" s="55"/>
      <c r="CE222" s="55"/>
      <c r="CF222" s="55"/>
      <c r="CG222" s="55"/>
      <c r="CH222" s="55"/>
      <c r="CI222" s="55"/>
      <c r="CJ222" s="55"/>
      <c r="CK222" s="55"/>
      <c r="CL222" s="55"/>
      <c r="CM222" s="55"/>
      <c r="CN222" s="55"/>
      <c r="CO222" s="55"/>
      <c r="CP222" s="55"/>
      <c r="CQ222" s="55"/>
    </row>
    <row r="223" spans="1:95" s="142" customFormat="1" ht="12.75" hidden="1" customHeight="1">
      <c r="A223" s="142" t="s">
        <v>253</v>
      </c>
      <c r="B223" s="140"/>
      <c r="C223" s="142" t="s">
        <v>13</v>
      </c>
      <c r="D223" s="137"/>
      <c r="E223" s="156">
        <f t="shared" si="40"/>
        <v>0</v>
      </c>
      <c r="F223" s="156"/>
      <c r="G223" s="156">
        <v>0</v>
      </c>
      <c r="H223" s="156"/>
      <c r="I223" s="156">
        <v>0</v>
      </c>
      <c r="J223" s="156"/>
      <c r="K223" s="156">
        <f t="shared" si="41"/>
        <v>0</v>
      </c>
      <c r="L223" s="156"/>
      <c r="M223" s="156">
        <v>0</v>
      </c>
      <c r="N223" s="156"/>
      <c r="O223" s="156">
        <v>0</v>
      </c>
      <c r="P223" s="156"/>
      <c r="Q223" s="156">
        <v>0</v>
      </c>
      <c r="R223" s="156"/>
      <c r="S223" s="156">
        <v>0</v>
      </c>
      <c r="T223" s="156"/>
      <c r="U223" s="156">
        <v>0</v>
      </c>
      <c r="V223" s="156"/>
      <c r="W223" s="156">
        <f t="shared" si="42"/>
        <v>0</v>
      </c>
      <c r="X223" s="140"/>
      <c r="Y223" s="140"/>
      <c r="Z223" s="142" t="s">
        <v>253</v>
      </c>
      <c r="AA223" s="156"/>
      <c r="AB223" s="142" t="s">
        <v>13</v>
      </c>
      <c r="AC223" s="140"/>
      <c r="AD223" s="156">
        <v>0</v>
      </c>
      <c r="AE223" s="156"/>
      <c r="AF223" s="156">
        <v>0</v>
      </c>
      <c r="AG223" s="156"/>
      <c r="AH223" s="156">
        <v>0</v>
      </c>
      <c r="AI223" s="156"/>
      <c r="AJ223" s="143">
        <f t="shared" si="38"/>
        <v>0</v>
      </c>
      <c r="AK223" s="143"/>
      <c r="AL223" s="156">
        <v>0</v>
      </c>
      <c r="AM223" s="143"/>
      <c r="AN223" s="156">
        <v>0</v>
      </c>
      <c r="AO223" s="156"/>
      <c r="AP223" s="156">
        <v>0</v>
      </c>
      <c r="AQ223" s="156"/>
      <c r="AR223" s="156">
        <v>0</v>
      </c>
      <c r="AS223" s="156"/>
      <c r="AT223" s="143">
        <f t="shared" si="39"/>
        <v>0</v>
      </c>
      <c r="AU223" s="143"/>
      <c r="AV223" s="156">
        <v>0</v>
      </c>
      <c r="AW223" s="156"/>
      <c r="AX223" s="156">
        <v>0</v>
      </c>
      <c r="AY223" s="156"/>
      <c r="AZ223" s="156">
        <f t="shared" si="37"/>
        <v>0</v>
      </c>
      <c r="BA223" s="140"/>
      <c r="BB223" s="142" t="s">
        <v>253</v>
      </c>
      <c r="BD223" s="142" t="s">
        <v>13</v>
      </c>
      <c r="BE223" s="156"/>
      <c r="BF223" s="156">
        <v>0</v>
      </c>
      <c r="BG223" s="156"/>
      <c r="BH223" s="156">
        <v>0</v>
      </c>
      <c r="BI223" s="156"/>
      <c r="BJ223" s="156">
        <v>0</v>
      </c>
      <c r="BK223" s="156"/>
      <c r="BL223" s="156">
        <v>0</v>
      </c>
      <c r="BM223" s="156"/>
      <c r="BN223" s="156">
        <f t="shared" si="43"/>
        <v>0</v>
      </c>
      <c r="BO223" s="158"/>
      <c r="BS223" s="159"/>
      <c r="BT223" s="159"/>
      <c r="BU223" s="160"/>
      <c r="BV223" s="159"/>
      <c r="BW223" s="159"/>
      <c r="BX223" s="159"/>
      <c r="BY223" s="159"/>
      <c r="BZ223" s="159"/>
      <c r="CA223" s="159"/>
      <c r="CB223" s="159"/>
      <c r="CC223" s="159"/>
      <c r="CD223" s="159"/>
      <c r="CE223" s="159"/>
      <c r="CF223" s="159"/>
      <c r="CG223" s="159"/>
      <c r="CH223" s="159"/>
      <c r="CI223" s="159"/>
      <c r="CJ223" s="159"/>
      <c r="CK223" s="159"/>
      <c r="CL223" s="159"/>
      <c r="CM223" s="159"/>
      <c r="CN223" s="159"/>
      <c r="CO223" s="159"/>
      <c r="CP223" s="159"/>
      <c r="CQ223" s="159"/>
    </row>
    <row r="224" spans="1:95" s="142" customFormat="1" ht="12.75" hidden="1" customHeight="1">
      <c r="A224" s="142" t="s">
        <v>254</v>
      </c>
      <c r="B224" s="140"/>
      <c r="C224" s="142" t="s">
        <v>89</v>
      </c>
      <c r="D224" s="137"/>
      <c r="E224" s="156">
        <f t="shared" si="40"/>
        <v>0</v>
      </c>
      <c r="F224" s="156"/>
      <c r="G224" s="156">
        <v>0</v>
      </c>
      <c r="H224" s="156"/>
      <c r="I224" s="156">
        <v>0</v>
      </c>
      <c r="J224" s="156"/>
      <c r="K224" s="156">
        <f t="shared" si="41"/>
        <v>0</v>
      </c>
      <c r="L224" s="156"/>
      <c r="M224" s="156">
        <v>0</v>
      </c>
      <c r="N224" s="156"/>
      <c r="O224" s="156">
        <v>0</v>
      </c>
      <c r="P224" s="156"/>
      <c r="Q224" s="156">
        <v>0</v>
      </c>
      <c r="R224" s="156"/>
      <c r="S224" s="156">
        <v>0</v>
      </c>
      <c r="T224" s="156"/>
      <c r="U224" s="156">
        <v>0</v>
      </c>
      <c r="V224" s="156"/>
      <c r="W224" s="156">
        <f t="shared" si="42"/>
        <v>0</v>
      </c>
      <c r="X224" s="140"/>
      <c r="Y224" s="140"/>
      <c r="Z224" s="142" t="s">
        <v>254</v>
      </c>
      <c r="AA224" s="156"/>
      <c r="AB224" s="142" t="s">
        <v>89</v>
      </c>
      <c r="AC224" s="140"/>
      <c r="AD224" s="156">
        <v>0</v>
      </c>
      <c r="AE224" s="156"/>
      <c r="AF224" s="156">
        <v>0</v>
      </c>
      <c r="AG224" s="156"/>
      <c r="AH224" s="156">
        <v>0</v>
      </c>
      <c r="AI224" s="156"/>
      <c r="AJ224" s="143">
        <v>0</v>
      </c>
      <c r="AK224" s="143"/>
      <c r="AL224" s="156">
        <v>0</v>
      </c>
      <c r="AM224" s="143"/>
      <c r="AN224" s="156">
        <v>0</v>
      </c>
      <c r="AO224" s="156"/>
      <c r="AP224" s="156">
        <v>0</v>
      </c>
      <c r="AQ224" s="156"/>
      <c r="AR224" s="156">
        <v>0</v>
      </c>
      <c r="AS224" s="156"/>
      <c r="AT224" s="143">
        <f t="shared" si="39"/>
        <v>0</v>
      </c>
      <c r="AU224" s="143"/>
      <c r="AV224" s="156">
        <v>0</v>
      </c>
      <c r="AW224" s="156"/>
      <c r="AX224" s="156">
        <v>0</v>
      </c>
      <c r="AY224" s="156"/>
      <c r="AZ224" s="156">
        <f t="shared" si="37"/>
        <v>0</v>
      </c>
      <c r="BA224" s="140"/>
      <c r="BB224" s="142" t="s">
        <v>254</v>
      </c>
      <c r="BD224" s="142" t="s">
        <v>89</v>
      </c>
      <c r="BE224" s="156"/>
      <c r="BF224" s="156">
        <v>0</v>
      </c>
      <c r="BG224" s="156"/>
      <c r="BH224" s="156">
        <v>0</v>
      </c>
      <c r="BI224" s="156"/>
      <c r="BJ224" s="156">
        <v>0</v>
      </c>
      <c r="BK224" s="156"/>
      <c r="BL224" s="156">
        <v>0</v>
      </c>
      <c r="BM224" s="156"/>
      <c r="BN224" s="156">
        <f t="shared" si="43"/>
        <v>0</v>
      </c>
      <c r="BO224" s="158"/>
      <c r="BS224" s="159"/>
      <c r="BT224" s="159"/>
      <c r="BU224" s="160"/>
      <c r="BV224" s="159"/>
      <c r="BW224" s="159"/>
      <c r="BX224" s="159"/>
      <c r="BY224" s="159"/>
      <c r="BZ224" s="159"/>
      <c r="CA224" s="159"/>
      <c r="CB224" s="159"/>
      <c r="CC224" s="159"/>
      <c r="CD224" s="159"/>
      <c r="CE224" s="159"/>
      <c r="CF224" s="159"/>
      <c r="CG224" s="159"/>
      <c r="CH224" s="159"/>
      <c r="CI224" s="159"/>
      <c r="CJ224" s="159"/>
      <c r="CK224" s="159"/>
      <c r="CL224" s="159"/>
      <c r="CM224" s="159"/>
      <c r="CN224" s="159"/>
      <c r="CO224" s="159"/>
      <c r="CP224" s="159"/>
      <c r="CQ224" s="159"/>
    </row>
    <row r="225" spans="1:95" s="35" customFormat="1" ht="12.75" customHeight="1">
      <c r="A225" s="35" t="s">
        <v>159</v>
      </c>
      <c r="C225" s="35" t="s">
        <v>66</v>
      </c>
      <c r="D225" s="44"/>
      <c r="E225" s="53">
        <f>I225-G225</f>
        <v>449752</v>
      </c>
      <c r="F225" s="53"/>
      <c r="G225" s="53">
        <v>3313244</v>
      </c>
      <c r="H225" s="53"/>
      <c r="I225" s="53">
        <v>3762996</v>
      </c>
      <c r="J225" s="53"/>
      <c r="K225" s="53">
        <f>O225-M225</f>
        <v>33433</v>
      </c>
      <c r="L225" s="53"/>
      <c r="M225" s="53">
        <v>197854</v>
      </c>
      <c r="N225" s="53"/>
      <c r="O225" s="53">
        <v>231287</v>
      </c>
      <c r="P225" s="53"/>
      <c r="Q225" s="53">
        <v>3123244</v>
      </c>
      <c r="R225" s="53"/>
      <c r="S225" s="53">
        <v>0</v>
      </c>
      <c r="T225" s="53"/>
      <c r="U225" s="53">
        <v>408465</v>
      </c>
      <c r="V225" s="53"/>
      <c r="W225" s="53">
        <f>SUM(Q225:U225)</f>
        <v>3531709</v>
      </c>
      <c r="X225" s="51"/>
      <c r="Y225" s="51"/>
      <c r="Z225" s="35" t="s">
        <v>159</v>
      </c>
      <c r="AA225" s="53"/>
      <c r="AB225" s="35" t="s">
        <v>66</v>
      </c>
      <c r="AD225" s="53">
        <v>511949</v>
      </c>
      <c r="AE225" s="53"/>
      <c r="AF225" s="53">
        <v>197832</v>
      </c>
      <c r="AG225" s="53"/>
      <c r="AH225" s="53">
        <v>135499</v>
      </c>
      <c r="AI225" s="53"/>
      <c r="AJ225" s="45">
        <f>+AD225-AF225-AH225</f>
        <v>178618</v>
      </c>
      <c r="AK225" s="45"/>
      <c r="AL225" s="53">
        <v>10511</v>
      </c>
      <c r="AM225" s="45"/>
      <c r="AN225" s="53">
        <v>28050</v>
      </c>
      <c r="AO225" s="53"/>
      <c r="AP225" s="53">
        <v>0</v>
      </c>
      <c r="AQ225" s="53"/>
      <c r="AR225" s="53">
        <v>-10000</v>
      </c>
      <c r="AS225" s="53"/>
      <c r="AT225" s="45">
        <f>+AJ225+AL225+AN225-AP225+AR225</f>
        <v>207179</v>
      </c>
      <c r="AU225" s="45"/>
      <c r="AV225" s="53">
        <v>0</v>
      </c>
      <c r="AW225" s="53"/>
      <c r="AX225" s="53">
        <v>0</v>
      </c>
      <c r="AY225" s="53"/>
      <c r="AZ225" s="53">
        <f>E225-K225</f>
        <v>416319</v>
      </c>
      <c r="BA225" s="51"/>
      <c r="BB225" s="35" t="s">
        <v>159</v>
      </c>
      <c r="BD225" s="35" t="s">
        <v>66</v>
      </c>
      <c r="BE225" s="53"/>
      <c r="BF225" s="53">
        <v>177919</v>
      </c>
      <c r="BG225" s="53"/>
      <c r="BH225" s="53">
        <v>0</v>
      </c>
      <c r="BI225" s="53"/>
      <c r="BJ225" s="53">
        <v>0</v>
      </c>
      <c r="BK225" s="53"/>
      <c r="BL225" s="53">
        <v>19935</v>
      </c>
      <c r="BM225" s="53"/>
      <c r="BN225" s="53">
        <f>SUM(BF225:BL225)</f>
        <v>197854</v>
      </c>
      <c r="BO225" s="54"/>
      <c r="BS225" s="55"/>
      <c r="BT225" s="55"/>
      <c r="BU225" s="84"/>
      <c r="BV225" s="55"/>
      <c r="BW225" s="55"/>
      <c r="BX225" s="55"/>
      <c r="BY225" s="55"/>
      <c r="BZ225" s="55"/>
      <c r="CA225" s="55"/>
      <c r="CB225" s="55"/>
      <c r="CC225" s="55"/>
      <c r="CD225" s="55"/>
      <c r="CE225" s="55"/>
      <c r="CF225" s="55"/>
      <c r="CG225" s="55"/>
      <c r="CH225" s="55"/>
      <c r="CI225" s="55"/>
      <c r="CJ225" s="55"/>
      <c r="CK225" s="55"/>
      <c r="CL225" s="55"/>
      <c r="CM225" s="55"/>
      <c r="CN225" s="55"/>
      <c r="CO225" s="55"/>
      <c r="CP225" s="55"/>
      <c r="CQ225" s="55"/>
    </row>
    <row r="226" spans="1:95" s="142" customFormat="1" ht="12.75" hidden="1" customHeight="1">
      <c r="A226" s="142" t="s">
        <v>255</v>
      </c>
      <c r="B226" s="140"/>
      <c r="C226" s="142" t="s">
        <v>27</v>
      </c>
      <c r="D226" s="137"/>
      <c r="E226" s="156">
        <f t="shared" si="40"/>
        <v>0</v>
      </c>
      <c r="F226" s="156"/>
      <c r="G226" s="156"/>
      <c r="H226" s="156"/>
      <c r="I226" s="156"/>
      <c r="J226" s="156"/>
      <c r="K226" s="156">
        <f t="shared" si="41"/>
        <v>0</v>
      </c>
      <c r="L226" s="156"/>
      <c r="M226" s="156"/>
      <c r="N226" s="156"/>
      <c r="O226" s="156"/>
      <c r="P226" s="156"/>
      <c r="Q226" s="156"/>
      <c r="R226" s="156"/>
      <c r="S226" s="156"/>
      <c r="T226" s="156"/>
      <c r="U226" s="156"/>
      <c r="V226" s="156"/>
      <c r="W226" s="156">
        <f t="shared" si="42"/>
        <v>0</v>
      </c>
      <c r="X226" s="140"/>
      <c r="Y226" s="140"/>
      <c r="Z226" s="142" t="s">
        <v>255</v>
      </c>
      <c r="AA226" s="156"/>
      <c r="AB226" s="142" t="s">
        <v>27</v>
      </c>
      <c r="AC226" s="140"/>
      <c r="AD226" s="156"/>
      <c r="AE226" s="156"/>
      <c r="AF226" s="156"/>
      <c r="AG226" s="156"/>
      <c r="AH226" s="156"/>
      <c r="AI226" s="156"/>
      <c r="AJ226" s="143">
        <f t="shared" si="38"/>
        <v>0</v>
      </c>
      <c r="AK226" s="143"/>
      <c r="AL226" s="156"/>
      <c r="AM226" s="143"/>
      <c r="AN226" s="156"/>
      <c r="AO226" s="156"/>
      <c r="AP226" s="156"/>
      <c r="AQ226" s="156"/>
      <c r="AR226" s="156"/>
      <c r="AS226" s="156"/>
      <c r="AT226" s="143">
        <f t="shared" si="39"/>
        <v>0</v>
      </c>
      <c r="AU226" s="143"/>
      <c r="AV226" s="156">
        <v>0</v>
      </c>
      <c r="AW226" s="156"/>
      <c r="AX226" s="156">
        <v>0</v>
      </c>
      <c r="AY226" s="156"/>
      <c r="AZ226" s="156">
        <f t="shared" si="37"/>
        <v>0</v>
      </c>
      <c r="BA226" s="140"/>
      <c r="BB226" s="142" t="s">
        <v>255</v>
      </c>
      <c r="BD226" s="142" t="s">
        <v>27</v>
      </c>
      <c r="BE226" s="156"/>
      <c r="BF226" s="156"/>
      <c r="BG226" s="156"/>
      <c r="BH226" s="156"/>
      <c r="BI226" s="156"/>
      <c r="BJ226" s="156"/>
      <c r="BK226" s="156"/>
      <c r="BL226" s="156"/>
      <c r="BM226" s="156"/>
      <c r="BN226" s="156">
        <f t="shared" si="43"/>
        <v>0</v>
      </c>
      <c r="BO226" s="158"/>
      <c r="BS226" s="159"/>
      <c r="BT226" s="159"/>
      <c r="BU226" s="160"/>
      <c r="BV226" s="159"/>
      <c r="BW226" s="159"/>
      <c r="BX226" s="159"/>
      <c r="BY226" s="159"/>
      <c r="BZ226" s="159"/>
      <c r="CA226" s="159"/>
      <c r="CB226" s="159"/>
      <c r="CC226" s="159"/>
      <c r="CD226" s="159"/>
      <c r="CE226" s="159"/>
      <c r="CF226" s="159"/>
      <c r="CG226" s="159"/>
      <c r="CH226" s="159"/>
      <c r="CI226" s="159"/>
      <c r="CJ226" s="159"/>
      <c r="CK226" s="159"/>
      <c r="CL226" s="159"/>
      <c r="CM226" s="159"/>
      <c r="CN226" s="159"/>
      <c r="CO226" s="159"/>
      <c r="CP226" s="159"/>
      <c r="CQ226" s="159"/>
    </row>
    <row r="227" spans="1:95" s="35" customFormat="1" ht="12.75" customHeight="1">
      <c r="A227" s="35" t="s">
        <v>256</v>
      </c>
      <c r="C227" s="35" t="s">
        <v>43</v>
      </c>
      <c r="D227" s="44"/>
      <c r="E227" s="53">
        <f>I227-G227</f>
        <v>223353</v>
      </c>
      <c r="F227" s="53"/>
      <c r="G227" s="53">
        <v>6137069</v>
      </c>
      <c r="H227" s="53"/>
      <c r="I227" s="53">
        <v>6360422</v>
      </c>
      <c r="J227" s="53"/>
      <c r="K227" s="53">
        <f>O227-M227</f>
        <v>101187</v>
      </c>
      <c r="L227" s="53"/>
      <c r="M227" s="53">
        <v>716861</v>
      </c>
      <c r="N227" s="53"/>
      <c r="O227" s="53">
        <v>818048</v>
      </c>
      <c r="P227" s="53"/>
      <c r="Q227" s="53">
        <v>5326747</v>
      </c>
      <c r="R227" s="53"/>
      <c r="S227" s="53">
        <v>0</v>
      </c>
      <c r="T227" s="53"/>
      <c r="U227" s="53">
        <v>215627</v>
      </c>
      <c r="V227" s="53"/>
      <c r="W227" s="53">
        <f>SUM(Q227:U227)</f>
        <v>5542374</v>
      </c>
      <c r="X227" s="51"/>
      <c r="Y227" s="51"/>
      <c r="Z227" s="35" t="s">
        <v>256</v>
      </c>
      <c r="AA227" s="53"/>
      <c r="AB227" s="35" t="s">
        <v>43</v>
      </c>
      <c r="AD227" s="53">
        <v>331769</v>
      </c>
      <c r="AE227" s="53"/>
      <c r="AF227" s="53">
        <v>78475</v>
      </c>
      <c r="AG227" s="53"/>
      <c r="AH227" s="53">
        <v>213868</v>
      </c>
      <c r="AI227" s="53"/>
      <c r="AJ227" s="45">
        <f>+AD227-AF227-AH227</f>
        <v>39426</v>
      </c>
      <c r="AK227" s="45"/>
      <c r="AL227" s="53">
        <v>-27893</v>
      </c>
      <c r="AM227" s="45"/>
      <c r="AN227" s="53">
        <v>0</v>
      </c>
      <c r="AO227" s="53"/>
      <c r="AP227" s="53">
        <v>0</v>
      </c>
      <c r="AQ227" s="53"/>
      <c r="AR227" s="53">
        <v>0</v>
      </c>
      <c r="AS227" s="53"/>
      <c r="AT227" s="45">
        <f>+AJ227+AL227+AN227-AP227+AR227</f>
        <v>11533</v>
      </c>
      <c r="AU227" s="45"/>
      <c r="AV227" s="53">
        <v>0</v>
      </c>
      <c r="AW227" s="53"/>
      <c r="AX227" s="53">
        <v>0</v>
      </c>
      <c r="AY227" s="53"/>
      <c r="AZ227" s="53">
        <f>E227-K227</f>
        <v>122166</v>
      </c>
      <c r="BA227" s="51"/>
      <c r="BB227" s="35" t="s">
        <v>256</v>
      </c>
      <c r="BD227" s="35" t="s">
        <v>43</v>
      </c>
      <c r="BE227" s="53"/>
      <c r="BF227" s="53">
        <v>0</v>
      </c>
      <c r="BG227" s="53"/>
      <c r="BH227" s="53">
        <v>0</v>
      </c>
      <c r="BI227" s="53"/>
      <c r="BJ227" s="53">
        <v>715755</v>
      </c>
      <c r="BK227" s="53"/>
      <c r="BL227" s="53">
        <v>1106</v>
      </c>
      <c r="BM227" s="53"/>
      <c r="BN227" s="53">
        <f>SUM(BF227:BL227)</f>
        <v>716861</v>
      </c>
      <c r="BO227" s="54"/>
      <c r="BS227" s="55"/>
      <c r="BT227" s="55"/>
      <c r="BU227" s="84"/>
      <c r="BV227" s="55"/>
      <c r="BW227" s="55"/>
      <c r="BX227" s="55"/>
      <c r="BY227" s="55"/>
      <c r="BZ227" s="55"/>
      <c r="CA227" s="55"/>
      <c r="CB227" s="55"/>
      <c r="CC227" s="55"/>
      <c r="CD227" s="55"/>
      <c r="CE227" s="55"/>
      <c r="CF227" s="55"/>
      <c r="CG227" s="55"/>
      <c r="CH227" s="55"/>
      <c r="CI227" s="55"/>
      <c r="CJ227" s="55"/>
      <c r="CK227" s="55"/>
      <c r="CL227" s="55"/>
      <c r="CM227" s="55"/>
      <c r="CN227" s="55"/>
      <c r="CO227" s="55"/>
      <c r="CP227" s="55"/>
      <c r="CQ227" s="55"/>
    </row>
    <row r="228" spans="1:95" s="35" customFormat="1">
      <c r="A228" s="35" t="s">
        <v>257</v>
      </c>
      <c r="B228" s="51"/>
      <c r="C228" s="35" t="s">
        <v>258</v>
      </c>
      <c r="D228" s="44"/>
      <c r="E228" s="53">
        <f>I228-G228</f>
        <v>236890</v>
      </c>
      <c r="F228" s="53"/>
      <c r="G228" s="53">
        <v>9255524</v>
      </c>
      <c r="H228" s="53"/>
      <c r="I228" s="53">
        <v>9492414</v>
      </c>
      <c r="J228" s="53"/>
      <c r="K228" s="53">
        <f>O228-M228</f>
        <v>97317</v>
      </c>
      <c r="L228" s="53"/>
      <c r="M228" s="53">
        <v>11101</v>
      </c>
      <c r="N228" s="53"/>
      <c r="O228" s="53">
        <v>108418</v>
      </c>
      <c r="P228" s="53"/>
      <c r="Q228" s="53">
        <v>9255524</v>
      </c>
      <c r="R228" s="53"/>
      <c r="S228" s="53">
        <v>0</v>
      </c>
      <c r="T228" s="53"/>
      <c r="U228" s="53">
        <v>128472</v>
      </c>
      <c r="V228" s="53"/>
      <c r="W228" s="53">
        <f>SUM(Q228:U228)</f>
        <v>9383996</v>
      </c>
      <c r="Z228" s="35" t="s">
        <v>257</v>
      </c>
      <c r="AA228" s="53"/>
      <c r="AB228" s="35" t="s">
        <v>258</v>
      </c>
      <c r="AC228" s="51"/>
      <c r="AD228" s="53">
        <v>1422854</v>
      </c>
      <c r="AE228" s="53"/>
      <c r="AF228" s="53">
        <v>1053793</v>
      </c>
      <c r="AG228" s="53"/>
      <c r="AH228" s="53">
        <v>147167</v>
      </c>
      <c r="AI228" s="53"/>
      <c r="AJ228" s="45">
        <f>+AD228-AF228-AH228</f>
        <v>221894</v>
      </c>
      <c r="AK228" s="45"/>
      <c r="AL228" s="53">
        <v>682</v>
      </c>
      <c r="AM228" s="45"/>
      <c r="AN228" s="53">
        <v>0</v>
      </c>
      <c r="AO228" s="53"/>
      <c r="AP228" s="53">
        <v>333161</v>
      </c>
      <c r="AQ228" s="53"/>
      <c r="AR228" s="53">
        <v>0</v>
      </c>
      <c r="AS228" s="53"/>
      <c r="AT228" s="45">
        <f>+AJ228+AL228+AN228-AP228+AR228</f>
        <v>-110585</v>
      </c>
      <c r="AU228" s="45"/>
      <c r="AV228" s="53">
        <v>0</v>
      </c>
      <c r="AW228" s="53"/>
      <c r="AX228" s="53">
        <v>0</v>
      </c>
      <c r="AY228" s="53"/>
      <c r="AZ228" s="53">
        <f>E228-K228</f>
        <v>139573</v>
      </c>
      <c r="BA228" s="51"/>
      <c r="BB228" s="35" t="s">
        <v>257</v>
      </c>
      <c r="BD228" s="35" t="s">
        <v>258</v>
      </c>
      <c r="BE228" s="53"/>
      <c r="BF228" s="53">
        <v>0</v>
      </c>
      <c r="BG228" s="53"/>
      <c r="BH228" s="53">
        <v>0</v>
      </c>
      <c r="BI228" s="53"/>
      <c r="BJ228" s="53">
        <v>0</v>
      </c>
      <c r="BK228" s="53"/>
      <c r="BL228" s="53">
        <v>11101</v>
      </c>
      <c r="BM228" s="53"/>
      <c r="BN228" s="53">
        <f>SUM(BF228:BL228)</f>
        <v>11101</v>
      </c>
      <c r="BO228" s="54"/>
      <c r="BS228" s="55"/>
      <c r="BT228" s="55"/>
      <c r="BU228" s="84"/>
      <c r="BV228" s="55"/>
      <c r="BW228" s="55"/>
      <c r="BX228" s="55"/>
      <c r="BY228" s="55"/>
      <c r="BZ228" s="55"/>
      <c r="CA228" s="55"/>
      <c r="CB228" s="55"/>
      <c r="CC228" s="55"/>
      <c r="CD228" s="55"/>
      <c r="CE228" s="55"/>
      <c r="CF228" s="55"/>
      <c r="CG228" s="55"/>
      <c r="CH228" s="55"/>
      <c r="CI228" s="55"/>
      <c r="CJ228" s="55"/>
      <c r="CK228" s="55"/>
      <c r="CL228" s="55"/>
      <c r="CM228" s="55"/>
      <c r="CN228" s="55"/>
      <c r="CO228" s="55"/>
      <c r="CP228" s="55"/>
      <c r="CQ228" s="55"/>
    </row>
    <row r="229" spans="1:95" s="35" customFormat="1">
      <c r="A229" s="35" t="s">
        <v>259</v>
      </c>
      <c r="C229" s="35" t="s">
        <v>260</v>
      </c>
      <c r="D229" s="44"/>
      <c r="E229" s="53">
        <f t="shared" si="40"/>
        <v>903325</v>
      </c>
      <c r="F229" s="53"/>
      <c r="G229" s="53">
        <v>3449805</v>
      </c>
      <c r="H229" s="53"/>
      <c r="I229" s="53">
        <v>4353130</v>
      </c>
      <c r="J229" s="53"/>
      <c r="K229" s="53">
        <f t="shared" si="41"/>
        <v>686584</v>
      </c>
      <c r="L229" s="53"/>
      <c r="M229" s="53">
        <v>1312489</v>
      </c>
      <c r="N229" s="53"/>
      <c r="O229" s="53">
        <v>1999073</v>
      </c>
      <c r="P229" s="53"/>
      <c r="Q229" s="53">
        <v>1680795</v>
      </c>
      <c r="R229" s="53"/>
      <c r="S229" s="53">
        <v>0</v>
      </c>
      <c r="T229" s="53"/>
      <c r="U229" s="53">
        <v>673262</v>
      </c>
      <c r="V229" s="53"/>
      <c r="W229" s="53">
        <f t="shared" si="42"/>
        <v>2354057</v>
      </c>
      <c r="X229" s="51"/>
      <c r="Y229" s="51"/>
      <c r="Z229" s="35" t="s">
        <v>259</v>
      </c>
      <c r="AA229" s="53"/>
      <c r="AB229" s="35" t="s">
        <v>260</v>
      </c>
      <c r="AD229" s="53">
        <v>1587257</v>
      </c>
      <c r="AE229" s="53"/>
      <c r="AF229" s="53">
        <v>1011197</v>
      </c>
      <c r="AG229" s="53"/>
      <c r="AH229" s="53">
        <v>154824</v>
      </c>
      <c r="AI229" s="53"/>
      <c r="AJ229" s="45">
        <f t="shared" si="38"/>
        <v>421236</v>
      </c>
      <c r="AK229" s="45"/>
      <c r="AL229" s="53">
        <v>-94632</v>
      </c>
      <c r="AM229" s="45"/>
      <c r="AN229" s="53">
        <v>0</v>
      </c>
      <c r="AO229" s="53"/>
      <c r="AP229" s="53">
        <v>0</v>
      </c>
      <c r="AQ229" s="53"/>
      <c r="AR229" s="53">
        <v>0</v>
      </c>
      <c r="AS229" s="53"/>
      <c r="AT229" s="45">
        <f t="shared" si="39"/>
        <v>326604</v>
      </c>
      <c r="AU229" s="45"/>
      <c r="AV229" s="53">
        <v>0</v>
      </c>
      <c r="AW229" s="53"/>
      <c r="AX229" s="53">
        <v>0</v>
      </c>
      <c r="AY229" s="53"/>
      <c r="AZ229" s="53">
        <f t="shared" si="37"/>
        <v>216741</v>
      </c>
      <c r="BA229" s="51"/>
      <c r="BB229" s="35" t="s">
        <v>259</v>
      </c>
      <c r="BD229" s="35" t="s">
        <v>260</v>
      </c>
      <c r="BE229" s="53"/>
      <c r="BF229" s="53">
        <v>903000</v>
      </c>
      <c r="BG229" s="53"/>
      <c r="BH229" s="53">
        <v>0</v>
      </c>
      <c r="BI229" s="53"/>
      <c r="BJ229" s="53">
        <v>377657</v>
      </c>
      <c r="BK229" s="53"/>
      <c r="BL229" s="53">
        <v>31832</v>
      </c>
      <c r="BM229" s="53"/>
      <c r="BN229" s="53">
        <f t="shared" si="43"/>
        <v>1312489</v>
      </c>
      <c r="BO229" s="54"/>
      <c r="BS229" s="55"/>
      <c r="BT229" s="55"/>
      <c r="BU229" s="84"/>
      <c r="BV229" s="55"/>
      <c r="BW229" s="55"/>
      <c r="BX229" s="55"/>
      <c r="BY229" s="55"/>
      <c r="BZ229" s="55"/>
      <c r="CA229" s="55"/>
      <c r="CB229" s="55"/>
      <c r="CC229" s="55"/>
      <c r="CD229" s="55"/>
      <c r="CE229" s="55"/>
      <c r="CF229" s="55"/>
      <c r="CG229" s="55"/>
      <c r="CH229" s="55"/>
      <c r="CI229" s="55"/>
      <c r="CJ229" s="55"/>
      <c r="CK229" s="55"/>
      <c r="CL229" s="55"/>
      <c r="CM229" s="55"/>
      <c r="CN229" s="55"/>
      <c r="CO229" s="55"/>
      <c r="CP229" s="55"/>
      <c r="CQ229" s="55"/>
    </row>
    <row r="230" spans="1:95" s="35" customFormat="1">
      <c r="A230" s="35" t="s">
        <v>261</v>
      </c>
      <c r="B230" s="51"/>
      <c r="C230" s="35" t="s">
        <v>66</v>
      </c>
      <c r="D230" s="44"/>
      <c r="E230" s="53">
        <f t="shared" si="40"/>
        <v>1821702</v>
      </c>
      <c r="F230" s="53"/>
      <c r="G230" s="53">
        <v>7533512</v>
      </c>
      <c r="H230" s="53"/>
      <c r="I230" s="53">
        <v>9355214</v>
      </c>
      <c r="J230" s="53"/>
      <c r="K230" s="53">
        <f t="shared" si="41"/>
        <v>156162</v>
      </c>
      <c r="L230" s="53"/>
      <c r="M230" s="53">
        <v>24060</v>
      </c>
      <c r="N230" s="53"/>
      <c r="O230" s="53">
        <v>180222</v>
      </c>
      <c r="P230" s="53"/>
      <c r="Q230" s="53">
        <v>7432844</v>
      </c>
      <c r="R230" s="53"/>
      <c r="S230" s="53">
        <v>0</v>
      </c>
      <c r="T230" s="53"/>
      <c r="U230" s="53">
        <v>1742148</v>
      </c>
      <c r="V230" s="53"/>
      <c r="W230" s="53">
        <f t="shared" si="42"/>
        <v>9174992</v>
      </c>
      <c r="X230" s="51"/>
      <c r="Y230" s="51"/>
      <c r="Z230" s="35" t="s">
        <v>261</v>
      </c>
      <c r="AA230" s="53"/>
      <c r="AB230" s="35" t="s">
        <v>66</v>
      </c>
      <c r="AC230" s="51"/>
      <c r="AD230" s="53">
        <v>2694784</v>
      </c>
      <c r="AE230" s="53"/>
      <c r="AF230" s="53">
        <v>2033540</v>
      </c>
      <c r="AG230" s="53"/>
      <c r="AH230" s="53">
        <v>214966</v>
      </c>
      <c r="AI230" s="53"/>
      <c r="AJ230" s="45">
        <f t="shared" si="38"/>
        <v>446278</v>
      </c>
      <c r="AK230" s="45"/>
      <c r="AL230" s="53">
        <v>100570</v>
      </c>
      <c r="AM230" s="45"/>
      <c r="AN230" s="53">
        <v>0</v>
      </c>
      <c r="AO230" s="53"/>
      <c r="AP230" s="53">
        <v>0</v>
      </c>
      <c r="AQ230" s="53"/>
      <c r="AR230" s="53">
        <v>65647</v>
      </c>
      <c r="AS230" s="53"/>
      <c r="AT230" s="45">
        <f t="shared" si="39"/>
        <v>612495</v>
      </c>
      <c r="AU230" s="45"/>
      <c r="AV230" s="53">
        <v>0</v>
      </c>
      <c r="AW230" s="53"/>
      <c r="AX230" s="53">
        <v>0</v>
      </c>
      <c r="AY230" s="53"/>
      <c r="AZ230" s="53">
        <f t="shared" si="37"/>
        <v>1665540</v>
      </c>
      <c r="BA230" s="51"/>
      <c r="BB230" s="35" t="s">
        <v>261</v>
      </c>
      <c r="BD230" s="35" t="s">
        <v>66</v>
      </c>
      <c r="BE230" s="53"/>
      <c r="BF230" s="53">
        <v>0</v>
      </c>
      <c r="BG230" s="53"/>
      <c r="BH230" s="53">
        <v>0</v>
      </c>
      <c r="BI230" s="53"/>
      <c r="BJ230" s="53">
        <v>0</v>
      </c>
      <c r="BK230" s="53"/>
      <c r="BL230" s="53">
        <v>24060</v>
      </c>
      <c r="BM230" s="53"/>
      <c r="BN230" s="53">
        <f t="shared" si="43"/>
        <v>24060</v>
      </c>
      <c r="BO230" s="54"/>
      <c r="BS230" s="55"/>
      <c r="BT230" s="55"/>
      <c r="BU230" s="84"/>
      <c r="BV230" s="55"/>
      <c r="BW230" s="55"/>
      <c r="BX230" s="55"/>
      <c r="BY230" s="55"/>
      <c r="BZ230" s="55"/>
      <c r="CA230" s="55"/>
      <c r="CB230" s="55"/>
      <c r="CC230" s="55"/>
      <c r="CD230" s="55"/>
      <c r="CE230" s="55"/>
      <c r="CF230" s="55"/>
      <c r="CG230" s="55"/>
      <c r="CH230" s="55"/>
      <c r="CI230" s="55"/>
      <c r="CJ230" s="55"/>
      <c r="CK230" s="55"/>
      <c r="CL230" s="55"/>
      <c r="CM230" s="55"/>
      <c r="CN230" s="55"/>
      <c r="CO230" s="55"/>
      <c r="CP230" s="55"/>
      <c r="CQ230" s="55"/>
    </row>
    <row r="231" spans="1:95" s="35" customFormat="1">
      <c r="A231" s="35" t="s">
        <v>262</v>
      </c>
      <c r="C231" s="35" t="s">
        <v>132</v>
      </c>
      <c r="D231" s="44"/>
      <c r="E231" s="53">
        <f t="shared" si="40"/>
        <v>459631</v>
      </c>
      <c r="F231" s="53"/>
      <c r="G231" s="53">
        <v>4261020</v>
      </c>
      <c r="H231" s="53"/>
      <c r="I231" s="53">
        <v>4720651</v>
      </c>
      <c r="J231" s="53"/>
      <c r="K231" s="53">
        <f t="shared" si="41"/>
        <v>1173576</v>
      </c>
      <c r="L231" s="53"/>
      <c r="M231" s="53">
        <v>3821052</v>
      </c>
      <c r="N231" s="53"/>
      <c r="O231" s="53">
        <v>4994628</v>
      </c>
      <c r="P231" s="53"/>
      <c r="Q231" s="53">
        <v>-862557</v>
      </c>
      <c r="R231" s="53"/>
      <c r="S231" s="53">
        <v>0</v>
      </c>
      <c r="T231" s="53"/>
      <c r="U231" s="53">
        <v>588580</v>
      </c>
      <c r="V231" s="53"/>
      <c r="W231" s="53">
        <f t="shared" si="42"/>
        <v>-273977</v>
      </c>
      <c r="X231" s="65"/>
      <c r="Y231" s="65"/>
      <c r="Z231" s="35" t="s">
        <v>262</v>
      </c>
      <c r="AA231" s="53"/>
      <c r="AB231" s="35" t="s">
        <v>132</v>
      </c>
      <c r="AD231" s="53">
        <v>1661983</v>
      </c>
      <c r="AE231" s="53"/>
      <c r="AF231" s="53">
        <f>1654040-288977</f>
        <v>1365063</v>
      </c>
      <c r="AG231" s="53"/>
      <c r="AH231" s="53">
        <v>288977</v>
      </c>
      <c r="AI231" s="53"/>
      <c r="AJ231" s="45">
        <f t="shared" si="38"/>
        <v>7943</v>
      </c>
      <c r="AK231" s="45"/>
      <c r="AL231" s="53">
        <v>-229009</v>
      </c>
      <c r="AM231" s="45"/>
      <c r="AN231" s="53">
        <v>0</v>
      </c>
      <c r="AO231" s="53"/>
      <c r="AP231" s="53">
        <v>0</v>
      </c>
      <c r="AQ231" s="53"/>
      <c r="AR231" s="53">
        <v>0</v>
      </c>
      <c r="AS231" s="53"/>
      <c r="AT231" s="45">
        <f t="shared" si="39"/>
        <v>-221066</v>
      </c>
      <c r="AU231" s="45"/>
      <c r="AV231" s="53">
        <v>0</v>
      </c>
      <c r="AW231" s="53"/>
      <c r="AX231" s="53">
        <v>0</v>
      </c>
      <c r="AY231" s="53"/>
      <c r="AZ231" s="53">
        <f t="shared" si="37"/>
        <v>-713945</v>
      </c>
      <c r="BA231" s="65"/>
      <c r="BB231" s="35" t="s">
        <v>262</v>
      </c>
      <c r="BD231" s="35" t="s">
        <v>132</v>
      </c>
      <c r="BE231" s="53"/>
      <c r="BF231" s="53">
        <f>505000+545000</f>
        <v>1050000</v>
      </c>
      <c r="BG231" s="53"/>
      <c r="BH231" s="53">
        <v>2185000</v>
      </c>
      <c r="BI231" s="53"/>
      <c r="BJ231" s="53">
        <v>165674</v>
      </c>
      <c r="BK231" s="53"/>
      <c r="BL231" s="53">
        <v>224538</v>
      </c>
      <c r="BM231" s="53"/>
      <c r="BN231" s="53">
        <f t="shared" si="43"/>
        <v>3625212</v>
      </c>
      <c r="BO231" s="54"/>
      <c r="BS231" s="55"/>
      <c r="BT231" s="55"/>
      <c r="BU231" s="84"/>
      <c r="BV231" s="55"/>
      <c r="BW231" s="55"/>
      <c r="BX231" s="55"/>
      <c r="BY231" s="55"/>
      <c r="BZ231" s="55"/>
      <c r="CA231" s="55"/>
      <c r="CB231" s="55"/>
      <c r="CC231" s="55"/>
      <c r="CD231" s="55"/>
      <c r="CE231" s="55"/>
      <c r="CF231" s="55"/>
      <c r="CG231" s="55"/>
      <c r="CH231" s="55"/>
      <c r="CI231" s="55"/>
      <c r="CJ231" s="55"/>
      <c r="CK231" s="55"/>
      <c r="CL231" s="55"/>
      <c r="CM231" s="55"/>
      <c r="CN231" s="55"/>
      <c r="CO231" s="55"/>
      <c r="CP231" s="55"/>
      <c r="CQ231" s="55"/>
    </row>
    <row r="232" spans="1:95" s="35" customFormat="1">
      <c r="A232" s="35" t="s">
        <v>263</v>
      </c>
      <c r="B232" s="51"/>
      <c r="C232" s="35" t="s">
        <v>53</v>
      </c>
      <c r="D232" s="44"/>
      <c r="E232" s="53">
        <f t="shared" si="40"/>
        <v>1945218</v>
      </c>
      <c r="F232" s="53"/>
      <c r="G232" s="53">
        <v>13104515</v>
      </c>
      <c r="H232" s="53"/>
      <c r="I232" s="53">
        <v>15049733</v>
      </c>
      <c r="J232" s="53"/>
      <c r="K232" s="53">
        <f t="shared" si="41"/>
        <v>1826695</v>
      </c>
      <c r="L232" s="53"/>
      <c r="M232" s="53">
        <v>306127</v>
      </c>
      <c r="N232" s="53"/>
      <c r="O232" s="53">
        <v>2132822</v>
      </c>
      <c r="P232" s="53"/>
      <c r="Q232" s="53">
        <v>13104515</v>
      </c>
      <c r="R232" s="53"/>
      <c r="S232" s="53">
        <v>0</v>
      </c>
      <c r="T232" s="53"/>
      <c r="U232" s="53">
        <v>-187604</v>
      </c>
      <c r="V232" s="53"/>
      <c r="W232" s="53">
        <f t="shared" si="42"/>
        <v>12916911</v>
      </c>
      <c r="X232" s="51"/>
      <c r="Y232" s="51"/>
      <c r="Z232" s="35" t="s">
        <v>263</v>
      </c>
      <c r="AA232" s="53"/>
      <c r="AB232" s="35" t="s">
        <v>53</v>
      </c>
      <c r="AC232" s="51"/>
      <c r="AD232" s="53">
        <v>2838418</v>
      </c>
      <c r="AE232" s="53"/>
      <c r="AF232" s="53">
        <v>3019564</v>
      </c>
      <c r="AG232" s="53"/>
      <c r="AH232" s="53">
        <v>308470</v>
      </c>
      <c r="AI232" s="53"/>
      <c r="AJ232" s="45">
        <f t="shared" si="38"/>
        <v>-489616</v>
      </c>
      <c r="AK232" s="45"/>
      <c r="AL232" s="53">
        <v>1332498</v>
      </c>
      <c r="AM232" s="45"/>
      <c r="AN232" s="53">
        <v>0</v>
      </c>
      <c r="AO232" s="53"/>
      <c r="AP232" s="53">
        <v>0</v>
      </c>
      <c r="AQ232" s="53"/>
      <c r="AR232" s="53">
        <v>0</v>
      </c>
      <c r="AS232" s="53"/>
      <c r="AT232" s="45">
        <f t="shared" si="39"/>
        <v>842882</v>
      </c>
      <c r="AU232" s="45"/>
      <c r="AV232" s="53">
        <v>0</v>
      </c>
      <c r="AW232" s="53"/>
      <c r="AX232" s="53">
        <v>0</v>
      </c>
      <c r="AY232" s="53"/>
      <c r="AZ232" s="53">
        <f t="shared" si="37"/>
        <v>118523</v>
      </c>
      <c r="BA232" s="51"/>
      <c r="BB232" s="35" t="s">
        <v>263</v>
      </c>
      <c r="BD232" s="35" t="s">
        <v>53</v>
      </c>
      <c r="BE232" s="53"/>
      <c r="BF232" s="53">
        <v>0</v>
      </c>
      <c r="BG232" s="53"/>
      <c r="BH232" s="53">
        <v>0</v>
      </c>
      <c r="BI232" s="53"/>
      <c r="BJ232" s="53">
        <v>0</v>
      </c>
      <c r="BK232" s="53"/>
      <c r="BL232" s="53">
        <v>306127</v>
      </c>
      <c r="BM232" s="53"/>
      <c r="BN232" s="53">
        <f t="shared" si="43"/>
        <v>306127</v>
      </c>
      <c r="BO232" s="54"/>
      <c r="BS232" s="55"/>
      <c r="BT232" s="55"/>
      <c r="BU232" s="84"/>
      <c r="BV232" s="55"/>
      <c r="BW232" s="55"/>
      <c r="BX232" s="55"/>
      <c r="BY232" s="55"/>
      <c r="BZ232" s="55"/>
      <c r="CA232" s="55"/>
      <c r="CB232" s="55"/>
      <c r="CC232" s="55"/>
      <c r="CD232" s="55"/>
      <c r="CE232" s="55"/>
      <c r="CF232" s="55"/>
      <c r="CG232" s="55"/>
      <c r="CH232" s="55"/>
      <c r="CI232" s="55"/>
      <c r="CJ232" s="55"/>
      <c r="CK232" s="55"/>
      <c r="CL232" s="55"/>
      <c r="CM232" s="55"/>
      <c r="CN232" s="55"/>
      <c r="CO232" s="55"/>
      <c r="CP232" s="55"/>
      <c r="CQ232" s="55"/>
    </row>
    <row r="233" spans="1:95" s="35" customFormat="1">
      <c r="A233" s="35" t="s">
        <v>264</v>
      </c>
      <c r="C233" s="35" t="s">
        <v>239</v>
      </c>
      <c r="D233" s="44"/>
      <c r="E233" s="53">
        <f t="shared" si="40"/>
        <v>1777344</v>
      </c>
      <c r="F233" s="53"/>
      <c r="G233" s="53">
        <v>5821353</v>
      </c>
      <c r="H233" s="53"/>
      <c r="I233" s="53">
        <v>7598697</v>
      </c>
      <c r="J233" s="53"/>
      <c r="K233" s="53">
        <f t="shared" si="41"/>
        <v>1050577</v>
      </c>
      <c r="L233" s="53"/>
      <c r="M233" s="53">
        <v>37807</v>
      </c>
      <c r="N233" s="53"/>
      <c r="O233" s="53">
        <v>1088384</v>
      </c>
      <c r="P233" s="53"/>
      <c r="Q233" s="53">
        <v>4819711</v>
      </c>
      <c r="R233" s="53"/>
      <c r="S233" s="53">
        <v>0</v>
      </c>
      <c r="T233" s="53"/>
      <c r="U233" s="53">
        <v>1690602</v>
      </c>
      <c r="V233" s="53"/>
      <c r="W233" s="53">
        <f t="shared" si="42"/>
        <v>6510313</v>
      </c>
      <c r="X233" s="51"/>
      <c r="Y233" s="51"/>
      <c r="Z233" s="35" t="s">
        <v>264</v>
      </c>
      <c r="AA233" s="53"/>
      <c r="AB233" s="35" t="s">
        <v>239</v>
      </c>
      <c r="AD233" s="53">
        <v>1548735</v>
      </c>
      <c r="AE233" s="53"/>
      <c r="AF233" s="53">
        <v>775616</v>
      </c>
      <c r="AG233" s="53"/>
      <c r="AH233" s="53">
        <v>182534</v>
      </c>
      <c r="AI233" s="53"/>
      <c r="AJ233" s="45">
        <f t="shared" si="38"/>
        <v>590585</v>
      </c>
      <c r="AK233" s="45"/>
      <c r="AL233" s="53">
        <v>-58758</v>
      </c>
      <c r="AM233" s="45"/>
      <c r="AN233" s="53">
        <v>0</v>
      </c>
      <c r="AO233" s="53"/>
      <c r="AP233" s="53">
        <v>45183</v>
      </c>
      <c r="AQ233" s="53"/>
      <c r="AR233" s="53">
        <v>0</v>
      </c>
      <c r="AS233" s="53"/>
      <c r="AT233" s="45">
        <f t="shared" si="39"/>
        <v>486644</v>
      </c>
      <c r="AU233" s="45"/>
      <c r="AV233" s="53">
        <v>0</v>
      </c>
      <c r="AW233" s="53"/>
      <c r="AX233" s="53">
        <v>0</v>
      </c>
      <c r="AY233" s="53"/>
      <c r="AZ233" s="53">
        <f t="shared" si="37"/>
        <v>726767</v>
      </c>
      <c r="BA233" s="51"/>
      <c r="BB233" s="35" t="s">
        <v>264</v>
      </c>
      <c r="BD233" s="35" t="s">
        <v>239</v>
      </c>
      <c r="BE233" s="53"/>
      <c r="BF233" s="53">
        <v>0</v>
      </c>
      <c r="BG233" s="53"/>
      <c r="BH233" s="53">
        <v>0</v>
      </c>
      <c r="BI233" s="53"/>
      <c r="BJ233" s="53">
        <v>8961</v>
      </c>
      <c r="BK233" s="53"/>
      <c r="BL233" s="53">
        <v>28846</v>
      </c>
      <c r="BM233" s="53"/>
      <c r="BN233" s="53">
        <f t="shared" si="43"/>
        <v>37807</v>
      </c>
      <c r="BO233" s="54"/>
      <c r="BS233" s="55"/>
      <c r="BT233" s="55"/>
      <c r="BU233" s="84"/>
      <c r="BV233" s="55"/>
      <c r="BW233" s="55"/>
      <c r="BX233" s="55"/>
      <c r="BY233" s="55"/>
      <c r="BZ233" s="55"/>
      <c r="CA233" s="55"/>
      <c r="CB233" s="55"/>
      <c r="CC233" s="55"/>
      <c r="CD233" s="55"/>
      <c r="CE233" s="55"/>
      <c r="CF233" s="55"/>
      <c r="CG233" s="55"/>
      <c r="CH233" s="55"/>
      <c r="CI233" s="55"/>
      <c r="CJ233" s="55"/>
      <c r="CK233" s="55"/>
      <c r="CL233" s="55"/>
      <c r="CM233" s="55"/>
      <c r="CN233" s="55"/>
      <c r="CO233" s="55"/>
      <c r="CP233" s="55"/>
      <c r="CQ233" s="55"/>
    </row>
    <row r="234" spans="1:95" s="35" customFormat="1" ht="12.75" customHeight="1">
      <c r="A234" s="35" t="s">
        <v>111</v>
      </c>
      <c r="B234" s="51"/>
      <c r="C234" s="44" t="s">
        <v>80</v>
      </c>
      <c r="D234" s="44"/>
      <c r="E234" s="53">
        <f t="shared" si="40"/>
        <v>5942737</v>
      </c>
      <c r="F234" s="53"/>
      <c r="G234" s="53">
        <v>39885207</v>
      </c>
      <c r="H234" s="53"/>
      <c r="I234" s="53">
        <v>45827944</v>
      </c>
      <c r="J234" s="53"/>
      <c r="K234" s="53">
        <f t="shared" si="41"/>
        <v>1912647</v>
      </c>
      <c r="L234" s="53"/>
      <c r="M234" s="53">
        <v>22208875</v>
      </c>
      <c r="N234" s="53"/>
      <c r="O234" s="53">
        <v>24121522</v>
      </c>
      <c r="P234" s="53"/>
      <c r="Q234" s="53">
        <v>16556990</v>
      </c>
      <c r="R234" s="53"/>
      <c r="S234" s="53">
        <v>0</v>
      </c>
      <c r="T234" s="53"/>
      <c r="U234" s="53">
        <v>5149432</v>
      </c>
      <c r="V234" s="53"/>
      <c r="W234" s="53">
        <f t="shared" si="42"/>
        <v>21706422</v>
      </c>
      <c r="X234" s="51"/>
      <c r="Y234" s="51"/>
      <c r="Z234" s="35" t="s">
        <v>111</v>
      </c>
      <c r="AA234" s="53"/>
      <c r="AB234" s="44" t="s">
        <v>80</v>
      </c>
      <c r="AC234" s="51"/>
      <c r="AD234" s="53">
        <v>10847097</v>
      </c>
      <c r="AE234" s="53"/>
      <c r="AF234" s="53">
        <v>8417012</v>
      </c>
      <c r="AG234" s="53"/>
      <c r="AH234" s="53">
        <v>1351046</v>
      </c>
      <c r="AI234" s="53"/>
      <c r="AJ234" s="45">
        <f t="shared" ref="AJ234:AJ255" si="44">+AD234-AF234-AH234</f>
        <v>1079039</v>
      </c>
      <c r="AK234" s="45"/>
      <c r="AL234" s="53">
        <v>-841316</v>
      </c>
      <c r="AM234" s="45"/>
      <c r="AN234" s="53">
        <v>0</v>
      </c>
      <c r="AO234" s="53"/>
      <c r="AP234" s="53">
        <v>60525</v>
      </c>
      <c r="AQ234" s="53"/>
      <c r="AR234" s="53">
        <v>0</v>
      </c>
      <c r="AS234" s="53"/>
      <c r="AT234" s="45">
        <f t="shared" ref="AT234:AT255" si="45">+AJ234+AL234+AN234-AP234+AR234</f>
        <v>177198</v>
      </c>
      <c r="AU234" s="45"/>
      <c r="AV234" s="53">
        <v>0</v>
      </c>
      <c r="AW234" s="53"/>
      <c r="AX234" s="53">
        <v>0</v>
      </c>
      <c r="AY234" s="53"/>
      <c r="AZ234" s="53">
        <f t="shared" ref="AZ234:AZ255" si="46">E234-K234</f>
        <v>4030090</v>
      </c>
      <c r="BA234" s="51"/>
      <c r="BB234" s="35" t="s">
        <v>111</v>
      </c>
      <c r="BD234" s="44" t="s">
        <v>80</v>
      </c>
      <c r="BE234" s="53"/>
      <c r="BF234" s="53">
        <v>0</v>
      </c>
      <c r="BG234" s="53"/>
      <c r="BH234" s="53">
        <v>8545367</v>
      </c>
      <c r="BI234" s="53"/>
      <c r="BJ234" s="53">
        <v>13091399</v>
      </c>
      <c r="BK234" s="53"/>
      <c r="BL234" s="53">
        <v>572109</v>
      </c>
      <c r="BM234" s="53"/>
      <c r="BN234" s="53">
        <f t="shared" si="43"/>
        <v>22208875</v>
      </c>
      <c r="BO234" s="54"/>
      <c r="BS234" s="55"/>
      <c r="BT234" s="55"/>
      <c r="BU234" s="84"/>
      <c r="BV234" s="55"/>
      <c r="BW234" s="55"/>
      <c r="BX234" s="55"/>
      <c r="BY234" s="55"/>
      <c r="BZ234" s="55"/>
      <c r="CA234" s="55"/>
      <c r="CB234" s="55"/>
      <c r="CC234" s="55"/>
      <c r="CD234" s="55"/>
      <c r="CE234" s="55"/>
      <c r="CF234" s="55"/>
      <c r="CG234" s="55"/>
      <c r="CH234" s="55"/>
      <c r="CI234" s="55"/>
      <c r="CJ234" s="55"/>
      <c r="CK234" s="55"/>
      <c r="CL234" s="55"/>
      <c r="CM234" s="55"/>
      <c r="CN234" s="55"/>
      <c r="CO234" s="55"/>
      <c r="CP234" s="55"/>
      <c r="CQ234" s="55"/>
    </row>
    <row r="235" spans="1:95" s="142" customFormat="1" ht="12.75" hidden="1" customHeight="1">
      <c r="A235" s="142" t="s">
        <v>265</v>
      </c>
      <c r="B235" s="140"/>
      <c r="C235" s="137" t="s">
        <v>27</v>
      </c>
      <c r="D235" s="137"/>
      <c r="E235" s="156">
        <f t="shared" si="40"/>
        <v>0</v>
      </c>
      <c r="F235" s="156"/>
      <c r="G235" s="156">
        <v>0</v>
      </c>
      <c r="H235" s="156"/>
      <c r="I235" s="156">
        <v>0</v>
      </c>
      <c r="J235" s="156"/>
      <c r="K235" s="156">
        <f t="shared" si="41"/>
        <v>0</v>
      </c>
      <c r="L235" s="156"/>
      <c r="M235" s="156">
        <v>0</v>
      </c>
      <c r="N235" s="156"/>
      <c r="O235" s="156">
        <v>0</v>
      </c>
      <c r="P235" s="156"/>
      <c r="Q235" s="156">
        <v>0</v>
      </c>
      <c r="R235" s="156"/>
      <c r="S235" s="156">
        <v>0</v>
      </c>
      <c r="T235" s="156"/>
      <c r="U235" s="156">
        <v>0</v>
      </c>
      <c r="V235" s="156"/>
      <c r="W235" s="156">
        <f t="shared" si="42"/>
        <v>0</v>
      </c>
      <c r="X235" s="140"/>
      <c r="Y235" s="140"/>
      <c r="Z235" s="142" t="s">
        <v>265</v>
      </c>
      <c r="AA235" s="156"/>
      <c r="AB235" s="137" t="s">
        <v>27</v>
      </c>
      <c r="AC235" s="140"/>
      <c r="AD235" s="156">
        <v>0</v>
      </c>
      <c r="AE235" s="156"/>
      <c r="AF235" s="156">
        <v>0</v>
      </c>
      <c r="AG235" s="156"/>
      <c r="AH235" s="156">
        <v>0</v>
      </c>
      <c r="AI235" s="156"/>
      <c r="AJ235" s="143">
        <f t="shared" si="44"/>
        <v>0</v>
      </c>
      <c r="AK235" s="143"/>
      <c r="AL235" s="156">
        <v>0</v>
      </c>
      <c r="AM235" s="143"/>
      <c r="AN235" s="156">
        <v>0</v>
      </c>
      <c r="AO235" s="156"/>
      <c r="AP235" s="156">
        <v>0</v>
      </c>
      <c r="AQ235" s="156"/>
      <c r="AR235" s="156">
        <v>0</v>
      </c>
      <c r="AS235" s="156"/>
      <c r="AT235" s="143">
        <f t="shared" si="45"/>
        <v>0</v>
      </c>
      <c r="AU235" s="143"/>
      <c r="AV235" s="156">
        <v>0</v>
      </c>
      <c r="AW235" s="156"/>
      <c r="AX235" s="156">
        <v>0</v>
      </c>
      <c r="AY235" s="156"/>
      <c r="AZ235" s="156">
        <f t="shared" si="46"/>
        <v>0</v>
      </c>
      <c r="BA235" s="140"/>
      <c r="BB235" s="142" t="s">
        <v>265</v>
      </c>
      <c r="BD235" s="137" t="s">
        <v>27</v>
      </c>
      <c r="BE235" s="156"/>
      <c r="BF235" s="156">
        <v>0</v>
      </c>
      <c r="BG235" s="156"/>
      <c r="BH235" s="156">
        <v>0</v>
      </c>
      <c r="BI235" s="156"/>
      <c r="BJ235" s="156">
        <v>0</v>
      </c>
      <c r="BK235" s="156"/>
      <c r="BL235" s="156">
        <v>0</v>
      </c>
      <c r="BM235" s="156"/>
      <c r="BN235" s="156">
        <f t="shared" si="43"/>
        <v>0</v>
      </c>
      <c r="BO235" s="158"/>
      <c r="BS235" s="159"/>
      <c r="BT235" s="159"/>
      <c r="BU235" s="160"/>
      <c r="BV235" s="159"/>
      <c r="BW235" s="159"/>
      <c r="BX235" s="159"/>
      <c r="BY235" s="159"/>
      <c r="BZ235" s="159"/>
      <c r="CA235" s="159"/>
      <c r="CB235" s="159"/>
      <c r="CC235" s="159"/>
      <c r="CD235" s="159"/>
      <c r="CE235" s="159"/>
      <c r="CF235" s="159"/>
      <c r="CG235" s="159"/>
      <c r="CH235" s="159"/>
      <c r="CI235" s="159"/>
      <c r="CJ235" s="159"/>
      <c r="CK235" s="159"/>
      <c r="CL235" s="159"/>
      <c r="CM235" s="159"/>
      <c r="CN235" s="159"/>
      <c r="CO235" s="159"/>
      <c r="CP235" s="159"/>
      <c r="CQ235" s="159"/>
    </row>
    <row r="236" spans="1:95" s="35" customFormat="1" ht="12.75" customHeight="1">
      <c r="A236" s="35" t="s">
        <v>40</v>
      </c>
      <c r="B236" s="51"/>
      <c r="C236" s="47" t="s">
        <v>452</v>
      </c>
      <c r="D236" s="44"/>
      <c r="E236" s="53">
        <f t="shared" si="40"/>
        <v>1014997</v>
      </c>
      <c r="F236" s="53"/>
      <c r="G236" s="53">
        <v>16272814</v>
      </c>
      <c r="H236" s="53"/>
      <c r="I236" s="53">
        <v>17287811</v>
      </c>
      <c r="J236" s="53"/>
      <c r="K236" s="53">
        <f t="shared" si="41"/>
        <v>662689</v>
      </c>
      <c r="L236" s="53"/>
      <c r="M236" s="53">
        <v>9694780</v>
      </c>
      <c r="N236" s="53"/>
      <c r="O236" s="53">
        <v>10357469</v>
      </c>
      <c r="P236" s="53"/>
      <c r="Q236" s="53">
        <v>5919233</v>
      </c>
      <c r="R236" s="53"/>
      <c r="S236" s="53">
        <v>0</v>
      </c>
      <c r="T236" s="53"/>
      <c r="U236" s="53">
        <v>1011109</v>
      </c>
      <c r="V236" s="53"/>
      <c r="W236" s="53">
        <f t="shared" si="42"/>
        <v>6930342</v>
      </c>
      <c r="Z236" s="35" t="s">
        <v>40</v>
      </c>
      <c r="AA236" s="53"/>
      <c r="AB236" s="47" t="s">
        <v>452</v>
      </c>
      <c r="AC236" s="51"/>
      <c r="AD236" s="53">
        <v>2990747</v>
      </c>
      <c r="AE236" s="53"/>
      <c r="AF236" s="53">
        <v>2172757</v>
      </c>
      <c r="AG236" s="53"/>
      <c r="AH236" s="53">
        <v>497825</v>
      </c>
      <c r="AI236" s="53"/>
      <c r="AJ236" s="45">
        <f t="shared" si="44"/>
        <v>320165</v>
      </c>
      <c r="AK236" s="45"/>
      <c r="AL236" s="53">
        <v>-652583</v>
      </c>
      <c r="AM236" s="45"/>
      <c r="AN236" s="53">
        <v>0</v>
      </c>
      <c r="AO236" s="53"/>
      <c r="AP236" s="53">
        <v>0</v>
      </c>
      <c r="AQ236" s="53"/>
      <c r="AR236" s="53">
        <v>0</v>
      </c>
      <c r="AS236" s="53"/>
      <c r="AT236" s="45">
        <f t="shared" si="45"/>
        <v>-332418</v>
      </c>
      <c r="AU236" s="45"/>
      <c r="AV236" s="53">
        <v>0</v>
      </c>
      <c r="AW236" s="53"/>
      <c r="AX236" s="53">
        <v>0</v>
      </c>
      <c r="AY236" s="53"/>
      <c r="AZ236" s="53">
        <f t="shared" si="46"/>
        <v>352308</v>
      </c>
      <c r="BA236" s="51"/>
      <c r="BB236" s="35" t="s">
        <v>40</v>
      </c>
      <c r="BD236" s="47" t="s">
        <v>452</v>
      </c>
      <c r="BE236" s="53"/>
      <c r="BF236" s="53">
        <v>0</v>
      </c>
      <c r="BG236" s="53"/>
      <c r="BH236" s="53">
        <v>6901102</v>
      </c>
      <c r="BI236" s="53"/>
      <c r="BJ236" s="53">
        <v>2663315</v>
      </c>
      <c r="BK236" s="53"/>
      <c r="BL236" s="53">
        <v>130363</v>
      </c>
      <c r="BM236" s="53"/>
      <c r="BN236" s="53">
        <f t="shared" si="43"/>
        <v>9694780</v>
      </c>
      <c r="BO236" s="54"/>
      <c r="BS236" s="55"/>
      <c r="BT236" s="55"/>
      <c r="BU236" s="84"/>
      <c r="BV236" s="55"/>
      <c r="BW236" s="55"/>
      <c r="BX236" s="55"/>
      <c r="BY236" s="55"/>
      <c r="BZ236" s="55"/>
      <c r="CA236" s="55"/>
      <c r="CB236" s="55"/>
      <c r="CC236" s="55"/>
      <c r="CD236" s="55"/>
      <c r="CE236" s="55"/>
      <c r="CF236" s="55"/>
      <c r="CG236" s="55"/>
      <c r="CH236" s="55"/>
      <c r="CI236" s="55"/>
      <c r="CJ236" s="55"/>
      <c r="CK236" s="55"/>
      <c r="CL236" s="55"/>
      <c r="CM236" s="55"/>
      <c r="CN236" s="55"/>
      <c r="CO236" s="55"/>
      <c r="CP236" s="55"/>
      <c r="CQ236" s="55"/>
    </row>
    <row r="237" spans="1:95" s="35" customFormat="1" ht="12.75" customHeight="1">
      <c r="A237" s="35" t="s">
        <v>266</v>
      </c>
      <c r="B237" s="51"/>
      <c r="C237" s="35" t="s">
        <v>267</v>
      </c>
      <c r="D237" s="44"/>
      <c r="E237" s="53">
        <f t="shared" si="40"/>
        <v>995056</v>
      </c>
      <c r="F237" s="53"/>
      <c r="G237" s="53">
        <v>7682683</v>
      </c>
      <c r="H237" s="53"/>
      <c r="I237" s="53">
        <v>8677739</v>
      </c>
      <c r="J237" s="53"/>
      <c r="K237" s="53">
        <f t="shared" si="41"/>
        <v>2352993</v>
      </c>
      <c r="L237" s="53"/>
      <c r="M237" s="53">
        <v>263567</v>
      </c>
      <c r="N237" s="53"/>
      <c r="O237" s="53">
        <v>2616560</v>
      </c>
      <c r="P237" s="53"/>
      <c r="Q237" s="53">
        <v>5217526</v>
      </c>
      <c r="R237" s="53"/>
      <c r="S237" s="53">
        <v>0</v>
      </c>
      <c r="T237" s="53"/>
      <c r="U237" s="53">
        <v>843653</v>
      </c>
      <c r="V237" s="53"/>
      <c r="W237" s="53">
        <f t="shared" si="42"/>
        <v>6061179</v>
      </c>
      <c r="X237" s="51"/>
      <c r="Y237" s="51"/>
      <c r="Z237" s="35" t="s">
        <v>266</v>
      </c>
      <c r="AA237" s="53"/>
      <c r="AB237" s="35" t="s">
        <v>267</v>
      </c>
      <c r="AC237" s="51"/>
      <c r="AD237" s="53">
        <v>1200229</v>
      </c>
      <c r="AE237" s="53"/>
      <c r="AF237" s="53">
        <v>981849</v>
      </c>
      <c r="AG237" s="53"/>
      <c r="AH237" s="53">
        <v>207056</v>
      </c>
      <c r="AI237" s="53"/>
      <c r="AJ237" s="45">
        <f t="shared" si="44"/>
        <v>11324</v>
      </c>
      <c r="AK237" s="45"/>
      <c r="AL237" s="53">
        <v>-102966</v>
      </c>
      <c r="AM237" s="45"/>
      <c r="AN237" s="53">
        <v>0</v>
      </c>
      <c r="AO237" s="53"/>
      <c r="AP237" s="53">
        <v>0</v>
      </c>
      <c r="AQ237" s="53"/>
      <c r="AR237" s="53">
        <v>0</v>
      </c>
      <c r="AS237" s="53"/>
      <c r="AT237" s="45">
        <f t="shared" si="45"/>
        <v>-91642</v>
      </c>
      <c r="AU237" s="45"/>
      <c r="AV237" s="53">
        <v>0</v>
      </c>
      <c r="AW237" s="53"/>
      <c r="AX237" s="53">
        <v>0</v>
      </c>
      <c r="AY237" s="53"/>
      <c r="AZ237" s="53">
        <f t="shared" si="46"/>
        <v>-1357937</v>
      </c>
      <c r="BA237" s="51"/>
      <c r="BB237" s="35" t="s">
        <v>266</v>
      </c>
      <c r="BD237" s="35" t="s">
        <v>267</v>
      </c>
      <c r="BE237" s="53"/>
      <c r="BF237" s="53">
        <v>0</v>
      </c>
      <c r="BG237" s="53"/>
      <c r="BH237" s="53">
        <v>0</v>
      </c>
      <c r="BI237" s="53"/>
      <c r="BJ237" s="53">
        <v>252431</v>
      </c>
      <c r="BK237" s="53"/>
      <c r="BL237" s="53">
        <v>11136</v>
      </c>
      <c r="BM237" s="53"/>
      <c r="BN237" s="53">
        <f t="shared" si="43"/>
        <v>263567</v>
      </c>
      <c r="BO237" s="54"/>
      <c r="BS237" s="55"/>
      <c r="BT237" s="55"/>
      <c r="BU237" s="84"/>
      <c r="BV237" s="55"/>
      <c r="BW237" s="55"/>
      <c r="BX237" s="55"/>
      <c r="BY237" s="55"/>
      <c r="BZ237" s="55"/>
      <c r="CA237" s="55"/>
      <c r="CB237" s="55"/>
      <c r="CC237" s="55"/>
      <c r="CD237" s="55"/>
      <c r="CE237" s="55"/>
      <c r="CF237" s="55"/>
      <c r="CG237" s="55"/>
      <c r="CH237" s="55"/>
      <c r="CI237" s="55"/>
      <c r="CJ237" s="55"/>
      <c r="CK237" s="55"/>
      <c r="CL237" s="55"/>
      <c r="CM237" s="55"/>
      <c r="CN237" s="55"/>
      <c r="CO237" s="55"/>
      <c r="CP237" s="55"/>
      <c r="CQ237" s="55"/>
    </row>
    <row r="238" spans="1:95" s="35" customFormat="1" ht="12.75" customHeight="1">
      <c r="A238" s="35" t="s">
        <v>268</v>
      </c>
      <c r="B238" s="51"/>
      <c r="C238" s="35" t="s">
        <v>269</v>
      </c>
      <c r="D238" s="44"/>
      <c r="E238" s="53">
        <f t="shared" si="40"/>
        <v>250166</v>
      </c>
      <c r="F238" s="53"/>
      <c r="G238" s="53">
        <v>4700641</v>
      </c>
      <c r="H238" s="53"/>
      <c r="I238" s="53">
        <v>4950807</v>
      </c>
      <c r="J238" s="53"/>
      <c r="K238" s="53">
        <f t="shared" si="41"/>
        <v>47409</v>
      </c>
      <c r="L238" s="53"/>
      <c r="M238" s="53">
        <v>452768</v>
      </c>
      <c r="N238" s="53"/>
      <c r="O238" s="53">
        <v>500177</v>
      </c>
      <c r="P238" s="53"/>
      <c r="Q238" s="53">
        <v>4235519</v>
      </c>
      <c r="R238" s="53"/>
      <c r="S238" s="53">
        <v>0</v>
      </c>
      <c r="T238" s="53"/>
      <c r="U238" s="53">
        <v>215111</v>
      </c>
      <c r="V238" s="53"/>
      <c r="W238" s="53">
        <f t="shared" si="42"/>
        <v>4450630</v>
      </c>
      <c r="X238" s="51"/>
      <c r="Y238" s="51"/>
      <c r="Z238" s="35" t="s">
        <v>268</v>
      </c>
      <c r="AA238" s="53"/>
      <c r="AB238" s="35" t="s">
        <v>269</v>
      </c>
      <c r="AC238" s="51"/>
      <c r="AD238" s="53">
        <v>688998</v>
      </c>
      <c r="AE238" s="53"/>
      <c r="AF238" s="53">
        <v>652638</v>
      </c>
      <c r="AG238" s="53"/>
      <c r="AH238" s="53">
        <v>143640</v>
      </c>
      <c r="AI238" s="53"/>
      <c r="AJ238" s="45">
        <f t="shared" si="44"/>
        <v>-107280</v>
      </c>
      <c r="AK238" s="45"/>
      <c r="AL238" s="53">
        <v>38721</v>
      </c>
      <c r="AM238" s="45"/>
      <c r="AN238" s="53">
        <v>0</v>
      </c>
      <c r="AO238" s="53"/>
      <c r="AP238" s="53">
        <v>0</v>
      </c>
      <c r="AQ238" s="53"/>
      <c r="AR238" s="53">
        <v>0</v>
      </c>
      <c r="AS238" s="53"/>
      <c r="AT238" s="45">
        <f t="shared" si="45"/>
        <v>-68559</v>
      </c>
      <c r="AU238" s="45"/>
      <c r="AV238" s="53">
        <v>0</v>
      </c>
      <c r="AW238" s="53"/>
      <c r="AX238" s="53">
        <v>0</v>
      </c>
      <c r="AY238" s="53"/>
      <c r="AZ238" s="53">
        <f t="shared" si="46"/>
        <v>202757</v>
      </c>
      <c r="BA238" s="51"/>
      <c r="BB238" s="35" t="s">
        <v>268</v>
      </c>
      <c r="BD238" s="35" t="s">
        <v>269</v>
      </c>
      <c r="BE238" s="53"/>
      <c r="BF238" s="53">
        <v>0</v>
      </c>
      <c r="BG238" s="53"/>
      <c r="BH238" s="53">
        <v>0</v>
      </c>
      <c r="BI238" s="53"/>
      <c r="BJ238" s="53">
        <v>446582</v>
      </c>
      <c r="BK238" s="53"/>
      <c r="BL238" s="53">
        <v>6186</v>
      </c>
      <c r="BM238" s="53"/>
      <c r="BN238" s="53">
        <f t="shared" si="43"/>
        <v>452768</v>
      </c>
      <c r="BO238" s="54"/>
      <c r="BS238" s="55"/>
      <c r="BT238" s="55"/>
      <c r="BU238" s="84"/>
      <c r="BV238" s="55"/>
      <c r="BW238" s="55"/>
      <c r="BX238" s="55"/>
      <c r="BY238" s="55"/>
      <c r="BZ238" s="55"/>
      <c r="CA238" s="55"/>
      <c r="CB238" s="55"/>
      <c r="CC238" s="55"/>
      <c r="CD238" s="55"/>
      <c r="CE238" s="55"/>
      <c r="CF238" s="55"/>
      <c r="CG238" s="55"/>
      <c r="CH238" s="55"/>
      <c r="CI238" s="55"/>
      <c r="CJ238" s="55"/>
      <c r="CK238" s="55"/>
      <c r="CL238" s="55"/>
      <c r="CM238" s="55"/>
      <c r="CN238" s="55"/>
      <c r="CO238" s="55"/>
      <c r="CP238" s="55"/>
      <c r="CQ238" s="55"/>
    </row>
    <row r="239" spans="1:95" s="35" customFormat="1" ht="12.75" customHeight="1">
      <c r="A239" s="35" t="s">
        <v>270</v>
      </c>
      <c r="B239" s="51"/>
      <c r="C239" s="35" t="s">
        <v>136</v>
      </c>
      <c r="D239" s="44"/>
      <c r="E239" s="53">
        <f>I239-G239</f>
        <v>352698</v>
      </c>
      <c r="F239" s="53"/>
      <c r="G239" s="53">
        <v>2403059</v>
      </c>
      <c r="H239" s="53"/>
      <c r="I239" s="53">
        <v>2755757</v>
      </c>
      <c r="J239" s="53"/>
      <c r="K239" s="53">
        <f>O239-M239</f>
        <v>768278</v>
      </c>
      <c r="L239" s="53"/>
      <c r="M239" s="53">
        <v>875035</v>
      </c>
      <c r="N239" s="53"/>
      <c r="O239" s="53">
        <v>1643313</v>
      </c>
      <c r="P239" s="53"/>
      <c r="Q239" s="53">
        <v>1345263</v>
      </c>
      <c r="R239" s="53"/>
      <c r="S239" s="53">
        <v>0</v>
      </c>
      <c r="T239" s="53"/>
      <c r="U239" s="53">
        <v>-232819</v>
      </c>
      <c r="V239" s="53"/>
      <c r="W239" s="53">
        <f>SUM(Q239:U239)</f>
        <v>1112444</v>
      </c>
      <c r="X239" s="51"/>
      <c r="Y239" s="51"/>
      <c r="Z239" s="35" t="s">
        <v>270</v>
      </c>
      <c r="AA239" s="53"/>
      <c r="AB239" s="35" t="s">
        <v>136</v>
      </c>
      <c r="AC239" s="51"/>
      <c r="AD239" s="53">
        <v>1441873</v>
      </c>
      <c r="AE239" s="53"/>
      <c r="AF239" s="53">
        <v>1273630</v>
      </c>
      <c r="AG239" s="53"/>
      <c r="AH239" s="53">
        <v>77982</v>
      </c>
      <c r="AI239" s="53"/>
      <c r="AJ239" s="45">
        <f>+AD239-AF239-AH239</f>
        <v>90261</v>
      </c>
      <c r="AK239" s="45"/>
      <c r="AL239" s="53">
        <v>-22991</v>
      </c>
      <c r="AM239" s="45"/>
      <c r="AN239" s="53">
        <v>0</v>
      </c>
      <c r="AO239" s="53"/>
      <c r="AP239" s="53">
        <v>0</v>
      </c>
      <c r="AQ239" s="53"/>
      <c r="AR239" s="53">
        <v>116831</v>
      </c>
      <c r="AS239" s="53"/>
      <c r="AT239" s="45">
        <f>+AJ239+AL239+AN239-AP239+AR239</f>
        <v>184101</v>
      </c>
      <c r="AU239" s="45"/>
      <c r="AV239" s="53">
        <v>0</v>
      </c>
      <c r="AW239" s="53"/>
      <c r="AX239" s="53">
        <v>0</v>
      </c>
      <c r="AY239" s="53"/>
      <c r="AZ239" s="53">
        <f>E239-K239</f>
        <v>-415580</v>
      </c>
      <c r="BA239" s="51"/>
      <c r="BB239" s="35" t="s">
        <v>270</v>
      </c>
      <c r="BD239" s="35" t="s">
        <v>136</v>
      </c>
      <c r="BE239" s="53"/>
      <c r="BF239" s="53">
        <v>0</v>
      </c>
      <c r="BG239" s="53"/>
      <c r="BH239" s="53">
        <v>71429</v>
      </c>
      <c r="BI239" s="53"/>
      <c r="BJ239" s="53">
        <v>739326</v>
      </c>
      <c r="BK239" s="53"/>
      <c r="BL239" s="53">
        <v>64280</v>
      </c>
      <c r="BM239" s="53"/>
      <c r="BN239" s="53">
        <f>SUM(BF239:BL239)</f>
        <v>875035</v>
      </c>
      <c r="BO239" s="54"/>
      <c r="BS239" s="55"/>
      <c r="BT239" s="55"/>
      <c r="BU239" s="84"/>
      <c r="BV239" s="55"/>
      <c r="BW239" s="55"/>
      <c r="BX239" s="55"/>
      <c r="BY239" s="55"/>
      <c r="BZ239" s="55"/>
      <c r="CA239" s="55"/>
      <c r="CB239" s="55"/>
      <c r="CC239" s="55"/>
      <c r="CD239" s="55"/>
      <c r="CE239" s="55"/>
      <c r="CF239" s="55"/>
      <c r="CG239" s="55"/>
      <c r="CH239" s="55"/>
      <c r="CI239" s="55"/>
      <c r="CJ239" s="55"/>
      <c r="CK239" s="55"/>
      <c r="CL239" s="55"/>
      <c r="CM239" s="55"/>
      <c r="CN239" s="55"/>
      <c r="CO239" s="55"/>
      <c r="CP239" s="55"/>
      <c r="CQ239" s="55"/>
    </row>
    <row r="240" spans="1:95" s="35" customFormat="1" ht="12.75" customHeight="1">
      <c r="A240" s="35" t="s">
        <v>271</v>
      </c>
      <c r="B240" s="51"/>
      <c r="C240" s="35" t="s">
        <v>66</v>
      </c>
      <c r="D240" s="44"/>
      <c r="E240" s="53">
        <f t="shared" si="40"/>
        <v>799111</v>
      </c>
      <c r="F240" s="53"/>
      <c r="G240" s="53">
        <v>5124336</v>
      </c>
      <c r="H240" s="53"/>
      <c r="I240" s="53">
        <v>5923447</v>
      </c>
      <c r="J240" s="53"/>
      <c r="K240" s="53">
        <f t="shared" si="41"/>
        <v>194454</v>
      </c>
      <c r="L240" s="53"/>
      <c r="M240" s="53">
        <v>3794115</v>
      </c>
      <c r="N240" s="53"/>
      <c r="O240" s="53">
        <v>3988569</v>
      </c>
      <c r="P240" s="53"/>
      <c r="Q240" s="53">
        <v>1217240</v>
      </c>
      <c r="R240" s="53"/>
      <c r="S240" s="53">
        <v>0</v>
      </c>
      <c r="T240" s="53"/>
      <c r="U240" s="53">
        <v>717638</v>
      </c>
      <c r="V240" s="53"/>
      <c r="W240" s="53">
        <f t="shared" si="42"/>
        <v>1934878</v>
      </c>
      <c r="X240" s="51"/>
      <c r="Y240" s="51"/>
      <c r="Z240" s="35" t="s">
        <v>271</v>
      </c>
      <c r="AA240" s="53"/>
      <c r="AB240" s="35" t="s">
        <v>66</v>
      </c>
      <c r="AC240" s="51"/>
      <c r="AD240" s="53">
        <v>1544568</v>
      </c>
      <c r="AE240" s="53"/>
      <c r="AF240" s="53">
        <v>1124196</v>
      </c>
      <c r="AG240" s="53"/>
      <c r="AH240" s="53">
        <v>400555</v>
      </c>
      <c r="AI240" s="53"/>
      <c r="AJ240" s="45">
        <f t="shared" si="44"/>
        <v>19817</v>
      </c>
      <c r="AK240" s="45"/>
      <c r="AL240" s="53">
        <v>-129971</v>
      </c>
      <c r="AM240" s="45"/>
      <c r="AN240" s="53">
        <v>0</v>
      </c>
      <c r="AO240" s="53"/>
      <c r="AP240" s="53">
        <v>0</v>
      </c>
      <c r="AQ240" s="53"/>
      <c r="AR240" s="53">
        <v>0</v>
      </c>
      <c r="AS240" s="53"/>
      <c r="AT240" s="45">
        <f t="shared" si="45"/>
        <v>-110154</v>
      </c>
      <c r="AU240" s="45"/>
      <c r="AV240" s="53">
        <v>0</v>
      </c>
      <c r="AW240" s="53"/>
      <c r="AX240" s="53">
        <v>0</v>
      </c>
      <c r="AY240" s="53"/>
      <c r="AZ240" s="53">
        <f t="shared" si="46"/>
        <v>604657</v>
      </c>
      <c r="BA240" s="51"/>
      <c r="BB240" s="35" t="s">
        <v>271</v>
      </c>
      <c r="BD240" s="35" t="s">
        <v>66</v>
      </c>
      <c r="BE240" s="53"/>
      <c r="BF240" s="53">
        <v>0</v>
      </c>
      <c r="BG240" s="53"/>
      <c r="BH240" s="53">
        <v>0</v>
      </c>
      <c r="BI240" s="53"/>
      <c r="BJ240" s="53">
        <v>3765948</v>
      </c>
      <c r="BK240" s="53"/>
      <c r="BL240" s="53">
        <v>28167</v>
      </c>
      <c r="BM240" s="53"/>
      <c r="BN240" s="53">
        <f t="shared" si="43"/>
        <v>3794115</v>
      </c>
      <c r="BO240" s="54"/>
      <c r="BS240" s="55"/>
      <c r="BT240" s="55"/>
      <c r="BU240" s="84"/>
      <c r="BV240" s="55"/>
      <c r="BW240" s="55"/>
      <c r="BX240" s="55"/>
      <c r="BY240" s="55"/>
      <c r="BZ240" s="55"/>
      <c r="CA240" s="55"/>
      <c r="CB240" s="55"/>
      <c r="CC240" s="55"/>
      <c r="CD240" s="55"/>
      <c r="CE240" s="55"/>
      <c r="CF240" s="55"/>
      <c r="CG240" s="55"/>
      <c r="CH240" s="55"/>
      <c r="CI240" s="55"/>
      <c r="CJ240" s="55"/>
      <c r="CK240" s="55"/>
      <c r="CL240" s="55"/>
      <c r="CM240" s="55"/>
      <c r="CN240" s="55"/>
      <c r="CO240" s="55"/>
      <c r="CP240" s="55"/>
      <c r="CQ240" s="55"/>
    </row>
    <row r="241" spans="1:95" s="35" customFormat="1" ht="12.75" customHeight="1">
      <c r="A241" s="35" t="s">
        <v>272</v>
      </c>
      <c r="B241" s="51"/>
      <c r="C241" s="35" t="s">
        <v>43</v>
      </c>
      <c r="D241" s="44"/>
      <c r="E241" s="53">
        <f t="shared" si="40"/>
        <v>8520699</v>
      </c>
      <c r="F241" s="53"/>
      <c r="G241" s="53">
        <v>27760084</v>
      </c>
      <c r="H241" s="53"/>
      <c r="I241" s="53">
        <v>36280783</v>
      </c>
      <c r="J241" s="53"/>
      <c r="K241" s="53">
        <f t="shared" si="41"/>
        <v>771969</v>
      </c>
      <c r="L241" s="53"/>
      <c r="M241" s="53">
        <v>4122511</v>
      </c>
      <c r="N241" s="53"/>
      <c r="O241" s="53">
        <v>4894480</v>
      </c>
      <c r="P241" s="53"/>
      <c r="Q241" s="53">
        <v>22201347</v>
      </c>
      <c r="R241" s="53"/>
      <c r="S241" s="53">
        <v>0</v>
      </c>
      <c r="T241" s="53"/>
      <c r="U241" s="53">
        <v>9184956</v>
      </c>
      <c r="V241" s="53"/>
      <c r="W241" s="53">
        <f t="shared" si="42"/>
        <v>31386303</v>
      </c>
      <c r="X241" s="51"/>
      <c r="Y241" s="51"/>
      <c r="Z241" s="35" t="s">
        <v>272</v>
      </c>
      <c r="AA241" s="53"/>
      <c r="AB241" s="35" t="s">
        <v>43</v>
      </c>
      <c r="AC241" s="51"/>
      <c r="AD241" s="53">
        <v>2970341</v>
      </c>
      <c r="AE241" s="53"/>
      <c r="AF241" s="53">
        <v>2311824</v>
      </c>
      <c r="AG241" s="53"/>
      <c r="AH241" s="53">
        <v>827756</v>
      </c>
      <c r="AI241" s="53"/>
      <c r="AJ241" s="45">
        <f t="shared" si="44"/>
        <v>-169239</v>
      </c>
      <c r="AK241" s="45"/>
      <c r="AL241" s="53">
        <v>399047</v>
      </c>
      <c r="AM241" s="45"/>
      <c r="AN241" s="53">
        <v>0</v>
      </c>
      <c r="AO241" s="53"/>
      <c r="AP241" s="53">
        <v>0</v>
      </c>
      <c r="AQ241" s="53"/>
      <c r="AR241" s="53">
        <v>533660</v>
      </c>
      <c r="AS241" s="53"/>
      <c r="AT241" s="45">
        <f t="shared" si="45"/>
        <v>763468</v>
      </c>
      <c r="AU241" s="45"/>
      <c r="AV241" s="53">
        <v>0</v>
      </c>
      <c r="AW241" s="53"/>
      <c r="AX241" s="53">
        <v>0</v>
      </c>
      <c r="AY241" s="53"/>
      <c r="AZ241" s="53">
        <f t="shared" si="46"/>
        <v>7748730</v>
      </c>
      <c r="BA241" s="51"/>
      <c r="BB241" s="35" t="s">
        <v>272</v>
      </c>
      <c r="BD241" s="35" t="s">
        <v>43</v>
      </c>
      <c r="BE241" s="53"/>
      <c r="BF241" s="53">
        <v>2276656</v>
      </c>
      <c r="BG241" s="53"/>
      <c r="BH241" s="53">
        <v>0</v>
      </c>
      <c r="BI241" s="53"/>
      <c r="BJ241" s="53">
        <v>1724213</v>
      </c>
      <c r="BK241" s="53"/>
      <c r="BL241" s="53">
        <v>121642</v>
      </c>
      <c r="BM241" s="53"/>
      <c r="BN241" s="53">
        <f t="shared" si="43"/>
        <v>4122511</v>
      </c>
      <c r="BO241" s="54"/>
      <c r="BS241" s="55"/>
      <c r="BT241" s="55"/>
      <c r="BU241" s="84"/>
      <c r="BV241" s="55"/>
      <c r="BW241" s="55"/>
      <c r="BX241" s="55"/>
      <c r="BY241" s="55"/>
      <c r="BZ241" s="55"/>
      <c r="CA241" s="55"/>
      <c r="CB241" s="55"/>
      <c r="CC241" s="55"/>
      <c r="CD241" s="55"/>
      <c r="CE241" s="55"/>
      <c r="CF241" s="55"/>
      <c r="CG241" s="55"/>
      <c r="CH241" s="55"/>
      <c r="CI241" s="55"/>
      <c r="CJ241" s="55"/>
      <c r="CK241" s="55"/>
      <c r="CL241" s="55"/>
      <c r="CM241" s="55"/>
      <c r="CN241" s="55"/>
      <c r="CO241" s="55"/>
      <c r="CP241" s="55"/>
      <c r="CQ241" s="55"/>
    </row>
    <row r="242" spans="1:95" s="142" customFormat="1" ht="12.75" hidden="1" customHeight="1">
      <c r="A242" s="142" t="s">
        <v>273</v>
      </c>
      <c r="B242" s="140"/>
      <c r="C242" s="142" t="s">
        <v>27</v>
      </c>
      <c r="D242" s="137"/>
      <c r="E242" s="156">
        <f t="shared" si="40"/>
        <v>0</v>
      </c>
      <c r="F242" s="156"/>
      <c r="G242" s="156">
        <v>0</v>
      </c>
      <c r="H242" s="156"/>
      <c r="I242" s="156">
        <v>0</v>
      </c>
      <c r="J242" s="156"/>
      <c r="K242" s="156">
        <f t="shared" si="41"/>
        <v>0</v>
      </c>
      <c r="L242" s="156"/>
      <c r="M242" s="156">
        <v>0</v>
      </c>
      <c r="N242" s="156"/>
      <c r="O242" s="156">
        <v>0</v>
      </c>
      <c r="P242" s="156"/>
      <c r="Q242" s="156">
        <v>0</v>
      </c>
      <c r="R242" s="156"/>
      <c r="S242" s="156">
        <v>0</v>
      </c>
      <c r="T242" s="156"/>
      <c r="U242" s="156">
        <v>0</v>
      </c>
      <c r="V242" s="156"/>
      <c r="W242" s="156">
        <f t="shared" si="42"/>
        <v>0</v>
      </c>
      <c r="X242" s="140"/>
      <c r="Y242" s="140"/>
      <c r="Z242" s="142" t="s">
        <v>273</v>
      </c>
      <c r="AA242" s="156"/>
      <c r="AB242" s="142" t="s">
        <v>27</v>
      </c>
      <c r="AC242" s="140"/>
      <c r="AD242" s="156">
        <v>0</v>
      </c>
      <c r="AE242" s="156"/>
      <c r="AF242" s="156">
        <v>0</v>
      </c>
      <c r="AG242" s="156"/>
      <c r="AH242" s="156">
        <v>0</v>
      </c>
      <c r="AI242" s="156"/>
      <c r="AJ242" s="143">
        <f t="shared" si="44"/>
        <v>0</v>
      </c>
      <c r="AK242" s="143"/>
      <c r="AL242" s="156">
        <v>0</v>
      </c>
      <c r="AM242" s="143"/>
      <c r="AN242" s="156">
        <v>0</v>
      </c>
      <c r="AO242" s="156"/>
      <c r="AP242" s="156">
        <v>0</v>
      </c>
      <c r="AQ242" s="156"/>
      <c r="AR242" s="156">
        <v>0</v>
      </c>
      <c r="AS242" s="156"/>
      <c r="AT242" s="143">
        <f t="shared" si="45"/>
        <v>0</v>
      </c>
      <c r="AU242" s="143"/>
      <c r="AV242" s="156">
        <v>0</v>
      </c>
      <c r="AW242" s="156"/>
      <c r="AX242" s="156">
        <v>0</v>
      </c>
      <c r="AY242" s="156"/>
      <c r="AZ242" s="156">
        <f t="shared" si="46"/>
        <v>0</v>
      </c>
      <c r="BA242" s="140"/>
      <c r="BB242" s="142" t="s">
        <v>273</v>
      </c>
      <c r="BD242" s="142" t="s">
        <v>27</v>
      </c>
      <c r="BE242" s="156"/>
      <c r="BF242" s="156">
        <v>0</v>
      </c>
      <c r="BG242" s="156"/>
      <c r="BH242" s="156">
        <v>0</v>
      </c>
      <c r="BI242" s="156"/>
      <c r="BJ242" s="156">
        <v>0</v>
      </c>
      <c r="BK242" s="156"/>
      <c r="BL242" s="156">
        <v>0</v>
      </c>
      <c r="BM242" s="156"/>
      <c r="BN242" s="156">
        <f t="shared" si="43"/>
        <v>0</v>
      </c>
      <c r="BO242" s="158"/>
      <c r="BS242" s="159"/>
      <c r="BT242" s="159"/>
      <c r="BU242" s="160"/>
      <c r="BV242" s="159"/>
      <c r="BW242" s="159"/>
      <c r="BX242" s="159"/>
      <c r="BY242" s="159"/>
      <c r="BZ242" s="159"/>
      <c r="CA242" s="159"/>
      <c r="CB242" s="159"/>
      <c r="CC242" s="159"/>
      <c r="CD242" s="159"/>
      <c r="CE242" s="159"/>
      <c r="CF242" s="159"/>
      <c r="CG242" s="159"/>
      <c r="CH242" s="159"/>
      <c r="CI242" s="159"/>
      <c r="CJ242" s="159"/>
      <c r="CK242" s="159"/>
      <c r="CL242" s="159"/>
      <c r="CM242" s="159"/>
      <c r="CN242" s="159"/>
      <c r="CO242" s="159"/>
      <c r="CP242" s="159"/>
      <c r="CQ242" s="159"/>
    </row>
    <row r="243" spans="1:95" s="142" customFormat="1" ht="12.75" hidden="1" customHeight="1">
      <c r="A243" s="142" t="s">
        <v>274</v>
      </c>
      <c r="B243" s="140"/>
      <c r="C243" s="142" t="s">
        <v>43</v>
      </c>
      <c r="D243" s="137"/>
      <c r="E243" s="156">
        <f t="shared" si="40"/>
        <v>0</v>
      </c>
      <c r="F243" s="156"/>
      <c r="G243" s="156">
        <v>0</v>
      </c>
      <c r="H243" s="156"/>
      <c r="I243" s="156">
        <v>0</v>
      </c>
      <c r="J243" s="156"/>
      <c r="K243" s="156">
        <f t="shared" si="41"/>
        <v>0</v>
      </c>
      <c r="L243" s="156"/>
      <c r="M243" s="156">
        <v>0</v>
      </c>
      <c r="N243" s="156"/>
      <c r="O243" s="156">
        <v>0</v>
      </c>
      <c r="P243" s="156"/>
      <c r="Q243" s="156">
        <v>0</v>
      </c>
      <c r="R243" s="156"/>
      <c r="S243" s="156">
        <v>0</v>
      </c>
      <c r="T243" s="156"/>
      <c r="U243" s="156">
        <v>0</v>
      </c>
      <c r="V243" s="156"/>
      <c r="W243" s="156">
        <f t="shared" si="42"/>
        <v>0</v>
      </c>
      <c r="X243" s="140"/>
      <c r="Y243" s="140"/>
      <c r="Z243" s="142" t="s">
        <v>274</v>
      </c>
      <c r="AA243" s="156"/>
      <c r="AB243" s="142" t="s">
        <v>43</v>
      </c>
      <c r="AC243" s="140"/>
      <c r="AD243" s="156">
        <v>0</v>
      </c>
      <c r="AE243" s="156"/>
      <c r="AF243" s="156">
        <v>0</v>
      </c>
      <c r="AG243" s="156"/>
      <c r="AH243" s="156">
        <v>0</v>
      </c>
      <c r="AI243" s="156"/>
      <c r="AJ243" s="143">
        <f t="shared" si="44"/>
        <v>0</v>
      </c>
      <c r="AK243" s="143"/>
      <c r="AL243" s="156">
        <v>0</v>
      </c>
      <c r="AM243" s="143"/>
      <c r="AN243" s="156">
        <v>0</v>
      </c>
      <c r="AO243" s="156"/>
      <c r="AP243" s="156">
        <v>0</v>
      </c>
      <c r="AQ243" s="156"/>
      <c r="AR243" s="156">
        <v>0</v>
      </c>
      <c r="AS243" s="156"/>
      <c r="AT243" s="143">
        <f t="shared" si="45"/>
        <v>0</v>
      </c>
      <c r="AU243" s="143"/>
      <c r="AV243" s="156">
        <v>0</v>
      </c>
      <c r="AW243" s="156"/>
      <c r="AX243" s="156">
        <v>0</v>
      </c>
      <c r="AY243" s="156"/>
      <c r="AZ243" s="156">
        <f t="shared" si="46"/>
        <v>0</v>
      </c>
      <c r="BA243" s="140"/>
      <c r="BB243" s="142" t="s">
        <v>274</v>
      </c>
      <c r="BD243" s="142" t="s">
        <v>43</v>
      </c>
      <c r="BE243" s="156"/>
      <c r="BF243" s="156">
        <v>0</v>
      </c>
      <c r="BG243" s="156"/>
      <c r="BH243" s="156">
        <v>0</v>
      </c>
      <c r="BI243" s="156"/>
      <c r="BJ243" s="156">
        <v>0</v>
      </c>
      <c r="BK243" s="156"/>
      <c r="BL243" s="156">
        <v>0</v>
      </c>
      <c r="BM243" s="156"/>
      <c r="BN243" s="156">
        <f t="shared" si="43"/>
        <v>0</v>
      </c>
      <c r="BO243" s="158"/>
      <c r="BS243" s="159"/>
      <c r="BT243" s="159"/>
      <c r="BU243" s="160"/>
      <c r="BV243" s="159"/>
      <c r="BW243" s="159"/>
      <c r="BX243" s="159"/>
      <c r="BY243" s="159"/>
      <c r="BZ243" s="159"/>
      <c r="CA243" s="159"/>
      <c r="CB243" s="159"/>
      <c r="CC243" s="159"/>
      <c r="CD243" s="159"/>
      <c r="CE243" s="159"/>
      <c r="CF243" s="159"/>
      <c r="CG243" s="159"/>
      <c r="CH243" s="159"/>
      <c r="CI243" s="159"/>
      <c r="CJ243" s="159"/>
      <c r="CK243" s="159"/>
      <c r="CL243" s="159"/>
      <c r="CM243" s="159"/>
      <c r="CN243" s="159"/>
      <c r="CO243" s="159"/>
      <c r="CP243" s="159"/>
      <c r="CQ243" s="159"/>
    </row>
    <row r="244" spans="1:95" s="142" customFormat="1" ht="12.75" hidden="1" customHeight="1">
      <c r="A244" s="142" t="s">
        <v>275</v>
      </c>
      <c r="B244" s="140"/>
      <c r="C244" s="142" t="s">
        <v>92</v>
      </c>
      <c r="D244" s="137"/>
      <c r="E244" s="156">
        <f t="shared" si="40"/>
        <v>0</v>
      </c>
      <c r="F244" s="156"/>
      <c r="G244" s="156">
        <v>0</v>
      </c>
      <c r="H244" s="156"/>
      <c r="I244" s="156">
        <v>0</v>
      </c>
      <c r="J244" s="156"/>
      <c r="K244" s="156">
        <f t="shared" si="41"/>
        <v>0</v>
      </c>
      <c r="L244" s="156"/>
      <c r="M244" s="156">
        <v>0</v>
      </c>
      <c r="N244" s="156"/>
      <c r="O244" s="156">
        <v>0</v>
      </c>
      <c r="P244" s="156"/>
      <c r="Q244" s="156">
        <v>0</v>
      </c>
      <c r="R244" s="156"/>
      <c r="S244" s="156">
        <v>0</v>
      </c>
      <c r="T244" s="156"/>
      <c r="U244" s="156">
        <v>0</v>
      </c>
      <c r="V244" s="156"/>
      <c r="W244" s="156">
        <f t="shared" si="42"/>
        <v>0</v>
      </c>
      <c r="X244" s="140"/>
      <c r="Y244" s="140"/>
      <c r="Z244" s="142" t="s">
        <v>275</v>
      </c>
      <c r="AA244" s="156"/>
      <c r="AB244" s="142" t="s">
        <v>92</v>
      </c>
      <c r="AC244" s="140"/>
      <c r="AD244" s="156">
        <v>0</v>
      </c>
      <c r="AE244" s="156"/>
      <c r="AF244" s="156">
        <v>0</v>
      </c>
      <c r="AG244" s="156"/>
      <c r="AH244" s="156">
        <v>0</v>
      </c>
      <c r="AI244" s="156"/>
      <c r="AJ244" s="143">
        <f t="shared" si="44"/>
        <v>0</v>
      </c>
      <c r="AK244" s="143"/>
      <c r="AL244" s="156">
        <v>0</v>
      </c>
      <c r="AM244" s="143"/>
      <c r="AN244" s="156">
        <v>0</v>
      </c>
      <c r="AO244" s="156"/>
      <c r="AP244" s="156">
        <v>0</v>
      </c>
      <c r="AQ244" s="156"/>
      <c r="AR244" s="156">
        <v>0</v>
      </c>
      <c r="AS244" s="156"/>
      <c r="AT244" s="143">
        <f t="shared" si="45"/>
        <v>0</v>
      </c>
      <c r="AU244" s="143"/>
      <c r="AV244" s="156">
        <v>0</v>
      </c>
      <c r="AW244" s="156"/>
      <c r="AX244" s="156">
        <v>0</v>
      </c>
      <c r="AY244" s="156"/>
      <c r="AZ244" s="156">
        <f t="shared" si="46"/>
        <v>0</v>
      </c>
      <c r="BA244" s="140"/>
      <c r="BB244" s="142" t="s">
        <v>275</v>
      </c>
      <c r="BD244" s="142" t="s">
        <v>92</v>
      </c>
      <c r="BE244" s="156"/>
      <c r="BF244" s="156">
        <v>0</v>
      </c>
      <c r="BG244" s="156"/>
      <c r="BH244" s="156">
        <v>0</v>
      </c>
      <c r="BI244" s="156"/>
      <c r="BJ244" s="156">
        <v>0</v>
      </c>
      <c r="BK244" s="156"/>
      <c r="BL244" s="156">
        <v>0</v>
      </c>
      <c r="BM244" s="156"/>
      <c r="BN244" s="156">
        <f t="shared" si="43"/>
        <v>0</v>
      </c>
      <c r="BO244" s="158"/>
      <c r="BS244" s="159"/>
      <c r="BT244" s="159"/>
      <c r="BU244" s="160"/>
      <c r="BV244" s="159"/>
      <c r="BW244" s="159"/>
      <c r="BX244" s="159"/>
      <c r="BY244" s="159"/>
      <c r="BZ244" s="159"/>
      <c r="CA244" s="159"/>
      <c r="CB244" s="159"/>
      <c r="CC244" s="159"/>
      <c r="CD244" s="159"/>
      <c r="CE244" s="159"/>
      <c r="CF244" s="159"/>
      <c r="CG244" s="159"/>
      <c r="CH244" s="159"/>
      <c r="CI244" s="159"/>
      <c r="CJ244" s="159"/>
      <c r="CK244" s="159"/>
      <c r="CL244" s="159"/>
      <c r="CM244" s="159"/>
      <c r="CN244" s="159"/>
      <c r="CO244" s="159"/>
      <c r="CP244" s="159"/>
      <c r="CQ244" s="159"/>
    </row>
    <row r="245" spans="1:95" s="35" customFormat="1" ht="12.75" customHeight="1">
      <c r="A245" s="35" t="s">
        <v>276</v>
      </c>
      <c r="B245" s="51"/>
      <c r="C245" s="35" t="s">
        <v>38</v>
      </c>
      <c r="D245" s="44"/>
      <c r="E245" s="53">
        <f t="shared" si="40"/>
        <v>2493551</v>
      </c>
      <c r="F245" s="53"/>
      <c r="G245" s="53">
        <v>9299424</v>
      </c>
      <c r="H245" s="53"/>
      <c r="I245" s="53">
        <v>11792975</v>
      </c>
      <c r="J245" s="53"/>
      <c r="K245" s="53">
        <f t="shared" si="41"/>
        <v>741860</v>
      </c>
      <c r="L245" s="53"/>
      <c r="M245" s="53">
        <v>360214</v>
      </c>
      <c r="N245" s="53"/>
      <c r="O245" s="53">
        <v>1102074</v>
      </c>
      <c r="P245" s="53"/>
      <c r="Q245" s="53">
        <v>8387354</v>
      </c>
      <c r="R245" s="53"/>
      <c r="S245" s="53">
        <v>0</v>
      </c>
      <c r="T245" s="53"/>
      <c r="U245" s="53">
        <v>2303547</v>
      </c>
      <c r="V245" s="53"/>
      <c r="W245" s="53">
        <f t="shared" si="42"/>
        <v>10690901</v>
      </c>
      <c r="X245" s="51"/>
      <c r="Y245" s="51"/>
      <c r="Z245" s="35" t="s">
        <v>276</v>
      </c>
      <c r="AA245" s="53"/>
      <c r="AB245" s="35" t="s">
        <v>38</v>
      </c>
      <c r="AC245" s="51"/>
      <c r="AD245" s="53">
        <v>1535421</v>
      </c>
      <c r="AE245" s="53"/>
      <c r="AF245" s="53">
        <v>1079697</v>
      </c>
      <c r="AG245" s="53"/>
      <c r="AH245" s="53">
        <v>274944</v>
      </c>
      <c r="AI245" s="53"/>
      <c r="AJ245" s="45">
        <f t="shared" si="44"/>
        <v>180780</v>
      </c>
      <c r="AK245" s="45"/>
      <c r="AL245" s="53">
        <v>320754</v>
      </c>
      <c r="AM245" s="45"/>
      <c r="AN245" s="53">
        <v>656362</v>
      </c>
      <c r="AO245" s="53"/>
      <c r="AP245" s="53">
        <v>0</v>
      </c>
      <c r="AQ245" s="53"/>
      <c r="AR245" s="53">
        <v>0</v>
      </c>
      <c r="AS245" s="53"/>
      <c r="AT245" s="45">
        <f t="shared" si="45"/>
        <v>1157896</v>
      </c>
      <c r="AU245" s="45"/>
      <c r="AV245" s="53">
        <v>0</v>
      </c>
      <c r="AW245" s="53"/>
      <c r="AX245" s="53">
        <v>0</v>
      </c>
      <c r="AY245" s="53"/>
      <c r="AZ245" s="53">
        <f t="shared" si="46"/>
        <v>1751691</v>
      </c>
      <c r="BA245" s="51"/>
      <c r="BB245" s="35" t="s">
        <v>276</v>
      </c>
      <c r="BD245" s="35" t="s">
        <v>38</v>
      </c>
      <c r="BE245" s="53"/>
      <c r="BF245" s="53">
        <v>0</v>
      </c>
      <c r="BG245" s="53"/>
      <c r="BH245" s="53">
        <v>0</v>
      </c>
      <c r="BI245" s="53"/>
      <c r="BJ245" s="53">
        <v>324405</v>
      </c>
      <c r="BK245" s="53"/>
      <c r="BL245" s="53">
        <v>35809</v>
      </c>
      <c r="BM245" s="53"/>
      <c r="BN245" s="53">
        <f t="shared" si="43"/>
        <v>360214</v>
      </c>
      <c r="BO245" s="54"/>
      <c r="BS245" s="55"/>
      <c r="BT245" s="55"/>
      <c r="BU245" s="84"/>
      <c r="BV245" s="55"/>
      <c r="BW245" s="55"/>
      <c r="BX245" s="55"/>
      <c r="BY245" s="55"/>
      <c r="BZ245" s="55"/>
      <c r="CA245" s="55"/>
      <c r="CB245" s="55"/>
      <c r="CC245" s="55"/>
      <c r="CD245" s="55"/>
      <c r="CE245" s="55"/>
      <c r="CF245" s="55"/>
      <c r="CG245" s="55"/>
      <c r="CH245" s="55"/>
      <c r="CI245" s="55"/>
      <c r="CJ245" s="55"/>
      <c r="CK245" s="55"/>
      <c r="CL245" s="55"/>
      <c r="CM245" s="55"/>
      <c r="CN245" s="55"/>
      <c r="CO245" s="55"/>
      <c r="CP245" s="55"/>
      <c r="CQ245" s="55"/>
    </row>
    <row r="246" spans="1:95" s="142" customFormat="1" ht="12.75" hidden="1" customHeight="1">
      <c r="A246" s="142" t="s">
        <v>277</v>
      </c>
      <c r="B246" s="140"/>
      <c r="C246" s="142" t="s">
        <v>92</v>
      </c>
      <c r="D246" s="137"/>
      <c r="E246" s="156">
        <f t="shared" si="40"/>
        <v>0</v>
      </c>
      <c r="F246" s="156"/>
      <c r="G246" s="156">
        <v>0</v>
      </c>
      <c r="H246" s="156"/>
      <c r="I246" s="156">
        <v>0</v>
      </c>
      <c r="J246" s="156"/>
      <c r="K246" s="156">
        <f t="shared" si="41"/>
        <v>0</v>
      </c>
      <c r="L246" s="156"/>
      <c r="M246" s="156">
        <v>0</v>
      </c>
      <c r="N246" s="156"/>
      <c r="O246" s="156">
        <v>0</v>
      </c>
      <c r="P246" s="156"/>
      <c r="Q246" s="156">
        <v>0</v>
      </c>
      <c r="R246" s="156"/>
      <c r="S246" s="156">
        <v>0</v>
      </c>
      <c r="T246" s="156"/>
      <c r="U246" s="156">
        <v>0</v>
      </c>
      <c r="V246" s="156"/>
      <c r="W246" s="156">
        <f t="shared" si="42"/>
        <v>0</v>
      </c>
      <c r="X246" s="140"/>
      <c r="Y246" s="140"/>
      <c r="Z246" s="142" t="s">
        <v>277</v>
      </c>
      <c r="AA246" s="156"/>
      <c r="AB246" s="142" t="s">
        <v>92</v>
      </c>
      <c r="AC246" s="140"/>
      <c r="AD246" s="156">
        <v>0</v>
      </c>
      <c r="AE246" s="156"/>
      <c r="AF246" s="156">
        <v>0</v>
      </c>
      <c r="AG246" s="156"/>
      <c r="AH246" s="156">
        <v>0</v>
      </c>
      <c r="AI246" s="156"/>
      <c r="AJ246" s="143">
        <f t="shared" si="44"/>
        <v>0</v>
      </c>
      <c r="AK246" s="143"/>
      <c r="AL246" s="156">
        <v>0</v>
      </c>
      <c r="AM246" s="143"/>
      <c r="AN246" s="156">
        <v>0</v>
      </c>
      <c r="AO246" s="156"/>
      <c r="AP246" s="156">
        <v>0</v>
      </c>
      <c r="AQ246" s="156"/>
      <c r="AR246" s="156">
        <v>0</v>
      </c>
      <c r="AS246" s="156"/>
      <c r="AT246" s="143">
        <f t="shared" si="45"/>
        <v>0</v>
      </c>
      <c r="AU246" s="143"/>
      <c r="AV246" s="156">
        <v>0</v>
      </c>
      <c r="AW246" s="156"/>
      <c r="AX246" s="156">
        <v>0</v>
      </c>
      <c r="AY246" s="156"/>
      <c r="AZ246" s="156">
        <f t="shared" si="46"/>
        <v>0</v>
      </c>
      <c r="BA246" s="140"/>
      <c r="BB246" s="142" t="s">
        <v>277</v>
      </c>
      <c r="BD246" s="142" t="s">
        <v>92</v>
      </c>
      <c r="BE246" s="156"/>
      <c r="BF246" s="156">
        <v>0</v>
      </c>
      <c r="BG246" s="156"/>
      <c r="BH246" s="156">
        <v>0</v>
      </c>
      <c r="BI246" s="156"/>
      <c r="BJ246" s="156">
        <v>0</v>
      </c>
      <c r="BK246" s="156"/>
      <c r="BL246" s="156">
        <v>0</v>
      </c>
      <c r="BM246" s="156"/>
      <c r="BN246" s="156">
        <f t="shared" si="43"/>
        <v>0</v>
      </c>
      <c r="BO246" s="158"/>
      <c r="BP246" s="159"/>
      <c r="BS246" s="159"/>
      <c r="BT246" s="159"/>
      <c r="BU246" s="160"/>
      <c r="BV246" s="159"/>
      <c r="BW246" s="159"/>
      <c r="BX246" s="159"/>
      <c r="BY246" s="159"/>
      <c r="BZ246" s="159"/>
      <c r="CA246" s="159"/>
      <c r="CB246" s="159"/>
      <c r="CC246" s="159"/>
      <c r="CD246" s="159"/>
      <c r="CE246" s="159"/>
      <c r="CF246" s="159"/>
      <c r="CG246" s="159"/>
      <c r="CH246" s="159"/>
      <c r="CI246" s="159"/>
      <c r="CJ246" s="159"/>
      <c r="CK246" s="159"/>
      <c r="CL246" s="159"/>
      <c r="CM246" s="159"/>
      <c r="CN246" s="159"/>
      <c r="CO246" s="159"/>
      <c r="CP246" s="159"/>
      <c r="CQ246" s="159"/>
    </row>
    <row r="247" spans="1:95" s="142" customFormat="1" ht="12.75" hidden="1" customHeight="1">
      <c r="A247" s="142" t="s">
        <v>278</v>
      </c>
      <c r="B247" s="140"/>
      <c r="C247" s="142" t="s">
        <v>92</v>
      </c>
      <c r="D247" s="137"/>
      <c r="E247" s="156">
        <f t="shared" si="40"/>
        <v>0</v>
      </c>
      <c r="F247" s="156"/>
      <c r="G247" s="156"/>
      <c r="H247" s="156"/>
      <c r="I247" s="156"/>
      <c r="J247" s="156"/>
      <c r="K247" s="156">
        <f t="shared" si="41"/>
        <v>0</v>
      </c>
      <c r="L247" s="156"/>
      <c r="M247" s="156"/>
      <c r="N247" s="156"/>
      <c r="O247" s="156"/>
      <c r="P247" s="156"/>
      <c r="Q247" s="156"/>
      <c r="R247" s="156"/>
      <c r="S247" s="156"/>
      <c r="T247" s="156"/>
      <c r="U247" s="156"/>
      <c r="V247" s="156"/>
      <c r="W247" s="156">
        <f t="shared" si="42"/>
        <v>0</v>
      </c>
      <c r="X247" s="140"/>
      <c r="Y247" s="140"/>
      <c r="Z247" s="142" t="s">
        <v>278</v>
      </c>
      <c r="AA247" s="156"/>
      <c r="AB247" s="142" t="s">
        <v>92</v>
      </c>
      <c r="AC247" s="140"/>
      <c r="AD247" s="156"/>
      <c r="AE247" s="156"/>
      <c r="AF247" s="156"/>
      <c r="AG247" s="156"/>
      <c r="AH247" s="156"/>
      <c r="AI247" s="156"/>
      <c r="AJ247" s="143">
        <f t="shared" si="44"/>
        <v>0</v>
      </c>
      <c r="AK247" s="143"/>
      <c r="AL247" s="156"/>
      <c r="AM247" s="143"/>
      <c r="AN247" s="156"/>
      <c r="AO247" s="156"/>
      <c r="AP247" s="156"/>
      <c r="AQ247" s="156"/>
      <c r="AR247" s="156"/>
      <c r="AS247" s="156"/>
      <c r="AT247" s="143">
        <f t="shared" si="45"/>
        <v>0</v>
      </c>
      <c r="AU247" s="143"/>
      <c r="AV247" s="156">
        <v>0</v>
      </c>
      <c r="AW247" s="156"/>
      <c r="AX247" s="156">
        <v>0</v>
      </c>
      <c r="AY247" s="156"/>
      <c r="AZ247" s="156">
        <f t="shared" si="46"/>
        <v>0</v>
      </c>
      <c r="BA247" s="140"/>
      <c r="BB247" s="142" t="s">
        <v>278</v>
      </c>
      <c r="BD247" s="142" t="s">
        <v>92</v>
      </c>
      <c r="BE247" s="156"/>
      <c r="BF247" s="156"/>
      <c r="BG247" s="156"/>
      <c r="BH247" s="156"/>
      <c r="BI247" s="156"/>
      <c r="BJ247" s="156"/>
      <c r="BK247" s="156"/>
      <c r="BL247" s="156"/>
      <c r="BM247" s="156"/>
      <c r="BN247" s="156">
        <f t="shared" si="43"/>
        <v>0</v>
      </c>
      <c r="BO247" s="158"/>
      <c r="BS247" s="159"/>
      <c r="BT247" s="159"/>
      <c r="BU247" s="160"/>
      <c r="BV247" s="159"/>
      <c r="BW247" s="159"/>
      <c r="BX247" s="159"/>
      <c r="BY247" s="159"/>
      <c r="BZ247" s="159"/>
      <c r="CA247" s="159"/>
      <c r="CB247" s="159"/>
      <c r="CC247" s="159"/>
      <c r="CD247" s="159"/>
      <c r="CE247" s="159"/>
      <c r="CF247" s="159"/>
      <c r="CG247" s="159"/>
      <c r="CH247" s="159"/>
      <c r="CI247" s="159"/>
      <c r="CJ247" s="159"/>
      <c r="CK247" s="159"/>
      <c r="CL247" s="159"/>
      <c r="CM247" s="159"/>
      <c r="CN247" s="159"/>
      <c r="CO247" s="159"/>
      <c r="CP247" s="159"/>
      <c r="CQ247" s="159"/>
    </row>
    <row r="248" spans="1:95" s="142" customFormat="1" ht="12.75" hidden="1" customHeight="1">
      <c r="A248" s="142" t="s">
        <v>279</v>
      </c>
      <c r="B248" s="140"/>
      <c r="C248" s="142" t="s">
        <v>92</v>
      </c>
      <c r="D248" s="137"/>
      <c r="E248" s="156">
        <f t="shared" si="40"/>
        <v>0</v>
      </c>
      <c r="F248" s="156"/>
      <c r="G248" s="156">
        <v>0</v>
      </c>
      <c r="H248" s="156"/>
      <c r="I248" s="156">
        <v>0</v>
      </c>
      <c r="J248" s="156"/>
      <c r="K248" s="156">
        <f t="shared" si="41"/>
        <v>0</v>
      </c>
      <c r="L248" s="156"/>
      <c r="M248" s="156">
        <v>0</v>
      </c>
      <c r="N248" s="156"/>
      <c r="O248" s="156">
        <v>0</v>
      </c>
      <c r="P248" s="156"/>
      <c r="Q248" s="156">
        <v>0</v>
      </c>
      <c r="R248" s="156"/>
      <c r="S248" s="156">
        <v>0</v>
      </c>
      <c r="T248" s="156"/>
      <c r="U248" s="156">
        <v>0</v>
      </c>
      <c r="V248" s="156"/>
      <c r="W248" s="156">
        <f t="shared" si="42"/>
        <v>0</v>
      </c>
      <c r="X248" s="140"/>
      <c r="Y248" s="140"/>
      <c r="Z248" s="142" t="s">
        <v>279</v>
      </c>
      <c r="AA248" s="156"/>
      <c r="AB248" s="142" t="s">
        <v>92</v>
      </c>
      <c r="AC248" s="140"/>
      <c r="AD248" s="156">
        <v>0</v>
      </c>
      <c r="AE248" s="156"/>
      <c r="AF248" s="156">
        <v>0</v>
      </c>
      <c r="AG248" s="156"/>
      <c r="AH248" s="156">
        <v>0</v>
      </c>
      <c r="AI248" s="156"/>
      <c r="AJ248" s="143">
        <f t="shared" si="44"/>
        <v>0</v>
      </c>
      <c r="AK248" s="143"/>
      <c r="AL248" s="156">
        <v>0</v>
      </c>
      <c r="AM248" s="143"/>
      <c r="AN248" s="156">
        <v>0</v>
      </c>
      <c r="AO248" s="156"/>
      <c r="AP248" s="156">
        <v>0</v>
      </c>
      <c r="AQ248" s="156"/>
      <c r="AR248" s="156">
        <v>0</v>
      </c>
      <c r="AS248" s="156"/>
      <c r="AT248" s="143">
        <f t="shared" si="45"/>
        <v>0</v>
      </c>
      <c r="AU248" s="143"/>
      <c r="AV248" s="156">
        <v>0</v>
      </c>
      <c r="AW248" s="156"/>
      <c r="AX248" s="156">
        <v>0</v>
      </c>
      <c r="AY248" s="156"/>
      <c r="AZ248" s="156">
        <f t="shared" si="46"/>
        <v>0</v>
      </c>
      <c r="BA248" s="140"/>
      <c r="BB248" s="142" t="s">
        <v>279</v>
      </c>
      <c r="BD248" s="142" t="s">
        <v>92</v>
      </c>
      <c r="BE248" s="156"/>
      <c r="BF248" s="156">
        <v>0</v>
      </c>
      <c r="BG248" s="156"/>
      <c r="BH248" s="156">
        <v>0</v>
      </c>
      <c r="BI248" s="156"/>
      <c r="BJ248" s="156">
        <v>0</v>
      </c>
      <c r="BK248" s="156"/>
      <c r="BL248" s="156">
        <v>0</v>
      </c>
      <c r="BM248" s="156"/>
      <c r="BN248" s="156">
        <f t="shared" si="43"/>
        <v>0</v>
      </c>
      <c r="BO248" s="158"/>
      <c r="BS248" s="159"/>
      <c r="BT248" s="159"/>
      <c r="BU248" s="160"/>
      <c r="BV248" s="159"/>
      <c r="BW248" s="159"/>
      <c r="BX248" s="159"/>
      <c r="BY248" s="159"/>
      <c r="BZ248" s="159"/>
      <c r="CA248" s="159"/>
      <c r="CB248" s="159"/>
      <c r="CC248" s="159"/>
      <c r="CD248" s="159"/>
      <c r="CE248" s="159"/>
      <c r="CF248" s="159"/>
      <c r="CG248" s="159"/>
      <c r="CH248" s="159"/>
      <c r="CI248" s="159"/>
      <c r="CJ248" s="159"/>
      <c r="CK248" s="159"/>
      <c r="CL248" s="159"/>
      <c r="CM248" s="159"/>
      <c r="CN248" s="159"/>
      <c r="CO248" s="159"/>
      <c r="CP248" s="159"/>
      <c r="CQ248" s="159"/>
    </row>
    <row r="249" spans="1:95" s="35" customFormat="1" ht="12.75" customHeight="1">
      <c r="A249" s="35" t="s">
        <v>280</v>
      </c>
      <c r="B249" s="51"/>
      <c r="C249" s="35" t="s">
        <v>281</v>
      </c>
      <c r="D249" s="44"/>
      <c r="E249" s="53">
        <f t="shared" si="40"/>
        <v>4858233</v>
      </c>
      <c r="F249" s="53"/>
      <c r="G249" s="53">
        <v>22215204</v>
      </c>
      <c r="H249" s="53"/>
      <c r="I249" s="53">
        <v>27073437</v>
      </c>
      <c r="J249" s="53"/>
      <c r="K249" s="53">
        <f t="shared" si="41"/>
        <v>571298</v>
      </c>
      <c r="L249" s="53"/>
      <c r="M249" s="53">
        <v>14646277</v>
      </c>
      <c r="N249" s="53"/>
      <c r="O249" s="53">
        <v>15217575</v>
      </c>
      <c r="P249" s="53"/>
      <c r="Q249" s="53">
        <v>6210204</v>
      </c>
      <c r="R249" s="53"/>
      <c r="S249" s="53">
        <v>716154</v>
      </c>
      <c r="T249" s="53"/>
      <c r="U249" s="53">
        <v>4929504</v>
      </c>
      <c r="V249" s="53"/>
      <c r="W249" s="53">
        <f t="shared" si="42"/>
        <v>11855862</v>
      </c>
      <c r="X249" s="51"/>
      <c r="Y249" s="51"/>
      <c r="Z249" s="35" t="s">
        <v>280</v>
      </c>
      <c r="AA249" s="53"/>
      <c r="AB249" s="35" t="s">
        <v>281</v>
      </c>
      <c r="AC249" s="51"/>
      <c r="AD249" s="53">
        <v>3408034</v>
      </c>
      <c r="AE249" s="53"/>
      <c r="AF249" s="53">
        <v>2210187</v>
      </c>
      <c r="AG249" s="53"/>
      <c r="AH249" s="53">
        <v>678348</v>
      </c>
      <c r="AI249" s="53"/>
      <c r="AJ249" s="45">
        <f t="shared" si="44"/>
        <v>519499</v>
      </c>
      <c r="AK249" s="45"/>
      <c r="AL249" s="53">
        <v>-485498</v>
      </c>
      <c r="AM249" s="45"/>
      <c r="AN249" s="53">
        <v>0</v>
      </c>
      <c r="AO249" s="53"/>
      <c r="AP249" s="53">
        <v>0</v>
      </c>
      <c r="AQ249" s="53"/>
      <c r="AR249" s="53">
        <v>0</v>
      </c>
      <c r="AS249" s="53"/>
      <c r="AT249" s="45">
        <f t="shared" si="45"/>
        <v>34001</v>
      </c>
      <c r="AU249" s="45"/>
      <c r="AV249" s="53">
        <v>0</v>
      </c>
      <c r="AW249" s="53"/>
      <c r="AX249" s="53">
        <v>0</v>
      </c>
      <c r="AY249" s="53"/>
      <c r="AZ249" s="53">
        <f t="shared" si="46"/>
        <v>4286935</v>
      </c>
      <c r="BA249" s="51"/>
      <c r="BB249" s="35" t="s">
        <v>280</v>
      </c>
      <c r="BD249" s="35" t="s">
        <v>281</v>
      </c>
      <c r="BE249" s="53"/>
      <c r="BF249" s="53">
        <v>0</v>
      </c>
      <c r="BG249" s="53"/>
      <c r="BH249" s="53">
        <f>15555000-908723</f>
        <v>14646277</v>
      </c>
      <c r="BI249" s="53"/>
      <c r="BJ249" s="53">
        <v>0</v>
      </c>
      <c r="BK249" s="53"/>
      <c r="BL249" s="53">
        <v>0</v>
      </c>
      <c r="BM249" s="53"/>
      <c r="BN249" s="53">
        <f t="shared" si="43"/>
        <v>14646277</v>
      </c>
      <c r="BO249" s="54"/>
      <c r="BS249" s="55"/>
      <c r="BT249" s="55"/>
      <c r="BU249" s="84"/>
      <c r="BV249" s="55"/>
      <c r="BW249" s="55"/>
      <c r="BX249" s="55"/>
      <c r="BY249" s="55"/>
      <c r="BZ249" s="55"/>
      <c r="CA249" s="55"/>
      <c r="CB249" s="55"/>
      <c r="CC249" s="55"/>
      <c r="CD249" s="55"/>
      <c r="CE249" s="55"/>
      <c r="CF249" s="55"/>
      <c r="CG249" s="55"/>
      <c r="CH249" s="55"/>
      <c r="CI249" s="55"/>
      <c r="CJ249" s="55"/>
      <c r="CK249" s="55"/>
      <c r="CL249" s="55"/>
      <c r="CM249" s="55"/>
      <c r="CN249" s="55"/>
      <c r="CO249" s="55"/>
      <c r="CP249" s="55"/>
      <c r="CQ249" s="55"/>
    </row>
    <row r="250" spans="1:95" s="35" customFormat="1" ht="12.75" customHeight="1">
      <c r="A250" s="35" t="s">
        <v>282</v>
      </c>
      <c r="B250" s="51"/>
      <c r="C250" s="35" t="s">
        <v>199</v>
      </c>
      <c r="D250" s="44"/>
      <c r="E250" s="53">
        <f t="shared" si="40"/>
        <v>2059858</v>
      </c>
      <c r="F250" s="53"/>
      <c r="G250" s="53">
        <v>23861394</v>
      </c>
      <c r="H250" s="53"/>
      <c r="I250" s="53">
        <v>25921252</v>
      </c>
      <c r="J250" s="53"/>
      <c r="K250" s="53">
        <f t="shared" si="41"/>
        <v>1451199</v>
      </c>
      <c r="L250" s="53"/>
      <c r="M250" s="53">
        <v>4085995</v>
      </c>
      <c r="N250" s="53"/>
      <c r="O250" s="53">
        <v>5537194</v>
      </c>
      <c r="P250" s="53"/>
      <c r="Q250" s="53">
        <v>18840332</v>
      </c>
      <c r="R250" s="53"/>
      <c r="S250" s="53">
        <v>0</v>
      </c>
      <c r="T250" s="53"/>
      <c r="U250" s="53">
        <v>1543726</v>
      </c>
      <c r="V250" s="53"/>
      <c r="W250" s="53">
        <f t="shared" si="42"/>
        <v>20384058</v>
      </c>
      <c r="X250" s="51"/>
      <c r="Y250" s="51"/>
      <c r="Z250" s="35" t="s">
        <v>282</v>
      </c>
      <c r="AA250" s="53"/>
      <c r="AB250" s="35" t="s">
        <v>199</v>
      </c>
      <c r="AC250" s="51"/>
      <c r="AD250" s="53">
        <v>3915860</v>
      </c>
      <c r="AE250" s="53"/>
      <c r="AF250" s="53">
        <f>3891667-990725</f>
        <v>2900942</v>
      </c>
      <c r="AG250" s="53"/>
      <c r="AH250" s="53">
        <v>990725</v>
      </c>
      <c r="AI250" s="53"/>
      <c r="AJ250" s="45">
        <f t="shared" si="44"/>
        <v>24193</v>
      </c>
      <c r="AK250" s="45"/>
      <c r="AL250" s="53">
        <v>-121631</v>
      </c>
      <c r="AM250" s="45"/>
      <c r="AN250" s="53">
        <v>0</v>
      </c>
      <c r="AO250" s="53"/>
      <c r="AP250" s="53">
        <v>0</v>
      </c>
      <c r="AQ250" s="53"/>
      <c r="AR250" s="53">
        <v>0</v>
      </c>
      <c r="AS250" s="53"/>
      <c r="AT250" s="45">
        <f t="shared" si="45"/>
        <v>-97438</v>
      </c>
      <c r="AU250" s="45"/>
      <c r="AV250" s="53">
        <v>0</v>
      </c>
      <c r="AW250" s="53"/>
      <c r="AX250" s="53">
        <v>0</v>
      </c>
      <c r="AY250" s="53"/>
      <c r="AZ250" s="53">
        <f t="shared" si="46"/>
        <v>608659</v>
      </c>
      <c r="BA250" s="51"/>
      <c r="BB250" s="35" t="s">
        <v>282</v>
      </c>
      <c r="BD250" s="35" t="s">
        <v>199</v>
      </c>
      <c r="BE250" s="53"/>
      <c r="BF250" s="53">
        <v>5307664</v>
      </c>
      <c r="BG250" s="53"/>
      <c r="BH250" s="53">
        <v>0</v>
      </c>
      <c r="BI250" s="53"/>
      <c r="BJ250" s="53">
        <v>16728366</v>
      </c>
      <c r="BK250" s="53"/>
      <c r="BL250" s="53">
        <v>0</v>
      </c>
      <c r="BM250" s="53"/>
      <c r="BN250" s="53">
        <f t="shared" si="43"/>
        <v>22036030</v>
      </c>
      <c r="BO250" s="54"/>
      <c r="BS250" s="55"/>
      <c r="BT250" s="55"/>
      <c r="BU250" s="84"/>
      <c r="BV250" s="55"/>
      <c r="BW250" s="55"/>
      <c r="BX250" s="55"/>
      <c r="BY250" s="55"/>
      <c r="BZ250" s="55"/>
      <c r="CA250" s="55"/>
      <c r="CB250" s="55"/>
      <c r="CC250" s="55"/>
      <c r="CD250" s="55"/>
      <c r="CE250" s="55"/>
      <c r="CF250" s="55"/>
      <c r="CG250" s="55"/>
      <c r="CH250" s="55"/>
      <c r="CI250" s="55"/>
      <c r="CJ250" s="55"/>
      <c r="CK250" s="55"/>
      <c r="CL250" s="55"/>
      <c r="CM250" s="55"/>
      <c r="CN250" s="55"/>
      <c r="CO250" s="55"/>
      <c r="CP250" s="55"/>
      <c r="CQ250" s="55"/>
    </row>
    <row r="251" spans="1:95" s="142" customFormat="1" ht="12.75" hidden="1" customHeight="1">
      <c r="A251" s="142" t="s">
        <v>283</v>
      </c>
      <c r="B251" s="140"/>
      <c r="C251" s="142" t="s">
        <v>43</v>
      </c>
      <c r="D251" s="137"/>
      <c r="E251" s="156">
        <f t="shared" si="40"/>
        <v>0</v>
      </c>
      <c r="F251" s="156"/>
      <c r="G251" s="156">
        <v>0</v>
      </c>
      <c r="H251" s="156"/>
      <c r="I251" s="156">
        <v>0</v>
      </c>
      <c r="J251" s="156"/>
      <c r="K251" s="156">
        <f t="shared" si="41"/>
        <v>0</v>
      </c>
      <c r="L251" s="156"/>
      <c r="M251" s="156">
        <v>0</v>
      </c>
      <c r="N251" s="156"/>
      <c r="O251" s="156">
        <v>0</v>
      </c>
      <c r="P251" s="156"/>
      <c r="Q251" s="156">
        <v>0</v>
      </c>
      <c r="R251" s="156"/>
      <c r="S251" s="156">
        <v>0</v>
      </c>
      <c r="T251" s="156"/>
      <c r="U251" s="156">
        <v>0</v>
      </c>
      <c r="V251" s="156"/>
      <c r="W251" s="156">
        <v>0</v>
      </c>
      <c r="X251" s="140"/>
      <c r="Y251" s="140"/>
      <c r="Z251" s="142" t="s">
        <v>283</v>
      </c>
      <c r="AA251" s="156"/>
      <c r="AB251" s="142" t="s">
        <v>43</v>
      </c>
      <c r="AC251" s="140"/>
      <c r="AD251" s="156">
        <v>0</v>
      </c>
      <c r="AE251" s="156"/>
      <c r="AF251" s="156">
        <v>0</v>
      </c>
      <c r="AG251" s="156"/>
      <c r="AH251" s="156">
        <v>0</v>
      </c>
      <c r="AI251" s="156"/>
      <c r="AJ251" s="143">
        <f t="shared" si="44"/>
        <v>0</v>
      </c>
      <c r="AK251" s="143"/>
      <c r="AL251" s="156">
        <v>0</v>
      </c>
      <c r="AM251" s="143"/>
      <c r="AN251" s="156">
        <v>0</v>
      </c>
      <c r="AO251" s="156"/>
      <c r="AP251" s="156">
        <v>0</v>
      </c>
      <c r="AQ251" s="156"/>
      <c r="AR251" s="156">
        <v>0</v>
      </c>
      <c r="AS251" s="156"/>
      <c r="AT251" s="143">
        <f t="shared" si="45"/>
        <v>0</v>
      </c>
      <c r="AU251" s="143"/>
      <c r="AV251" s="156">
        <v>0</v>
      </c>
      <c r="AW251" s="156"/>
      <c r="AX251" s="156">
        <v>0</v>
      </c>
      <c r="AY251" s="156"/>
      <c r="AZ251" s="156">
        <f t="shared" si="46"/>
        <v>0</v>
      </c>
      <c r="BA251" s="140"/>
      <c r="BB251" s="142" t="s">
        <v>283</v>
      </c>
      <c r="BD251" s="142" t="s">
        <v>43</v>
      </c>
      <c r="BE251" s="156"/>
      <c r="BF251" s="156">
        <v>0</v>
      </c>
      <c r="BG251" s="156"/>
      <c r="BH251" s="156">
        <v>0</v>
      </c>
      <c r="BI251" s="156"/>
      <c r="BJ251" s="156">
        <v>0</v>
      </c>
      <c r="BK251" s="156"/>
      <c r="BL251" s="156">
        <v>0</v>
      </c>
      <c r="BM251" s="156"/>
      <c r="BN251" s="156">
        <f t="shared" si="43"/>
        <v>0</v>
      </c>
      <c r="BO251" s="158"/>
      <c r="BS251" s="159"/>
      <c r="BT251" s="159"/>
      <c r="BU251" s="160"/>
      <c r="BV251" s="159"/>
      <c r="BW251" s="159"/>
      <c r="BX251" s="159"/>
      <c r="BY251" s="159"/>
      <c r="BZ251" s="159"/>
      <c r="CA251" s="159"/>
      <c r="CB251" s="159"/>
      <c r="CC251" s="159"/>
      <c r="CD251" s="159"/>
      <c r="CE251" s="159"/>
      <c r="CF251" s="159"/>
      <c r="CG251" s="159"/>
      <c r="CH251" s="159"/>
      <c r="CI251" s="159"/>
      <c r="CJ251" s="159"/>
      <c r="CK251" s="159"/>
      <c r="CL251" s="159"/>
      <c r="CM251" s="159"/>
      <c r="CN251" s="159"/>
      <c r="CO251" s="159"/>
      <c r="CP251" s="159"/>
      <c r="CQ251" s="159"/>
    </row>
    <row r="252" spans="1:95" s="35" customFormat="1" ht="12.75" customHeight="1">
      <c r="A252" s="35" t="s">
        <v>284</v>
      </c>
      <c r="B252" s="51"/>
      <c r="C252" s="35" t="s">
        <v>45</v>
      </c>
      <c r="D252" s="44"/>
      <c r="E252" s="53">
        <f t="shared" si="40"/>
        <v>1672273</v>
      </c>
      <c r="F252" s="53"/>
      <c r="G252" s="53">
        <v>6199020</v>
      </c>
      <c r="H252" s="53"/>
      <c r="I252" s="53">
        <v>7871293</v>
      </c>
      <c r="J252" s="53"/>
      <c r="K252" s="53">
        <f t="shared" si="41"/>
        <v>694702</v>
      </c>
      <c r="L252" s="53"/>
      <c r="M252" s="53">
        <v>5833913</v>
      </c>
      <c r="N252" s="53"/>
      <c r="O252" s="53">
        <v>6528615</v>
      </c>
      <c r="P252" s="53"/>
      <c r="Q252" s="53">
        <v>37200</v>
      </c>
      <c r="R252" s="53"/>
      <c r="S252" s="53">
        <v>15468</v>
      </c>
      <c r="T252" s="53"/>
      <c r="U252" s="53">
        <v>1290010</v>
      </c>
      <c r="V252" s="53"/>
      <c r="W252" s="53">
        <f t="shared" si="42"/>
        <v>1342678</v>
      </c>
      <c r="X252" s="51"/>
      <c r="Y252" s="51"/>
      <c r="Z252" s="35" t="s">
        <v>284</v>
      </c>
      <c r="AA252" s="53"/>
      <c r="AB252" s="35" t="s">
        <v>45</v>
      </c>
      <c r="AC252" s="51"/>
      <c r="AD252" s="53">
        <v>2000740</v>
      </c>
      <c r="AE252" s="53"/>
      <c r="AF252" s="53">
        <v>1186280</v>
      </c>
      <c r="AG252" s="53"/>
      <c r="AH252" s="53">
        <v>201876</v>
      </c>
      <c r="AI252" s="53"/>
      <c r="AJ252" s="45">
        <f t="shared" si="44"/>
        <v>612584</v>
      </c>
      <c r="AK252" s="45"/>
      <c r="AL252" s="53">
        <v>-162352</v>
      </c>
      <c r="AM252" s="45"/>
      <c r="AN252" s="53">
        <v>0</v>
      </c>
      <c r="AO252" s="53"/>
      <c r="AP252" s="53">
        <v>99923</v>
      </c>
      <c r="AQ252" s="53"/>
      <c r="AR252" s="53">
        <v>0</v>
      </c>
      <c r="AS252" s="53"/>
      <c r="AT252" s="45">
        <f t="shared" si="45"/>
        <v>350309</v>
      </c>
      <c r="AU252" s="45"/>
      <c r="AV252" s="53">
        <v>0</v>
      </c>
      <c r="AW252" s="53"/>
      <c r="AX252" s="53">
        <v>0</v>
      </c>
      <c r="AY252" s="53"/>
      <c r="AZ252" s="53">
        <f t="shared" si="46"/>
        <v>977571</v>
      </c>
      <c r="BA252" s="51"/>
      <c r="BB252" s="35" t="s">
        <v>284</v>
      </c>
      <c r="BD252" s="35" t="s">
        <v>45</v>
      </c>
      <c r="BE252" s="53"/>
      <c r="BF252" s="53">
        <v>0</v>
      </c>
      <c r="BG252" s="53"/>
      <c r="BH252" s="53">
        <v>0</v>
      </c>
      <c r="BI252" s="53"/>
      <c r="BJ252" s="53">
        <v>0</v>
      </c>
      <c r="BK252" s="53"/>
      <c r="BL252" s="53">
        <v>5833913</v>
      </c>
      <c r="BM252" s="53"/>
      <c r="BN252" s="53">
        <f t="shared" si="43"/>
        <v>5833913</v>
      </c>
      <c r="BO252" s="54"/>
      <c r="BS252" s="55"/>
      <c r="BT252" s="55"/>
      <c r="BU252" s="84"/>
      <c r="BV252" s="55"/>
      <c r="BW252" s="55"/>
      <c r="BX252" s="55"/>
      <c r="BY252" s="55"/>
      <c r="BZ252" s="55"/>
      <c r="CA252" s="55"/>
      <c r="CB252" s="55"/>
      <c r="CC252" s="55"/>
      <c r="CD252" s="55"/>
      <c r="CE252" s="55"/>
      <c r="CF252" s="55"/>
      <c r="CG252" s="55"/>
      <c r="CH252" s="55"/>
      <c r="CI252" s="55"/>
      <c r="CJ252" s="55"/>
      <c r="CK252" s="55"/>
      <c r="CL252" s="55"/>
      <c r="CM252" s="55"/>
      <c r="CN252" s="55"/>
      <c r="CO252" s="55"/>
      <c r="CP252" s="55"/>
      <c r="CQ252" s="55"/>
    </row>
    <row r="253" spans="1:95" s="35" customFormat="1" ht="12.75" customHeight="1">
      <c r="A253" s="35" t="s">
        <v>285</v>
      </c>
      <c r="C253" s="35" t="s">
        <v>30</v>
      </c>
      <c r="D253" s="44"/>
      <c r="E253" s="53">
        <f t="shared" si="40"/>
        <v>3496979</v>
      </c>
      <c r="F253" s="53"/>
      <c r="G253" s="53">
        <v>7829986</v>
      </c>
      <c r="H253" s="53"/>
      <c r="I253" s="53">
        <v>11326965</v>
      </c>
      <c r="J253" s="53"/>
      <c r="K253" s="53">
        <f t="shared" si="41"/>
        <v>293530</v>
      </c>
      <c r="L253" s="53"/>
      <c r="M253" s="53">
        <v>990904</v>
      </c>
      <c r="N253" s="53"/>
      <c r="O253" s="53">
        <v>1284434</v>
      </c>
      <c r="P253" s="53"/>
      <c r="Q253" s="53">
        <v>6938608</v>
      </c>
      <c r="R253" s="53"/>
      <c r="S253" s="53">
        <v>0</v>
      </c>
      <c r="T253" s="53"/>
      <c r="U253" s="53">
        <v>3103923</v>
      </c>
      <c r="V253" s="53"/>
      <c r="W253" s="53">
        <f t="shared" si="42"/>
        <v>10042531</v>
      </c>
      <c r="Z253" s="35" t="s">
        <v>285</v>
      </c>
      <c r="AA253" s="53"/>
      <c r="AB253" s="35" t="s">
        <v>30</v>
      </c>
      <c r="AD253" s="53">
        <v>3005803</v>
      </c>
      <c r="AE253" s="53"/>
      <c r="AF253" s="53">
        <v>2323513</v>
      </c>
      <c r="AG253" s="53"/>
      <c r="AH253" s="53">
        <v>391002</v>
      </c>
      <c r="AI253" s="53"/>
      <c r="AJ253" s="45">
        <f t="shared" si="44"/>
        <v>291288</v>
      </c>
      <c r="AK253" s="45"/>
      <c r="AL253" s="53">
        <v>194457</v>
      </c>
      <c r="AM253" s="45"/>
      <c r="AN253" s="53">
        <v>0</v>
      </c>
      <c r="AO253" s="53"/>
      <c r="AP253" s="53">
        <v>0</v>
      </c>
      <c r="AQ253" s="53"/>
      <c r="AR253" s="53">
        <v>98346</v>
      </c>
      <c r="AS253" s="53"/>
      <c r="AT253" s="45">
        <f t="shared" si="45"/>
        <v>584091</v>
      </c>
      <c r="AU253" s="45"/>
      <c r="AV253" s="53">
        <v>0</v>
      </c>
      <c r="AW253" s="53"/>
      <c r="AX253" s="53">
        <v>0</v>
      </c>
      <c r="AY253" s="53"/>
      <c r="AZ253" s="53">
        <f t="shared" si="46"/>
        <v>3203449</v>
      </c>
      <c r="BA253" s="51"/>
      <c r="BB253" s="35" t="s">
        <v>285</v>
      </c>
      <c r="BD253" s="35" t="s">
        <v>30</v>
      </c>
      <c r="BE253" s="53"/>
      <c r="BF253" s="53">
        <v>0</v>
      </c>
      <c r="BG253" s="53"/>
      <c r="BH253" s="53">
        <v>0</v>
      </c>
      <c r="BI253" s="53"/>
      <c r="BJ253" s="53">
        <v>0</v>
      </c>
      <c r="BK253" s="53"/>
      <c r="BL253" s="53">
        <v>990904</v>
      </c>
      <c r="BM253" s="53"/>
      <c r="BN253" s="53">
        <f t="shared" si="43"/>
        <v>990904</v>
      </c>
      <c r="BO253" s="54"/>
      <c r="BS253" s="55"/>
      <c r="BT253" s="55"/>
      <c r="BU253" s="84"/>
      <c r="BV253" s="55"/>
      <c r="BW253" s="55"/>
      <c r="BX253" s="55"/>
      <c r="BY253" s="55"/>
      <c r="BZ253" s="55"/>
      <c r="CA253" s="55"/>
      <c r="CB253" s="55"/>
      <c r="CC253" s="55"/>
      <c r="CD253" s="55"/>
      <c r="CE253" s="55"/>
      <c r="CF253" s="55"/>
      <c r="CG253" s="55"/>
      <c r="CH253" s="55"/>
      <c r="CI253" s="55"/>
      <c r="CJ253" s="55"/>
      <c r="CK253" s="55"/>
      <c r="CL253" s="55"/>
      <c r="CM253" s="55"/>
      <c r="CN253" s="55"/>
      <c r="CO253" s="55"/>
      <c r="CP253" s="55"/>
      <c r="CQ253" s="55"/>
    </row>
    <row r="254" spans="1:95" s="35" customFormat="1" ht="12.75" customHeight="1">
      <c r="A254" s="35" t="s">
        <v>286</v>
      </c>
      <c r="C254" s="35" t="s">
        <v>61</v>
      </c>
      <c r="D254" s="44"/>
      <c r="E254" s="53">
        <f t="shared" si="40"/>
        <v>6221707</v>
      </c>
      <c r="F254" s="53"/>
      <c r="G254" s="53">
        <v>19944147</v>
      </c>
      <c r="H254" s="53"/>
      <c r="I254" s="53">
        <v>26165854</v>
      </c>
      <c r="J254" s="53"/>
      <c r="K254" s="53">
        <f t="shared" si="41"/>
        <v>1988515</v>
      </c>
      <c r="L254" s="53"/>
      <c r="M254" s="53">
        <v>4220925</v>
      </c>
      <c r="N254" s="53"/>
      <c r="O254" s="53">
        <v>6209440</v>
      </c>
      <c r="P254" s="53"/>
      <c r="Q254" s="53">
        <v>16309021</v>
      </c>
      <c r="R254" s="53"/>
      <c r="S254" s="53">
        <v>0</v>
      </c>
      <c r="T254" s="53"/>
      <c r="U254" s="53">
        <v>3647393</v>
      </c>
      <c r="V254" s="53"/>
      <c r="W254" s="53">
        <f t="shared" si="42"/>
        <v>19956414</v>
      </c>
      <c r="X254" s="51"/>
      <c r="Y254" s="51"/>
      <c r="Z254" s="35" t="s">
        <v>286</v>
      </c>
      <c r="AA254" s="53"/>
      <c r="AB254" s="35" t="s">
        <v>61</v>
      </c>
      <c r="AC254" s="51"/>
      <c r="AD254" s="53">
        <v>22149449</v>
      </c>
      <c r="AE254" s="53"/>
      <c r="AF254" s="53">
        <v>20175587</v>
      </c>
      <c r="AG254" s="53"/>
      <c r="AH254" s="53">
        <v>548169</v>
      </c>
      <c r="AI254" s="53"/>
      <c r="AJ254" s="45">
        <f t="shared" si="44"/>
        <v>1425693</v>
      </c>
      <c r="AK254" s="45"/>
      <c r="AL254" s="53">
        <v>-107804</v>
      </c>
      <c r="AM254" s="45"/>
      <c r="AN254" s="53">
        <v>0</v>
      </c>
      <c r="AO254" s="53"/>
      <c r="AP254" s="53">
        <v>186076</v>
      </c>
      <c r="AQ254" s="53"/>
      <c r="AR254" s="53">
        <v>0</v>
      </c>
      <c r="AS254" s="53"/>
      <c r="AT254" s="45">
        <f t="shared" si="45"/>
        <v>1131813</v>
      </c>
      <c r="AU254" s="45"/>
      <c r="AV254" s="53">
        <v>0</v>
      </c>
      <c r="AW254" s="53"/>
      <c r="AX254" s="53">
        <v>0</v>
      </c>
      <c r="AY254" s="53"/>
      <c r="AZ254" s="53">
        <f t="shared" si="46"/>
        <v>4233192</v>
      </c>
      <c r="BA254" s="51"/>
      <c r="BB254" s="35" t="s">
        <v>286</v>
      </c>
      <c r="BD254" s="35" t="s">
        <v>61</v>
      </c>
      <c r="BE254" s="53"/>
      <c r="BF254" s="53">
        <v>395795</v>
      </c>
      <c r="BG254" s="53"/>
      <c r="BH254" s="53">
        <v>0</v>
      </c>
      <c r="BI254" s="53"/>
      <c r="BJ254" s="53">
        <v>2989873</v>
      </c>
      <c r="BK254" s="53"/>
      <c r="BL254" s="53">
        <v>835257</v>
      </c>
      <c r="BM254" s="53"/>
      <c r="BN254" s="53">
        <f t="shared" si="43"/>
        <v>4220925</v>
      </c>
      <c r="BO254" s="54"/>
      <c r="BS254" s="55"/>
      <c r="BT254" s="55"/>
      <c r="BU254" s="84"/>
      <c r="BV254" s="55"/>
      <c r="BW254" s="55"/>
      <c r="BX254" s="55"/>
      <c r="BY254" s="55"/>
      <c r="BZ254" s="55"/>
      <c r="CA254" s="55"/>
      <c r="CB254" s="55"/>
      <c r="CC254" s="55"/>
      <c r="CD254" s="55"/>
      <c r="CE254" s="55"/>
      <c r="CF254" s="55"/>
      <c r="CG254" s="55"/>
      <c r="CH254" s="55"/>
      <c r="CI254" s="55"/>
      <c r="CJ254" s="55"/>
      <c r="CK254" s="55"/>
      <c r="CL254" s="55"/>
      <c r="CM254" s="55"/>
      <c r="CN254" s="55"/>
      <c r="CO254" s="55"/>
      <c r="CP254" s="55"/>
      <c r="CQ254" s="55"/>
    </row>
    <row r="255" spans="1:95" s="35" customFormat="1" ht="12.75" customHeight="1">
      <c r="A255" s="35" t="s">
        <v>287</v>
      </c>
      <c r="C255" s="35" t="s">
        <v>288</v>
      </c>
      <c r="D255" s="44"/>
      <c r="E255" s="53">
        <f t="shared" si="40"/>
        <v>3869521</v>
      </c>
      <c r="F255" s="53"/>
      <c r="G255" s="53">
        <v>4604358</v>
      </c>
      <c r="H255" s="53"/>
      <c r="I255" s="53">
        <v>8473879</v>
      </c>
      <c r="J255" s="53"/>
      <c r="K255" s="53">
        <f t="shared" si="41"/>
        <v>1125469</v>
      </c>
      <c r="L255" s="53"/>
      <c r="M255" s="53">
        <v>2818108</v>
      </c>
      <c r="N255" s="53"/>
      <c r="O255" s="53">
        <v>3943577</v>
      </c>
      <c r="P255" s="53"/>
      <c r="Q255" s="53">
        <v>1411644</v>
      </c>
      <c r="R255" s="53"/>
      <c r="S255" s="53">
        <v>0</v>
      </c>
      <c r="T255" s="53"/>
      <c r="U255" s="53">
        <v>3118658</v>
      </c>
      <c r="V255" s="53"/>
      <c r="W255" s="53">
        <f t="shared" si="42"/>
        <v>4530302</v>
      </c>
      <c r="X255" s="51"/>
      <c r="Y255" s="51"/>
      <c r="Z255" s="35" t="s">
        <v>287</v>
      </c>
      <c r="AA255" s="53"/>
      <c r="AB255" s="35" t="s">
        <v>288</v>
      </c>
      <c r="AD255" s="53">
        <v>4911842</v>
      </c>
      <c r="AE255" s="53"/>
      <c r="AF255" s="53">
        <v>3296838</v>
      </c>
      <c r="AG255" s="53"/>
      <c r="AH255" s="53">
        <v>182252</v>
      </c>
      <c r="AI255" s="53"/>
      <c r="AJ255" s="45">
        <f t="shared" si="44"/>
        <v>1432752</v>
      </c>
      <c r="AK255" s="45"/>
      <c r="AL255" s="53">
        <v>-146090</v>
      </c>
      <c r="AM255" s="45"/>
      <c r="AN255" s="53">
        <v>0</v>
      </c>
      <c r="AO255" s="53"/>
      <c r="AP255" s="53">
        <v>0</v>
      </c>
      <c r="AQ255" s="53"/>
      <c r="AR255" s="53">
        <v>0</v>
      </c>
      <c r="AS255" s="53"/>
      <c r="AT255" s="45">
        <f t="shared" si="45"/>
        <v>1286662</v>
      </c>
      <c r="AU255" s="45"/>
      <c r="AV255" s="53">
        <v>0</v>
      </c>
      <c r="AW255" s="53"/>
      <c r="AX255" s="53">
        <v>0</v>
      </c>
      <c r="AY255" s="53"/>
      <c r="AZ255" s="53">
        <f t="shared" si="46"/>
        <v>2744052</v>
      </c>
      <c r="BA255" s="51"/>
      <c r="BB255" s="35" t="s">
        <v>287</v>
      </c>
      <c r="BD255" s="35" t="s">
        <v>288</v>
      </c>
      <c r="BE255" s="53"/>
      <c r="BF255" s="53">
        <v>760000</v>
      </c>
      <c r="BG255" s="53"/>
      <c r="BH255" s="53">
        <v>0</v>
      </c>
      <c r="BI255" s="53"/>
      <c r="BJ255" s="53">
        <v>1977753</v>
      </c>
      <c r="BK255" s="53"/>
      <c r="BL255" s="53">
        <v>80355</v>
      </c>
      <c r="BM255" s="53"/>
      <c r="BN255" s="53">
        <f t="shared" si="43"/>
        <v>2818108</v>
      </c>
      <c r="BO255" s="54"/>
      <c r="BS255" s="55"/>
      <c r="BT255" s="55"/>
      <c r="BU255" s="84"/>
      <c r="BV255" s="55"/>
      <c r="BW255" s="55"/>
      <c r="BX255" s="55"/>
      <c r="BY255" s="55"/>
      <c r="BZ255" s="55"/>
      <c r="CA255" s="55"/>
      <c r="CB255" s="55"/>
      <c r="CC255" s="55"/>
      <c r="CD255" s="55"/>
      <c r="CE255" s="55"/>
      <c r="CF255" s="55"/>
      <c r="CG255" s="55"/>
      <c r="CH255" s="55"/>
      <c r="CI255" s="55"/>
      <c r="CJ255" s="55"/>
      <c r="CK255" s="55"/>
      <c r="CL255" s="55"/>
      <c r="CM255" s="55"/>
      <c r="CN255" s="55"/>
      <c r="CO255" s="55"/>
      <c r="CP255" s="55"/>
      <c r="CQ255" s="55"/>
    </row>
    <row r="256" spans="1:95" s="35" customFormat="1" ht="12.75" customHeight="1">
      <c r="B256" s="51"/>
      <c r="D256" s="44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1"/>
      <c r="Y256" s="51"/>
      <c r="AA256" s="53"/>
      <c r="AC256" s="51"/>
      <c r="AD256" s="53"/>
      <c r="AE256" s="53"/>
      <c r="AF256" s="53"/>
      <c r="AG256" s="53"/>
      <c r="AH256" s="53"/>
      <c r="AI256" s="53"/>
      <c r="AJ256" s="45"/>
      <c r="AK256" s="45"/>
      <c r="AL256" s="53"/>
      <c r="AM256" s="45"/>
      <c r="AN256" s="53"/>
      <c r="AO256" s="53"/>
      <c r="AP256" s="53"/>
      <c r="AQ256" s="53"/>
      <c r="AR256" s="53"/>
      <c r="AS256" s="53"/>
      <c r="AT256" s="45"/>
      <c r="AU256" s="45"/>
      <c r="AV256" s="53"/>
      <c r="AW256" s="53"/>
      <c r="AX256" s="53"/>
      <c r="AY256" s="53"/>
      <c r="AZ256" s="53"/>
      <c r="BA256" s="51"/>
      <c r="BE256" s="53"/>
      <c r="BF256" s="53"/>
      <c r="BG256" s="53"/>
      <c r="BH256" s="53"/>
      <c r="BI256" s="53"/>
      <c r="BJ256" s="53"/>
      <c r="BK256" s="53"/>
      <c r="BL256" s="53"/>
      <c r="BM256" s="53"/>
      <c r="BN256" s="53"/>
      <c r="BO256" s="54"/>
      <c r="BS256" s="55"/>
      <c r="BT256" s="55"/>
      <c r="BU256" s="84"/>
      <c r="BV256" s="55"/>
      <c r="BW256" s="55"/>
      <c r="BX256" s="55"/>
      <c r="BY256" s="55"/>
      <c r="BZ256" s="55"/>
      <c r="CA256" s="55"/>
      <c r="CB256" s="55"/>
      <c r="CC256" s="55"/>
      <c r="CD256" s="55"/>
      <c r="CE256" s="55"/>
      <c r="CF256" s="55"/>
      <c r="CG256" s="55"/>
      <c r="CH256" s="55"/>
      <c r="CI256" s="55"/>
      <c r="CJ256" s="55"/>
      <c r="CK256" s="55"/>
      <c r="CL256" s="55"/>
      <c r="CM256" s="55"/>
      <c r="CN256" s="55"/>
      <c r="CO256" s="55"/>
      <c r="CP256" s="55"/>
      <c r="CQ256" s="55"/>
    </row>
    <row r="257" spans="2:95" s="35" customFormat="1" ht="12.75" customHeight="1">
      <c r="B257" s="51"/>
      <c r="D257" s="44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1"/>
      <c r="Y257" s="51"/>
      <c r="AA257" s="47"/>
      <c r="AC257" s="51"/>
      <c r="AD257" s="53"/>
      <c r="AE257" s="53"/>
      <c r="AF257" s="53"/>
      <c r="AG257" s="53"/>
      <c r="AH257" s="53"/>
      <c r="AI257" s="53"/>
      <c r="AJ257" s="45"/>
      <c r="AK257" s="45"/>
      <c r="AL257" s="45"/>
      <c r="AM257" s="45"/>
      <c r="AN257" s="53"/>
      <c r="AO257" s="53"/>
      <c r="AP257" s="53"/>
      <c r="AQ257" s="53"/>
      <c r="AR257" s="53"/>
      <c r="AS257" s="53"/>
      <c r="AT257" s="45"/>
      <c r="AU257" s="45"/>
      <c r="AV257" s="53"/>
      <c r="AW257" s="53"/>
      <c r="AX257" s="53"/>
      <c r="AY257" s="53"/>
      <c r="AZ257" s="53"/>
      <c r="BA257" s="51"/>
      <c r="BB257" s="55"/>
      <c r="BC257" s="55"/>
      <c r="BD257" s="55"/>
      <c r="BE257" s="55"/>
      <c r="BF257" s="53"/>
      <c r="BG257" s="53"/>
      <c r="BH257" s="53"/>
      <c r="BI257" s="53"/>
      <c r="BJ257" s="53"/>
      <c r="BK257" s="53"/>
      <c r="BL257" s="53"/>
      <c r="BM257" s="53"/>
      <c r="BN257" s="53"/>
      <c r="BO257" s="55"/>
      <c r="BP257" s="55"/>
      <c r="BQ257" s="55"/>
      <c r="BR257" s="55"/>
      <c r="BS257" s="55"/>
      <c r="BT257" s="55"/>
      <c r="BU257" s="84"/>
      <c r="BV257" s="55"/>
      <c r="BW257" s="55"/>
      <c r="BX257" s="55"/>
      <c r="BY257" s="55"/>
      <c r="BZ257" s="55"/>
      <c r="CA257" s="55"/>
      <c r="CB257" s="55"/>
      <c r="CC257" s="55"/>
      <c r="CD257" s="55"/>
      <c r="CE257" s="55"/>
      <c r="CF257" s="55"/>
      <c r="CG257" s="55"/>
      <c r="CH257" s="55"/>
      <c r="CI257" s="55"/>
      <c r="CJ257" s="55"/>
      <c r="CK257" s="55"/>
      <c r="CL257" s="55"/>
      <c r="CM257" s="55"/>
      <c r="CN257" s="55"/>
      <c r="CO257" s="55"/>
      <c r="CP257" s="55"/>
      <c r="CQ257" s="55"/>
    </row>
    <row r="258" spans="2:95" s="35" customFormat="1" ht="12.75" customHeight="1">
      <c r="B258" s="51"/>
      <c r="D258" s="44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1"/>
      <c r="Y258" s="51"/>
      <c r="AA258" s="47"/>
      <c r="AC258" s="51"/>
      <c r="AD258" s="53"/>
      <c r="AE258" s="53"/>
      <c r="AF258" s="53"/>
      <c r="AG258" s="53"/>
      <c r="AH258" s="53"/>
      <c r="AI258" s="53"/>
      <c r="AJ258" s="45"/>
      <c r="AK258" s="45"/>
      <c r="AL258" s="45"/>
      <c r="AM258" s="45"/>
      <c r="AN258" s="53"/>
      <c r="AO258" s="53"/>
      <c r="AP258" s="53"/>
      <c r="AQ258" s="53"/>
      <c r="AR258" s="53"/>
      <c r="AS258" s="53"/>
      <c r="AT258" s="45"/>
      <c r="AU258" s="45"/>
      <c r="AV258" s="53"/>
      <c r="AW258" s="53"/>
      <c r="AX258" s="53"/>
      <c r="AY258" s="53"/>
      <c r="AZ258" s="53"/>
      <c r="BA258" s="51"/>
      <c r="BB258" s="55"/>
      <c r="BC258" s="55"/>
      <c r="BD258" s="55"/>
      <c r="BE258" s="55"/>
      <c r="BF258" s="53"/>
      <c r="BG258" s="53"/>
      <c r="BH258" s="53"/>
      <c r="BI258" s="53"/>
      <c r="BJ258" s="53"/>
      <c r="BK258" s="53"/>
      <c r="BL258" s="53"/>
      <c r="BM258" s="53"/>
      <c r="BN258" s="53"/>
      <c r="BO258" s="55"/>
      <c r="BP258" s="55"/>
      <c r="BQ258" s="55"/>
      <c r="BR258" s="55"/>
      <c r="BS258" s="55"/>
      <c r="BT258" s="55"/>
      <c r="BU258" s="84"/>
      <c r="BV258" s="55"/>
      <c r="BW258" s="55"/>
      <c r="BX258" s="55"/>
      <c r="BY258" s="55"/>
      <c r="BZ258" s="55"/>
      <c r="CA258" s="55"/>
      <c r="CB258" s="55"/>
      <c r="CC258" s="55"/>
      <c r="CD258" s="55"/>
      <c r="CE258" s="55"/>
      <c r="CF258" s="55"/>
      <c r="CG258" s="55"/>
      <c r="CH258" s="55"/>
      <c r="CI258" s="55"/>
      <c r="CJ258" s="55"/>
      <c r="CK258" s="55"/>
      <c r="CL258" s="55"/>
      <c r="CM258" s="55"/>
      <c r="CN258" s="55"/>
      <c r="CO258" s="55"/>
      <c r="CP258" s="55"/>
      <c r="CQ258" s="55"/>
    </row>
    <row r="259" spans="2:95" s="35" customFormat="1" ht="12.75" customHeight="1">
      <c r="D259" s="44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AA259" s="53"/>
      <c r="AD259" s="53"/>
      <c r="AE259" s="53"/>
      <c r="AF259" s="53"/>
      <c r="AG259" s="53"/>
      <c r="AH259" s="53"/>
      <c r="AI259" s="53"/>
      <c r="AJ259" s="45"/>
      <c r="AK259" s="45"/>
      <c r="AL259" s="45"/>
      <c r="AM259" s="45"/>
      <c r="AN259" s="53"/>
      <c r="AO259" s="53"/>
      <c r="AP259" s="53"/>
      <c r="AQ259" s="53"/>
      <c r="AR259" s="53"/>
      <c r="AS259" s="53"/>
      <c r="AT259" s="45"/>
      <c r="AU259" s="45"/>
      <c r="AV259" s="53"/>
      <c r="AW259" s="53"/>
      <c r="AX259" s="53"/>
      <c r="AY259" s="53"/>
      <c r="AZ259" s="53"/>
      <c r="BA259" s="51"/>
      <c r="BE259" s="53"/>
      <c r="BF259" s="53"/>
      <c r="BG259" s="53"/>
      <c r="BH259" s="53"/>
      <c r="BI259" s="53"/>
      <c r="BJ259" s="53"/>
      <c r="BK259" s="53"/>
      <c r="BL259" s="53"/>
      <c r="BM259" s="53"/>
      <c r="BN259" s="53"/>
      <c r="BO259" s="54"/>
      <c r="BS259" s="55"/>
      <c r="BT259" s="55"/>
      <c r="BU259" s="84"/>
      <c r="BV259" s="55"/>
      <c r="BW259" s="55"/>
      <c r="BX259" s="55"/>
      <c r="BY259" s="55"/>
      <c r="BZ259" s="55"/>
      <c r="CA259" s="55"/>
      <c r="CB259" s="55"/>
      <c r="CC259" s="55"/>
      <c r="CD259" s="55"/>
      <c r="CE259" s="55"/>
      <c r="CF259" s="55"/>
      <c r="CG259" s="55"/>
      <c r="CH259" s="55"/>
      <c r="CI259" s="55"/>
      <c r="CJ259" s="55"/>
      <c r="CK259" s="55"/>
      <c r="CL259" s="55"/>
      <c r="CM259" s="55"/>
      <c r="CN259" s="55"/>
      <c r="CO259" s="55"/>
      <c r="CP259" s="55"/>
      <c r="CQ259" s="55"/>
    </row>
    <row r="260" spans="2:95" s="35" customFormat="1" ht="12.75" customHeight="1">
      <c r="D260" s="44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AA260" s="53"/>
      <c r="AD260" s="53"/>
      <c r="AE260" s="53"/>
      <c r="AF260" s="53"/>
      <c r="AG260" s="53"/>
      <c r="AH260" s="53"/>
      <c r="AI260" s="53"/>
      <c r="AJ260" s="45"/>
      <c r="AK260" s="45"/>
      <c r="AL260" s="45"/>
      <c r="AM260" s="45"/>
      <c r="AN260" s="53"/>
      <c r="AO260" s="53"/>
      <c r="AP260" s="53"/>
      <c r="AQ260" s="53"/>
      <c r="AR260" s="53"/>
      <c r="AS260" s="53"/>
      <c r="AT260" s="45"/>
      <c r="AU260" s="45"/>
      <c r="AV260" s="53"/>
      <c r="AW260" s="53"/>
      <c r="AX260" s="53"/>
      <c r="AY260" s="53"/>
      <c r="AZ260" s="53"/>
      <c r="BA260" s="51"/>
      <c r="BE260" s="53"/>
      <c r="BF260" s="53"/>
      <c r="BG260" s="53"/>
      <c r="BH260" s="53"/>
      <c r="BI260" s="53"/>
      <c r="BJ260" s="53"/>
      <c r="BK260" s="53"/>
      <c r="BL260" s="53"/>
      <c r="BM260" s="53"/>
      <c r="BN260" s="53"/>
      <c r="BO260" s="54"/>
      <c r="BS260" s="55"/>
      <c r="BT260" s="55"/>
      <c r="BU260" s="84"/>
      <c r="BV260" s="55"/>
      <c r="BW260" s="55"/>
      <c r="BX260" s="55"/>
      <c r="BY260" s="55"/>
      <c r="BZ260" s="55"/>
      <c r="CA260" s="55"/>
      <c r="CB260" s="55"/>
      <c r="CC260" s="55"/>
      <c r="CD260" s="55"/>
      <c r="CE260" s="55"/>
      <c r="CF260" s="55"/>
      <c r="CG260" s="55"/>
      <c r="CH260" s="55"/>
      <c r="CI260" s="55"/>
      <c r="CJ260" s="55"/>
      <c r="CK260" s="55"/>
      <c r="CL260" s="55"/>
      <c r="CM260" s="55"/>
      <c r="CN260" s="55"/>
      <c r="CO260" s="55"/>
      <c r="CP260" s="55"/>
      <c r="CQ260" s="55"/>
    </row>
    <row r="261" spans="2:95" s="35" customFormat="1" ht="12.75" customHeight="1">
      <c r="B261" s="51"/>
      <c r="D261" s="44"/>
      <c r="X261" s="51"/>
      <c r="Y261" s="51"/>
      <c r="AA261" s="47"/>
      <c r="AC261" s="51"/>
      <c r="AT261" s="45"/>
      <c r="AU261" s="45"/>
      <c r="BA261" s="51"/>
      <c r="BC261" s="47"/>
      <c r="BO261" s="54"/>
      <c r="BS261" s="55"/>
      <c r="BT261" s="55"/>
      <c r="BU261" s="84"/>
      <c r="BV261" s="55"/>
      <c r="BW261" s="55"/>
      <c r="BX261" s="55"/>
      <c r="BY261" s="55"/>
      <c r="BZ261" s="55"/>
      <c r="CA261" s="55"/>
      <c r="CB261" s="55"/>
      <c r="CC261" s="55"/>
      <c r="CD261" s="55"/>
      <c r="CE261" s="55"/>
      <c r="CF261" s="55"/>
      <c r="CG261" s="55"/>
      <c r="CH261" s="55"/>
      <c r="CI261" s="55"/>
      <c r="CJ261" s="55"/>
      <c r="CK261" s="55"/>
      <c r="CL261" s="55"/>
      <c r="CM261" s="55"/>
      <c r="CN261" s="55"/>
      <c r="CO261" s="55"/>
      <c r="CP261" s="55"/>
      <c r="CQ261" s="55"/>
    </row>
    <row r="262" spans="2:95" s="35" customFormat="1" ht="12.75" customHeight="1">
      <c r="B262" s="51"/>
      <c r="D262" s="44"/>
      <c r="X262" s="51"/>
      <c r="Y262" s="51"/>
      <c r="AA262" s="47"/>
      <c r="AC262" s="51"/>
      <c r="BA262" s="51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  <c r="BS262" s="55"/>
      <c r="BT262" s="55"/>
      <c r="BU262" s="84"/>
      <c r="BV262" s="55"/>
      <c r="BW262" s="55"/>
      <c r="BX262" s="55"/>
      <c r="BY262" s="55"/>
      <c r="BZ262" s="55"/>
      <c r="CA262" s="55"/>
      <c r="CB262" s="55"/>
      <c r="CC262" s="55"/>
      <c r="CD262" s="55"/>
      <c r="CE262" s="55"/>
      <c r="CF262" s="55"/>
      <c r="CG262" s="55"/>
      <c r="CH262" s="55"/>
      <c r="CI262" s="55"/>
      <c r="CJ262" s="55"/>
      <c r="CK262" s="55"/>
      <c r="CL262" s="55"/>
      <c r="CM262" s="55"/>
      <c r="CN262" s="55"/>
      <c r="CO262" s="55"/>
      <c r="CP262" s="55"/>
      <c r="CQ262" s="55"/>
    </row>
    <row r="263" spans="2:95" s="35" customFormat="1" ht="12.75" customHeight="1">
      <c r="B263" s="51"/>
      <c r="D263" s="44"/>
      <c r="X263" s="51"/>
      <c r="Y263" s="51"/>
      <c r="AA263" s="47"/>
      <c r="AC263" s="51"/>
      <c r="BA263" s="51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  <c r="BS263" s="55"/>
      <c r="BT263" s="55"/>
      <c r="BU263" s="84"/>
      <c r="BV263" s="55"/>
      <c r="BW263" s="55"/>
      <c r="BX263" s="55"/>
      <c r="BY263" s="55"/>
      <c r="BZ263" s="55"/>
      <c r="CA263" s="55"/>
      <c r="CB263" s="55"/>
      <c r="CC263" s="55"/>
      <c r="CD263" s="55"/>
      <c r="CE263" s="55"/>
      <c r="CF263" s="55"/>
      <c r="CG263" s="55"/>
      <c r="CH263" s="55"/>
      <c r="CI263" s="55"/>
      <c r="CJ263" s="55"/>
      <c r="CK263" s="55"/>
      <c r="CL263" s="55"/>
      <c r="CM263" s="55"/>
      <c r="CN263" s="55"/>
      <c r="CO263" s="55"/>
      <c r="CP263" s="55"/>
      <c r="CQ263" s="55"/>
    </row>
    <row r="264" spans="2:95" s="35" customFormat="1" ht="12.75" customHeight="1">
      <c r="B264" s="51"/>
      <c r="D264" s="44"/>
      <c r="X264" s="51"/>
      <c r="Y264" s="51"/>
      <c r="AA264" s="47"/>
      <c r="AC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65"/>
      <c r="BA264" s="51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  <c r="BS264" s="55"/>
      <c r="BT264" s="55"/>
      <c r="BU264" s="84"/>
      <c r="BV264" s="55"/>
      <c r="BW264" s="55"/>
      <c r="BX264" s="55"/>
      <c r="BY264" s="55"/>
      <c r="BZ264" s="55"/>
      <c r="CA264" s="55"/>
      <c r="CB264" s="55"/>
      <c r="CC264" s="55"/>
      <c r="CD264" s="55"/>
      <c r="CE264" s="55"/>
      <c r="CF264" s="55"/>
      <c r="CG264" s="55"/>
      <c r="CH264" s="55"/>
      <c r="CI264" s="55"/>
      <c r="CJ264" s="55"/>
      <c r="CK264" s="55"/>
      <c r="CL264" s="55"/>
      <c r="CM264" s="55"/>
      <c r="CN264" s="55"/>
      <c r="CO264" s="55"/>
      <c r="CP264" s="55"/>
      <c r="CQ264" s="55"/>
    </row>
    <row r="265" spans="2:95" s="35" customFormat="1" ht="12.75" customHeight="1">
      <c r="B265" s="51"/>
      <c r="D265" s="44"/>
      <c r="M265" s="53"/>
      <c r="X265" s="51"/>
      <c r="Y265" s="51"/>
      <c r="AA265" s="47"/>
      <c r="AC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65"/>
      <c r="BA265" s="51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  <c r="BS265" s="55"/>
      <c r="BT265" s="55"/>
      <c r="BU265" s="84"/>
      <c r="BV265" s="55"/>
      <c r="BW265" s="55"/>
      <c r="BX265" s="55"/>
      <c r="BY265" s="55"/>
      <c r="BZ265" s="55"/>
      <c r="CA265" s="55"/>
      <c r="CB265" s="55"/>
      <c r="CC265" s="55"/>
      <c r="CD265" s="55"/>
      <c r="CE265" s="55"/>
      <c r="CF265" s="55"/>
      <c r="CG265" s="55"/>
      <c r="CH265" s="55"/>
      <c r="CI265" s="55"/>
      <c r="CJ265" s="55"/>
      <c r="CK265" s="55"/>
      <c r="CL265" s="55"/>
      <c r="CM265" s="55"/>
      <c r="CN265" s="55"/>
      <c r="CO265" s="55"/>
      <c r="CP265" s="55"/>
      <c r="CQ265" s="55"/>
    </row>
    <row r="266" spans="2:95" s="35" customFormat="1" ht="12.75" customHeight="1">
      <c r="B266" s="51"/>
      <c r="D266" s="44"/>
      <c r="X266" s="51"/>
      <c r="Y266" s="51"/>
      <c r="AA266" s="47"/>
      <c r="AC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65"/>
      <c r="BA266" s="51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  <c r="BS266" s="55"/>
      <c r="BT266" s="55"/>
      <c r="BU266" s="84"/>
      <c r="BV266" s="55"/>
      <c r="BW266" s="55"/>
      <c r="BX266" s="55"/>
      <c r="BY266" s="55"/>
      <c r="BZ266" s="55"/>
      <c r="CA266" s="55"/>
      <c r="CB266" s="55"/>
      <c r="CC266" s="55"/>
      <c r="CD266" s="55"/>
      <c r="CE266" s="55"/>
      <c r="CF266" s="55"/>
      <c r="CG266" s="55"/>
      <c r="CH266" s="55"/>
      <c r="CI266" s="55"/>
      <c r="CJ266" s="55"/>
      <c r="CK266" s="55"/>
      <c r="CL266" s="55"/>
      <c r="CM266" s="55"/>
      <c r="CN266" s="55"/>
      <c r="CO266" s="55"/>
      <c r="CP266" s="55"/>
      <c r="CQ266" s="55"/>
    </row>
    <row r="267" spans="2:95" s="35" customFormat="1" ht="12.75" customHeight="1">
      <c r="B267" s="51"/>
      <c r="D267" s="44"/>
      <c r="X267" s="51"/>
      <c r="Y267" s="51"/>
      <c r="AA267" s="47"/>
      <c r="AC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65"/>
      <c r="BA267" s="51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  <c r="BS267" s="55"/>
      <c r="BT267" s="55"/>
      <c r="BU267" s="84"/>
      <c r="BV267" s="55"/>
      <c r="BW267" s="55"/>
      <c r="BX267" s="55"/>
      <c r="BY267" s="55"/>
      <c r="BZ267" s="55"/>
      <c r="CA267" s="55"/>
      <c r="CB267" s="55"/>
      <c r="CC267" s="55"/>
      <c r="CD267" s="55"/>
      <c r="CE267" s="55"/>
      <c r="CF267" s="55"/>
      <c r="CG267" s="55"/>
      <c r="CH267" s="55"/>
      <c r="CI267" s="55"/>
      <c r="CJ267" s="55"/>
      <c r="CK267" s="55"/>
      <c r="CL267" s="55"/>
      <c r="CM267" s="55"/>
      <c r="CN267" s="55"/>
      <c r="CO267" s="55"/>
      <c r="CP267" s="55"/>
      <c r="CQ267" s="55"/>
    </row>
    <row r="268" spans="2:95" s="35" customFormat="1" ht="12.75" customHeight="1">
      <c r="B268" s="51"/>
      <c r="D268" s="44"/>
      <c r="X268" s="51"/>
      <c r="Y268" s="51"/>
      <c r="AA268" s="47"/>
      <c r="AC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65"/>
      <c r="BA268" s="51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  <c r="BS268" s="55"/>
      <c r="BT268" s="55"/>
      <c r="BU268" s="84"/>
      <c r="BV268" s="55"/>
      <c r="BW268" s="55"/>
      <c r="BX268" s="55"/>
      <c r="BY268" s="55"/>
      <c r="BZ268" s="55"/>
      <c r="CA268" s="55"/>
      <c r="CB268" s="55"/>
      <c r="CC268" s="55"/>
      <c r="CD268" s="55"/>
      <c r="CE268" s="55"/>
      <c r="CF268" s="55"/>
      <c r="CG268" s="55"/>
      <c r="CH268" s="55"/>
      <c r="CI268" s="55"/>
      <c r="CJ268" s="55"/>
      <c r="CK268" s="55"/>
      <c r="CL268" s="55"/>
      <c r="CM268" s="55"/>
      <c r="CN268" s="55"/>
      <c r="CO268" s="55"/>
      <c r="CP268" s="55"/>
      <c r="CQ268" s="55"/>
    </row>
    <row r="269" spans="2:95" s="35" customFormat="1" ht="12.75" customHeight="1">
      <c r="B269" s="51"/>
      <c r="D269" s="44"/>
      <c r="X269" s="51"/>
      <c r="Y269" s="51"/>
      <c r="AA269" s="47"/>
      <c r="AC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/>
      <c r="AZ269" s="65"/>
      <c r="BA269" s="51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  <c r="BS269" s="55"/>
      <c r="BT269" s="55"/>
      <c r="BU269" s="84"/>
      <c r="BV269" s="55"/>
      <c r="BW269" s="55"/>
      <c r="BX269" s="55"/>
      <c r="BY269" s="55"/>
      <c r="BZ269" s="55"/>
      <c r="CA269" s="55"/>
      <c r="CB269" s="55"/>
      <c r="CC269" s="55"/>
      <c r="CD269" s="55"/>
      <c r="CE269" s="55"/>
      <c r="CF269" s="55"/>
      <c r="CG269" s="55"/>
      <c r="CH269" s="55"/>
      <c r="CI269" s="55"/>
      <c r="CJ269" s="55"/>
      <c r="CK269" s="55"/>
      <c r="CL269" s="55"/>
      <c r="CM269" s="55"/>
      <c r="CN269" s="55"/>
      <c r="CO269" s="55"/>
      <c r="CP269" s="55"/>
      <c r="CQ269" s="55"/>
    </row>
    <row r="270" spans="2:95" s="35" customFormat="1" ht="12.75" customHeight="1">
      <c r="B270" s="51"/>
      <c r="D270" s="44"/>
      <c r="X270" s="51"/>
      <c r="Y270" s="51"/>
      <c r="AA270" s="47"/>
      <c r="AC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  <c r="AX270" s="51"/>
      <c r="AY270" s="51"/>
      <c r="AZ270" s="65"/>
      <c r="BA270" s="51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  <c r="BS270" s="55"/>
      <c r="BT270" s="55"/>
      <c r="BU270" s="84"/>
      <c r="BV270" s="55"/>
      <c r="BW270" s="55"/>
      <c r="BX270" s="55"/>
      <c r="BY270" s="55"/>
      <c r="BZ270" s="55"/>
      <c r="CA270" s="55"/>
      <c r="CB270" s="55"/>
      <c r="CC270" s="55"/>
      <c r="CD270" s="55"/>
      <c r="CE270" s="55"/>
      <c r="CF270" s="55"/>
      <c r="CG270" s="55"/>
      <c r="CH270" s="55"/>
      <c r="CI270" s="55"/>
      <c r="CJ270" s="55"/>
      <c r="CK270" s="55"/>
      <c r="CL270" s="55"/>
      <c r="CM270" s="55"/>
      <c r="CN270" s="55"/>
      <c r="CO270" s="55"/>
      <c r="CP270" s="55"/>
      <c r="CQ270" s="55"/>
    </row>
    <row r="271" spans="2:95" s="35" customFormat="1" ht="12.75" customHeight="1">
      <c r="B271" s="51"/>
      <c r="D271" s="44"/>
      <c r="X271" s="51"/>
      <c r="Y271" s="51"/>
      <c r="AA271" s="47"/>
      <c r="AC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65"/>
      <c r="BA271" s="51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  <c r="BS271" s="55"/>
      <c r="BT271" s="55"/>
      <c r="BU271" s="84"/>
      <c r="BV271" s="55"/>
      <c r="BW271" s="55"/>
      <c r="BX271" s="55"/>
      <c r="BY271" s="55"/>
      <c r="BZ271" s="55"/>
      <c r="CA271" s="55"/>
      <c r="CB271" s="55"/>
      <c r="CC271" s="55"/>
      <c r="CD271" s="55"/>
      <c r="CE271" s="55"/>
      <c r="CF271" s="55"/>
      <c r="CG271" s="55"/>
      <c r="CH271" s="55"/>
      <c r="CI271" s="55"/>
      <c r="CJ271" s="55"/>
      <c r="CK271" s="55"/>
      <c r="CL271" s="55"/>
      <c r="CM271" s="55"/>
      <c r="CN271" s="55"/>
      <c r="CO271" s="55"/>
      <c r="CP271" s="55"/>
      <c r="CQ271" s="55"/>
    </row>
    <row r="272" spans="2:95" s="35" customFormat="1" ht="12.75" customHeight="1">
      <c r="B272" s="51"/>
      <c r="D272" s="44"/>
      <c r="X272" s="51"/>
      <c r="Y272" s="51"/>
      <c r="AA272" s="47"/>
      <c r="AC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  <c r="AZ272" s="65"/>
      <c r="BA272" s="51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5"/>
      <c r="BQ272" s="55"/>
      <c r="BR272" s="55"/>
      <c r="BS272" s="55"/>
      <c r="BT272" s="55"/>
      <c r="BU272" s="84"/>
      <c r="BV272" s="55"/>
      <c r="BW272" s="55"/>
      <c r="BX272" s="55"/>
      <c r="BY272" s="55"/>
      <c r="BZ272" s="55"/>
      <c r="CA272" s="55"/>
      <c r="CB272" s="55"/>
      <c r="CC272" s="55"/>
      <c r="CD272" s="55"/>
      <c r="CE272" s="55"/>
      <c r="CF272" s="55"/>
      <c r="CG272" s="55"/>
      <c r="CH272" s="55"/>
      <c r="CI272" s="55"/>
      <c r="CJ272" s="55"/>
      <c r="CK272" s="55"/>
      <c r="CL272" s="55"/>
      <c r="CM272" s="55"/>
      <c r="CN272" s="55"/>
      <c r="CO272" s="55"/>
      <c r="CP272" s="55"/>
      <c r="CQ272" s="55"/>
    </row>
    <row r="273" spans="2:95" s="35" customFormat="1" ht="12.75" customHeight="1">
      <c r="B273" s="51"/>
      <c r="D273" s="44"/>
      <c r="X273" s="51"/>
      <c r="Y273" s="51"/>
      <c r="AA273" s="47"/>
      <c r="AC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65"/>
      <c r="BA273" s="51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5"/>
      <c r="BQ273" s="55"/>
      <c r="BR273" s="55"/>
      <c r="BS273" s="55"/>
      <c r="BT273" s="55"/>
      <c r="BU273" s="84"/>
      <c r="BV273" s="55"/>
      <c r="BW273" s="55"/>
      <c r="BX273" s="55"/>
      <c r="BY273" s="55"/>
      <c r="BZ273" s="55"/>
      <c r="CA273" s="55"/>
      <c r="CB273" s="55"/>
      <c r="CC273" s="55"/>
      <c r="CD273" s="55"/>
      <c r="CE273" s="55"/>
      <c r="CF273" s="55"/>
      <c r="CG273" s="55"/>
      <c r="CH273" s="55"/>
      <c r="CI273" s="55"/>
      <c r="CJ273" s="55"/>
      <c r="CK273" s="55"/>
      <c r="CL273" s="55"/>
      <c r="CM273" s="55"/>
      <c r="CN273" s="55"/>
      <c r="CO273" s="55"/>
      <c r="CP273" s="55"/>
      <c r="CQ273" s="55"/>
    </row>
    <row r="274" spans="2:95" s="35" customFormat="1" ht="12.75" customHeight="1">
      <c r="B274" s="51"/>
      <c r="D274" s="44"/>
      <c r="X274" s="51"/>
      <c r="Y274" s="51"/>
      <c r="AA274" s="47"/>
      <c r="AC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  <c r="AZ274" s="65"/>
      <c r="BA274" s="51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5"/>
      <c r="BQ274" s="55"/>
      <c r="BR274" s="55"/>
      <c r="BS274" s="55"/>
      <c r="BT274" s="55"/>
      <c r="BU274" s="84"/>
      <c r="BV274" s="55"/>
      <c r="BW274" s="55"/>
      <c r="BX274" s="55"/>
      <c r="BY274" s="55"/>
      <c r="BZ274" s="55"/>
      <c r="CA274" s="55"/>
      <c r="CB274" s="55"/>
      <c r="CC274" s="55"/>
      <c r="CD274" s="55"/>
      <c r="CE274" s="55"/>
      <c r="CF274" s="55"/>
      <c r="CG274" s="55"/>
      <c r="CH274" s="55"/>
      <c r="CI274" s="55"/>
      <c r="CJ274" s="55"/>
      <c r="CK274" s="55"/>
      <c r="CL274" s="55"/>
      <c r="CM274" s="55"/>
      <c r="CN274" s="55"/>
      <c r="CO274" s="55"/>
      <c r="CP274" s="55"/>
      <c r="CQ274" s="55"/>
    </row>
    <row r="275" spans="2:95" s="35" customFormat="1" ht="12.75" customHeight="1">
      <c r="B275" s="51"/>
      <c r="D275" s="44"/>
      <c r="X275" s="51"/>
      <c r="Y275" s="51"/>
      <c r="AA275" s="47"/>
      <c r="AC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/>
      <c r="AZ275" s="65"/>
      <c r="BA275" s="51"/>
      <c r="BB275" s="55"/>
      <c r="BC275" s="55"/>
      <c r="BD275" s="55"/>
      <c r="BE275" s="55"/>
      <c r="BF275" s="55"/>
      <c r="BG275" s="55"/>
      <c r="BH275" s="55"/>
      <c r="BI275" s="55"/>
      <c r="BJ275" s="55"/>
      <c r="BK275" s="55"/>
      <c r="BL275" s="55"/>
      <c r="BM275" s="55"/>
      <c r="BN275" s="55"/>
      <c r="BO275" s="55"/>
      <c r="BP275" s="55"/>
      <c r="BQ275" s="55"/>
      <c r="BR275" s="55"/>
      <c r="BS275" s="55"/>
      <c r="BT275" s="55"/>
      <c r="BU275" s="84"/>
      <c r="BV275" s="55"/>
      <c r="BW275" s="55"/>
      <c r="BX275" s="55"/>
      <c r="BY275" s="55"/>
      <c r="BZ275" s="55"/>
      <c r="CA275" s="55"/>
      <c r="CB275" s="55"/>
      <c r="CC275" s="55"/>
      <c r="CD275" s="55"/>
      <c r="CE275" s="55"/>
      <c r="CF275" s="55"/>
      <c r="CG275" s="55"/>
      <c r="CH275" s="55"/>
      <c r="CI275" s="55"/>
      <c r="CJ275" s="55"/>
      <c r="CK275" s="55"/>
      <c r="CL275" s="55"/>
      <c r="CM275" s="55"/>
      <c r="CN275" s="55"/>
      <c r="CO275" s="55"/>
      <c r="CP275" s="55"/>
      <c r="CQ275" s="55"/>
    </row>
    <row r="276" spans="2:95" s="35" customFormat="1" ht="12.75" customHeight="1">
      <c r="B276" s="51"/>
      <c r="D276" s="44"/>
      <c r="X276" s="51"/>
      <c r="Y276" s="51"/>
      <c r="AA276" s="47"/>
      <c r="AC276" s="51"/>
      <c r="AN276" s="51"/>
      <c r="AO276" s="51"/>
      <c r="AP276" s="51"/>
      <c r="AQ276" s="51"/>
      <c r="AR276" s="51"/>
      <c r="AS276" s="51"/>
      <c r="AT276" s="51"/>
      <c r="AU276" s="51"/>
      <c r="AV276" s="51"/>
      <c r="AW276" s="51"/>
      <c r="AX276" s="51"/>
      <c r="AY276" s="51"/>
      <c r="AZ276" s="65"/>
      <c r="BA276" s="51"/>
      <c r="BB276" s="55"/>
      <c r="BC276" s="55"/>
      <c r="BD276" s="55"/>
      <c r="BE276" s="55"/>
      <c r="BF276" s="55"/>
      <c r="BG276" s="55"/>
      <c r="BH276" s="55"/>
      <c r="BI276" s="55"/>
      <c r="BJ276" s="55"/>
      <c r="BK276" s="55"/>
      <c r="BL276" s="55"/>
      <c r="BM276" s="55"/>
      <c r="BN276" s="55"/>
      <c r="BO276" s="55"/>
      <c r="BP276" s="55"/>
      <c r="BQ276" s="55"/>
      <c r="BR276" s="55"/>
      <c r="BS276" s="55"/>
      <c r="BT276" s="55"/>
      <c r="BU276" s="84"/>
      <c r="BV276" s="55"/>
      <c r="BW276" s="55"/>
      <c r="BX276" s="55"/>
      <c r="BY276" s="55"/>
      <c r="BZ276" s="55"/>
      <c r="CA276" s="55"/>
      <c r="CB276" s="55"/>
      <c r="CC276" s="55"/>
      <c r="CD276" s="55"/>
      <c r="CE276" s="55"/>
      <c r="CF276" s="55"/>
      <c r="CG276" s="55"/>
      <c r="CH276" s="55"/>
      <c r="CI276" s="55"/>
      <c r="CJ276" s="55"/>
      <c r="CK276" s="55"/>
      <c r="CL276" s="55"/>
      <c r="CM276" s="55"/>
      <c r="CN276" s="55"/>
      <c r="CO276" s="55"/>
      <c r="CP276" s="55"/>
      <c r="CQ276" s="55"/>
    </row>
    <row r="277" spans="2:95" s="35" customFormat="1" ht="12.75" customHeight="1">
      <c r="B277" s="51"/>
      <c r="D277" s="44"/>
      <c r="X277" s="51"/>
      <c r="Y277" s="51"/>
      <c r="AA277" s="47"/>
      <c r="AC277" s="51"/>
      <c r="AN277" s="51"/>
      <c r="AO277" s="51"/>
      <c r="AP277" s="51"/>
      <c r="AQ277" s="51"/>
      <c r="AR277" s="51"/>
      <c r="AS277" s="51"/>
      <c r="AT277" s="51"/>
      <c r="AU277" s="51"/>
      <c r="AV277" s="51"/>
      <c r="AW277" s="51"/>
      <c r="AX277" s="51"/>
      <c r="AY277" s="51"/>
      <c r="AZ277" s="65"/>
      <c r="BA277" s="51"/>
      <c r="BB277" s="55"/>
      <c r="BC277" s="55"/>
      <c r="BD277" s="55"/>
      <c r="BE277" s="55"/>
      <c r="BF277" s="55"/>
      <c r="BG277" s="55"/>
      <c r="BH277" s="55"/>
      <c r="BI277" s="55"/>
      <c r="BJ277" s="55"/>
      <c r="BK277" s="55"/>
      <c r="BL277" s="55"/>
      <c r="BM277" s="55"/>
      <c r="BN277" s="55"/>
      <c r="BO277" s="55"/>
      <c r="BP277" s="55"/>
      <c r="BQ277" s="55"/>
      <c r="BR277" s="55"/>
      <c r="BS277" s="55"/>
      <c r="BT277" s="55"/>
      <c r="BU277" s="84"/>
      <c r="BV277" s="55"/>
      <c r="BW277" s="55"/>
      <c r="BX277" s="55"/>
      <c r="BY277" s="55"/>
      <c r="BZ277" s="55"/>
      <c r="CA277" s="55"/>
      <c r="CB277" s="55"/>
      <c r="CC277" s="55"/>
      <c r="CD277" s="55"/>
      <c r="CE277" s="55"/>
      <c r="CF277" s="55"/>
      <c r="CG277" s="55"/>
      <c r="CH277" s="55"/>
      <c r="CI277" s="55"/>
      <c r="CJ277" s="55"/>
      <c r="CK277" s="55"/>
      <c r="CL277" s="55"/>
      <c r="CM277" s="55"/>
      <c r="CN277" s="55"/>
      <c r="CO277" s="55"/>
      <c r="CP277" s="55"/>
      <c r="CQ277" s="55"/>
    </row>
    <row r="278" spans="2:95" s="35" customFormat="1" ht="12.75" customHeight="1">
      <c r="B278" s="51"/>
      <c r="D278" s="44"/>
      <c r="X278" s="51"/>
      <c r="Y278" s="51"/>
      <c r="AA278" s="47"/>
      <c r="AC278" s="51"/>
      <c r="AN278" s="51"/>
      <c r="AO278" s="51"/>
      <c r="AP278" s="51"/>
      <c r="AQ278" s="51"/>
      <c r="AR278" s="51"/>
      <c r="AS278" s="51"/>
      <c r="AT278" s="51"/>
      <c r="AU278" s="51"/>
      <c r="AV278" s="51"/>
      <c r="AW278" s="51"/>
      <c r="AX278" s="51"/>
      <c r="AY278" s="51"/>
      <c r="AZ278" s="65"/>
      <c r="BA278" s="51"/>
      <c r="BB278" s="55"/>
      <c r="BC278" s="55"/>
      <c r="BD278" s="55"/>
      <c r="BE278" s="55"/>
      <c r="BF278" s="55"/>
      <c r="BG278" s="55"/>
      <c r="BH278" s="55"/>
      <c r="BI278" s="55"/>
      <c r="BJ278" s="55"/>
      <c r="BK278" s="55"/>
      <c r="BL278" s="55"/>
      <c r="BM278" s="55"/>
      <c r="BN278" s="55"/>
      <c r="BO278" s="55"/>
      <c r="BP278" s="55"/>
      <c r="BQ278" s="55"/>
      <c r="BR278" s="55"/>
      <c r="BS278" s="55"/>
      <c r="BT278" s="55"/>
      <c r="BU278" s="84"/>
      <c r="BV278" s="55"/>
      <c r="BW278" s="55"/>
      <c r="BX278" s="55"/>
      <c r="BY278" s="55"/>
      <c r="BZ278" s="55"/>
      <c r="CA278" s="55"/>
      <c r="CB278" s="55"/>
      <c r="CC278" s="55"/>
      <c r="CD278" s="55"/>
      <c r="CE278" s="55"/>
      <c r="CF278" s="55"/>
      <c r="CG278" s="55"/>
      <c r="CH278" s="55"/>
      <c r="CI278" s="55"/>
      <c r="CJ278" s="55"/>
      <c r="CK278" s="55"/>
      <c r="CL278" s="55"/>
      <c r="CM278" s="55"/>
      <c r="CN278" s="55"/>
      <c r="CO278" s="55"/>
      <c r="CP278" s="55"/>
      <c r="CQ278" s="55"/>
    </row>
    <row r="279" spans="2:95" s="35" customFormat="1" ht="12.75" customHeight="1">
      <c r="B279" s="51"/>
      <c r="D279" s="44"/>
      <c r="X279" s="51"/>
      <c r="Y279" s="51"/>
      <c r="AA279" s="47"/>
      <c r="AC279" s="51"/>
      <c r="AN279" s="51"/>
      <c r="AO279" s="51"/>
      <c r="AP279" s="51"/>
      <c r="AQ279" s="51"/>
      <c r="AR279" s="51"/>
      <c r="AS279" s="51"/>
      <c r="AT279" s="51"/>
      <c r="AU279" s="51"/>
      <c r="AV279" s="51"/>
      <c r="AW279" s="51"/>
      <c r="AX279" s="51"/>
      <c r="AY279" s="51"/>
      <c r="AZ279" s="65"/>
      <c r="BA279" s="51"/>
      <c r="BB279" s="55"/>
      <c r="BC279" s="55"/>
      <c r="BD279" s="55"/>
      <c r="BE279" s="55"/>
      <c r="BF279" s="55"/>
      <c r="BG279" s="55"/>
      <c r="BH279" s="55"/>
      <c r="BI279" s="55"/>
      <c r="BJ279" s="55"/>
      <c r="BK279" s="55"/>
      <c r="BL279" s="55"/>
      <c r="BM279" s="55"/>
      <c r="BN279" s="55"/>
      <c r="BO279" s="55"/>
      <c r="BP279" s="55"/>
      <c r="BQ279" s="55"/>
      <c r="BR279" s="55"/>
      <c r="BS279" s="55"/>
      <c r="BT279" s="55"/>
      <c r="BU279" s="84"/>
      <c r="BV279" s="55"/>
      <c r="BW279" s="55"/>
      <c r="BX279" s="55"/>
      <c r="BY279" s="55"/>
      <c r="BZ279" s="55"/>
      <c r="CA279" s="55"/>
      <c r="CB279" s="55"/>
      <c r="CC279" s="55"/>
      <c r="CD279" s="55"/>
      <c r="CE279" s="55"/>
      <c r="CF279" s="55"/>
      <c r="CG279" s="55"/>
      <c r="CH279" s="55"/>
      <c r="CI279" s="55"/>
      <c r="CJ279" s="55"/>
      <c r="CK279" s="55"/>
      <c r="CL279" s="55"/>
      <c r="CM279" s="55"/>
      <c r="CN279" s="55"/>
      <c r="CO279" s="55"/>
      <c r="CP279" s="55"/>
      <c r="CQ279" s="55"/>
    </row>
    <row r="280" spans="2:95" s="35" customFormat="1" ht="12.75" customHeight="1">
      <c r="B280" s="51"/>
      <c r="D280" s="44"/>
      <c r="X280" s="51"/>
      <c r="Y280" s="51"/>
      <c r="AA280" s="47"/>
      <c r="AC280" s="51"/>
      <c r="AN280" s="51"/>
      <c r="AO280" s="51"/>
      <c r="AP280" s="51"/>
      <c r="AQ280" s="51"/>
      <c r="AR280" s="51"/>
      <c r="AS280" s="51"/>
      <c r="AT280" s="51"/>
      <c r="AU280" s="51"/>
      <c r="AV280" s="51"/>
      <c r="AW280" s="51"/>
      <c r="AX280" s="51"/>
      <c r="AY280" s="51"/>
      <c r="AZ280" s="65"/>
      <c r="BA280" s="51"/>
      <c r="BB280" s="55"/>
      <c r="BC280" s="55"/>
      <c r="BD280" s="55"/>
      <c r="BE280" s="55"/>
      <c r="BF280" s="55"/>
      <c r="BG280" s="55"/>
      <c r="BH280" s="55"/>
      <c r="BI280" s="55"/>
      <c r="BJ280" s="55"/>
      <c r="BK280" s="55"/>
      <c r="BL280" s="55"/>
      <c r="BM280" s="55"/>
      <c r="BN280" s="55"/>
      <c r="BO280" s="55"/>
      <c r="BP280" s="55"/>
      <c r="BQ280" s="55"/>
      <c r="BR280" s="55"/>
      <c r="BS280" s="55"/>
      <c r="BT280" s="55"/>
      <c r="BU280" s="84"/>
      <c r="BV280" s="55"/>
      <c r="BW280" s="55"/>
      <c r="BX280" s="55"/>
      <c r="BY280" s="55"/>
      <c r="BZ280" s="55"/>
      <c r="CA280" s="55"/>
      <c r="CB280" s="55"/>
      <c r="CC280" s="55"/>
      <c r="CD280" s="55"/>
      <c r="CE280" s="55"/>
      <c r="CF280" s="55"/>
      <c r="CG280" s="55"/>
      <c r="CH280" s="55"/>
      <c r="CI280" s="55"/>
      <c r="CJ280" s="55"/>
      <c r="CK280" s="55"/>
      <c r="CL280" s="55"/>
      <c r="CM280" s="55"/>
      <c r="CN280" s="55"/>
      <c r="CO280" s="55"/>
      <c r="CP280" s="55"/>
      <c r="CQ280" s="55"/>
    </row>
    <row r="281" spans="2:95" s="35" customFormat="1" ht="12.75" customHeight="1">
      <c r="B281" s="51"/>
      <c r="D281" s="44"/>
      <c r="X281" s="51"/>
      <c r="Y281" s="51"/>
      <c r="AA281" s="47"/>
      <c r="AC281" s="51"/>
      <c r="AN281" s="51"/>
      <c r="AO281" s="51"/>
      <c r="AP281" s="51"/>
      <c r="AQ281" s="51"/>
      <c r="AR281" s="51"/>
      <c r="AS281" s="51"/>
      <c r="AT281" s="51"/>
      <c r="AU281" s="51"/>
      <c r="AV281" s="51"/>
      <c r="AW281" s="51"/>
      <c r="AX281" s="51"/>
      <c r="AY281" s="51"/>
      <c r="AZ281" s="65"/>
      <c r="BA281" s="51"/>
      <c r="BB281" s="55"/>
      <c r="BC281" s="55"/>
      <c r="BD281" s="55"/>
      <c r="BE281" s="55"/>
      <c r="BF281" s="55"/>
      <c r="BG281" s="55"/>
      <c r="BH281" s="55"/>
      <c r="BI281" s="55"/>
      <c r="BJ281" s="55"/>
      <c r="BK281" s="55"/>
      <c r="BL281" s="55"/>
      <c r="BM281" s="55"/>
      <c r="BN281" s="55"/>
      <c r="BO281" s="55"/>
      <c r="BP281" s="55"/>
      <c r="BQ281" s="55"/>
      <c r="BR281" s="55"/>
      <c r="BS281" s="55"/>
      <c r="BT281" s="55"/>
      <c r="BU281" s="84"/>
      <c r="BV281" s="55"/>
      <c r="BW281" s="55"/>
      <c r="BX281" s="55"/>
      <c r="BY281" s="55"/>
      <c r="BZ281" s="55"/>
      <c r="CA281" s="55"/>
      <c r="CB281" s="55"/>
      <c r="CC281" s="55"/>
      <c r="CD281" s="55"/>
      <c r="CE281" s="55"/>
      <c r="CF281" s="55"/>
      <c r="CG281" s="55"/>
      <c r="CH281" s="55"/>
      <c r="CI281" s="55"/>
      <c r="CJ281" s="55"/>
      <c r="CK281" s="55"/>
      <c r="CL281" s="55"/>
      <c r="CM281" s="55"/>
      <c r="CN281" s="55"/>
      <c r="CO281" s="55"/>
      <c r="CP281" s="55"/>
      <c r="CQ281" s="55"/>
    </row>
    <row r="282" spans="2:95" s="35" customFormat="1" ht="12.75" customHeight="1">
      <c r="B282" s="51"/>
      <c r="D282" s="44"/>
      <c r="X282" s="51"/>
      <c r="Y282" s="51"/>
      <c r="AA282" s="47"/>
      <c r="AC282" s="51"/>
      <c r="AN282" s="51"/>
      <c r="AO282" s="51"/>
      <c r="AP282" s="51"/>
      <c r="AQ282" s="51"/>
      <c r="AR282" s="51"/>
      <c r="AS282" s="51"/>
      <c r="AT282" s="51"/>
      <c r="AU282" s="51"/>
      <c r="AV282" s="51"/>
      <c r="AW282" s="51"/>
      <c r="AX282" s="51"/>
      <c r="AY282" s="51"/>
      <c r="AZ282" s="65"/>
      <c r="BA282" s="51"/>
      <c r="BB282" s="55"/>
      <c r="BC282" s="55"/>
      <c r="BD282" s="55"/>
      <c r="BE282" s="55"/>
      <c r="BF282" s="55"/>
      <c r="BG282" s="55"/>
      <c r="BH282" s="55"/>
      <c r="BI282" s="55"/>
      <c r="BJ282" s="55"/>
      <c r="BK282" s="55"/>
      <c r="BL282" s="55"/>
      <c r="BM282" s="55"/>
      <c r="BN282" s="55"/>
      <c r="BO282" s="55"/>
      <c r="BP282" s="55"/>
      <c r="BQ282" s="55"/>
      <c r="BR282" s="55"/>
      <c r="BS282" s="55"/>
      <c r="BT282" s="55"/>
      <c r="BU282" s="84"/>
      <c r="BV282" s="55"/>
      <c r="BW282" s="55"/>
      <c r="BX282" s="55"/>
      <c r="BY282" s="55"/>
      <c r="BZ282" s="55"/>
      <c r="CA282" s="55"/>
      <c r="CB282" s="55"/>
      <c r="CC282" s="55"/>
      <c r="CD282" s="55"/>
      <c r="CE282" s="55"/>
      <c r="CF282" s="55"/>
      <c r="CG282" s="55"/>
      <c r="CH282" s="55"/>
      <c r="CI282" s="55"/>
      <c r="CJ282" s="55"/>
      <c r="CK282" s="55"/>
      <c r="CL282" s="55"/>
      <c r="CM282" s="55"/>
      <c r="CN282" s="55"/>
      <c r="CO282" s="55"/>
      <c r="CP282" s="55"/>
      <c r="CQ282" s="55"/>
    </row>
    <row r="283" spans="2:95" s="35" customFormat="1" ht="12.75" customHeight="1">
      <c r="B283" s="51"/>
      <c r="D283" s="44"/>
      <c r="X283" s="51"/>
      <c r="Y283" s="51"/>
      <c r="AA283" s="47"/>
      <c r="AC283" s="51"/>
      <c r="AN283" s="51"/>
      <c r="AO283" s="51"/>
      <c r="AP283" s="51"/>
      <c r="AQ283" s="51"/>
      <c r="AR283" s="51"/>
      <c r="AS283" s="51"/>
      <c r="AT283" s="51"/>
      <c r="AU283" s="51"/>
      <c r="AV283" s="51"/>
      <c r="AW283" s="51"/>
      <c r="AX283" s="51"/>
      <c r="AY283" s="51"/>
      <c r="AZ283" s="65"/>
      <c r="BA283" s="51"/>
      <c r="BB283" s="55"/>
      <c r="BC283" s="55"/>
      <c r="BD283" s="55"/>
      <c r="BE283" s="55"/>
      <c r="BF283" s="55"/>
      <c r="BG283" s="55"/>
      <c r="BH283" s="55"/>
      <c r="BI283" s="55"/>
      <c r="BJ283" s="55"/>
      <c r="BK283" s="55"/>
      <c r="BL283" s="55"/>
      <c r="BM283" s="55"/>
      <c r="BN283" s="55"/>
      <c r="BO283" s="55"/>
      <c r="BP283" s="55"/>
      <c r="BQ283" s="55"/>
      <c r="BR283" s="55"/>
      <c r="BS283" s="55"/>
      <c r="BT283" s="55"/>
      <c r="BU283" s="84"/>
      <c r="BV283" s="55"/>
      <c r="BW283" s="55"/>
      <c r="BX283" s="55"/>
      <c r="BY283" s="55"/>
      <c r="BZ283" s="55"/>
      <c r="CA283" s="55"/>
      <c r="CB283" s="55"/>
      <c r="CC283" s="55"/>
      <c r="CD283" s="55"/>
      <c r="CE283" s="55"/>
      <c r="CF283" s="55"/>
      <c r="CG283" s="55"/>
      <c r="CH283" s="55"/>
      <c r="CI283" s="55"/>
      <c r="CJ283" s="55"/>
      <c r="CK283" s="55"/>
      <c r="CL283" s="55"/>
      <c r="CM283" s="55"/>
      <c r="CN283" s="55"/>
      <c r="CO283" s="55"/>
      <c r="CP283" s="55"/>
      <c r="CQ283" s="55"/>
    </row>
    <row r="284" spans="2:95" s="35" customFormat="1" ht="12.75" customHeight="1">
      <c r="B284" s="51"/>
      <c r="D284" s="44"/>
      <c r="X284" s="51"/>
      <c r="Y284" s="51"/>
      <c r="AA284" s="47"/>
      <c r="AC284" s="51"/>
      <c r="AN284" s="51"/>
      <c r="AO284" s="51"/>
      <c r="AP284" s="51"/>
      <c r="AQ284" s="51"/>
      <c r="AR284" s="51"/>
      <c r="AS284" s="51"/>
      <c r="AT284" s="51"/>
      <c r="AU284" s="51"/>
      <c r="AV284" s="51"/>
      <c r="AW284" s="51"/>
      <c r="AX284" s="51"/>
      <c r="AY284" s="51"/>
      <c r="AZ284" s="65"/>
      <c r="BA284" s="51"/>
      <c r="BB284" s="55"/>
      <c r="BC284" s="55"/>
      <c r="BD284" s="55"/>
      <c r="BE284" s="55"/>
      <c r="BF284" s="55"/>
      <c r="BG284" s="55"/>
      <c r="BH284" s="55"/>
      <c r="BI284" s="55"/>
      <c r="BJ284" s="55"/>
      <c r="BK284" s="55"/>
      <c r="BL284" s="55"/>
      <c r="BM284" s="55"/>
      <c r="BN284" s="55"/>
      <c r="BO284" s="55"/>
      <c r="BP284" s="55"/>
      <c r="BQ284" s="55"/>
      <c r="BR284" s="55"/>
      <c r="BS284" s="55"/>
      <c r="BT284" s="55"/>
      <c r="BU284" s="84"/>
      <c r="BV284" s="55"/>
      <c r="BW284" s="55"/>
      <c r="BX284" s="55"/>
      <c r="BY284" s="55"/>
      <c r="BZ284" s="55"/>
      <c r="CA284" s="55"/>
      <c r="CB284" s="55"/>
      <c r="CC284" s="55"/>
      <c r="CD284" s="55"/>
      <c r="CE284" s="55"/>
      <c r="CF284" s="55"/>
      <c r="CG284" s="55"/>
      <c r="CH284" s="55"/>
      <c r="CI284" s="55"/>
      <c r="CJ284" s="55"/>
      <c r="CK284" s="55"/>
      <c r="CL284" s="55"/>
      <c r="CM284" s="55"/>
      <c r="CN284" s="55"/>
      <c r="CO284" s="55"/>
      <c r="CP284" s="55"/>
      <c r="CQ284" s="55"/>
    </row>
    <row r="285" spans="2:95" s="35" customFormat="1" ht="12.75" customHeight="1">
      <c r="B285" s="51"/>
      <c r="D285" s="44"/>
      <c r="X285" s="51"/>
      <c r="Y285" s="51"/>
      <c r="AA285" s="47"/>
      <c r="AC285" s="51"/>
      <c r="AN285" s="51"/>
      <c r="AO285" s="51"/>
      <c r="AP285" s="51"/>
      <c r="AQ285" s="51"/>
      <c r="AR285" s="51"/>
      <c r="AS285" s="51"/>
      <c r="AT285" s="51"/>
      <c r="AU285" s="51"/>
      <c r="AV285" s="51"/>
      <c r="AW285" s="51"/>
      <c r="AX285" s="51"/>
      <c r="AY285" s="51"/>
      <c r="AZ285" s="65"/>
      <c r="BA285" s="51"/>
      <c r="BB285" s="55"/>
      <c r="BC285" s="55"/>
      <c r="BD285" s="55"/>
      <c r="BE285" s="55"/>
      <c r="BF285" s="55"/>
      <c r="BG285" s="55"/>
      <c r="BH285" s="55"/>
      <c r="BI285" s="55"/>
      <c r="BJ285" s="55"/>
      <c r="BK285" s="55"/>
      <c r="BL285" s="55"/>
      <c r="BM285" s="55"/>
      <c r="BN285" s="55"/>
      <c r="BO285" s="55"/>
      <c r="BP285" s="55"/>
      <c r="BQ285" s="55"/>
      <c r="BR285" s="55"/>
      <c r="BS285" s="55"/>
      <c r="BT285" s="55"/>
      <c r="BU285" s="84"/>
      <c r="BV285" s="55"/>
      <c r="BW285" s="55"/>
      <c r="BX285" s="55"/>
      <c r="BY285" s="55"/>
      <c r="BZ285" s="55"/>
      <c r="CA285" s="55"/>
      <c r="CB285" s="55"/>
      <c r="CC285" s="55"/>
      <c r="CD285" s="55"/>
      <c r="CE285" s="55"/>
      <c r="CF285" s="55"/>
      <c r="CG285" s="55"/>
      <c r="CH285" s="55"/>
      <c r="CI285" s="55"/>
      <c r="CJ285" s="55"/>
      <c r="CK285" s="55"/>
      <c r="CL285" s="55"/>
      <c r="CM285" s="55"/>
      <c r="CN285" s="55"/>
      <c r="CO285" s="55"/>
      <c r="CP285" s="55"/>
      <c r="CQ285" s="55"/>
    </row>
    <row r="286" spans="2:95" s="35" customFormat="1" ht="12.75" customHeight="1">
      <c r="B286" s="51"/>
      <c r="D286" s="44"/>
      <c r="X286" s="51"/>
      <c r="Y286" s="51"/>
      <c r="AA286" s="47"/>
      <c r="AC286" s="51"/>
      <c r="AN286" s="51"/>
      <c r="AO286" s="51"/>
      <c r="AP286" s="51"/>
      <c r="AQ286" s="51"/>
      <c r="AR286" s="51"/>
      <c r="AS286" s="51"/>
      <c r="AT286" s="51"/>
      <c r="AU286" s="51"/>
      <c r="AV286" s="51"/>
      <c r="AW286" s="51"/>
      <c r="AX286" s="51"/>
      <c r="AY286" s="51"/>
      <c r="AZ286" s="65"/>
      <c r="BA286" s="51"/>
      <c r="BB286" s="55"/>
      <c r="BC286" s="55"/>
      <c r="BD286" s="55"/>
      <c r="BE286" s="55"/>
      <c r="BF286" s="55"/>
      <c r="BG286" s="55"/>
      <c r="BH286" s="55"/>
      <c r="BI286" s="55"/>
      <c r="BJ286" s="55"/>
      <c r="BK286" s="55"/>
      <c r="BL286" s="55"/>
      <c r="BM286" s="55"/>
      <c r="BN286" s="55"/>
      <c r="BO286" s="55"/>
      <c r="BP286" s="55"/>
      <c r="BQ286" s="55"/>
      <c r="BR286" s="55"/>
      <c r="BS286" s="55"/>
      <c r="BT286" s="55"/>
      <c r="BU286" s="84"/>
      <c r="BV286" s="55"/>
      <c r="BW286" s="55"/>
      <c r="BX286" s="55"/>
      <c r="BY286" s="55"/>
      <c r="BZ286" s="55"/>
      <c r="CA286" s="55"/>
      <c r="CB286" s="55"/>
      <c r="CC286" s="55"/>
      <c r="CD286" s="55"/>
      <c r="CE286" s="55"/>
      <c r="CF286" s="55"/>
      <c r="CG286" s="55"/>
      <c r="CH286" s="55"/>
      <c r="CI286" s="55"/>
      <c r="CJ286" s="55"/>
      <c r="CK286" s="55"/>
      <c r="CL286" s="55"/>
      <c r="CM286" s="55"/>
      <c r="CN286" s="55"/>
      <c r="CO286" s="55"/>
      <c r="CP286" s="55"/>
      <c r="CQ286" s="55"/>
    </row>
    <row r="287" spans="2:95" s="35" customFormat="1" ht="12.75" customHeight="1">
      <c r="B287" s="51"/>
      <c r="D287" s="44"/>
      <c r="X287" s="51"/>
      <c r="Y287" s="51"/>
      <c r="AA287" s="47"/>
      <c r="AC287" s="51"/>
      <c r="AN287" s="51"/>
      <c r="AO287" s="51"/>
      <c r="AP287" s="51"/>
      <c r="AQ287" s="51"/>
      <c r="AR287" s="51"/>
      <c r="AS287" s="51"/>
      <c r="AT287" s="51"/>
      <c r="AU287" s="51"/>
      <c r="AV287" s="51"/>
      <c r="AW287" s="51"/>
      <c r="AX287" s="51"/>
      <c r="AY287" s="51"/>
      <c r="AZ287" s="65"/>
      <c r="BA287" s="51"/>
      <c r="BB287" s="55"/>
      <c r="BC287" s="55"/>
      <c r="BD287" s="55"/>
      <c r="BE287" s="55"/>
      <c r="BF287" s="55"/>
      <c r="BG287" s="55"/>
      <c r="BH287" s="55"/>
      <c r="BI287" s="55"/>
      <c r="BJ287" s="55"/>
      <c r="BK287" s="55"/>
      <c r="BL287" s="55"/>
      <c r="BM287" s="55"/>
      <c r="BN287" s="55"/>
      <c r="BO287" s="55"/>
      <c r="BP287" s="55"/>
      <c r="BQ287" s="55"/>
      <c r="BR287" s="55"/>
      <c r="BS287" s="55"/>
      <c r="BT287" s="55"/>
      <c r="BU287" s="84"/>
      <c r="BV287" s="55"/>
      <c r="BW287" s="55"/>
      <c r="BX287" s="55"/>
      <c r="BY287" s="55"/>
      <c r="BZ287" s="55"/>
      <c r="CA287" s="55"/>
      <c r="CB287" s="55"/>
      <c r="CC287" s="55"/>
      <c r="CD287" s="55"/>
      <c r="CE287" s="55"/>
      <c r="CF287" s="55"/>
      <c r="CG287" s="55"/>
      <c r="CH287" s="55"/>
      <c r="CI287" s="55"/>
      <c r="CJ287" s="55"/>
      <c r="CK287" s="55"/>
      <c r="CL287" s="55"/>
      <c r="CM287" s="55"/>
      <c r="CN287" s="55"/>
      <c r="CO287" s="55"/>
      <c r="CP287" s="55"/>
      <c r="CQ287" s="55"/>
    </row>
    <row r="288" spans="2:95" s="35" customFormat="1" ht="12.75" customHeight="1">
      <c r="B288" s="51"/>
      <c r="D288" s="44"/>
      <c r="X288" s="51"/>
      <c r="Y288" s="51"/>
      <c r="AA288" s="47"/>
      <c r="AC288" s="51"/>
      <c r="AN288" s="51"/>
      <c r="AO288" s="51"/>
      <c r="AP288" s="51"/>
      <c r="AQ288" s="51"/>
      <c r="AR288" s="51"/>
      <c r="AS288" s="51"/>
      <c r="AT288" s="51"/>
      <c r="AU288" s="51"/>
      <c r="AV288" s="51"/>
      <c r="AW288" s="51"/>
      <c r="AX288" s="51"/>
      <c r="AY288" s="51"/>
      <c r="AZ288" s="65"/>
      <c r="BA288" s="51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  <c r="BL288" s="55"/>
      <c r="BM288" s="55"/>
      <c r="BN288" s="55"/>
      <c r="BO288" s="55"/>
      <c r="BP288" s="55"/>
      <c r="BQ288" s="55"/>
      <c r="BR288" s="55"/>
      <c r="BS288" s="55"/>
      <c r="BT288" s="55"/>
      <c r="BU288" s="84"/>
      <c r="BV288" s="55"/>
      <c r="BW288" s="55"/>
      <c r="BX288" s="55"/>
      <c r="BY288" s="55"/>
      <c r="BZ288" s="55"/>
      <c r="CA288" s="55"/>
      <c r="CB288" s="55"/>
      <c r="CC288" s="55"/>
      <c r="CD288" s="55"/>
      <c r="CE288" s="55"/>
      <c r="CF288" s="55"/>
      <c r="CG288" s="55"/>
      <c r="CH288" s="55"/>
      <c r="CI288" s="55"/>
      <c r="CJ288" s="55"/>
      <c r="CK288" s="55"/>
      <c r="CL288" s="55"/>
      <c r="CM288" s="55"/>
      <c r="CN288" s="55"/>
      <c r="CO288" s="55"/>
      <c r="CP288" s="55"/>
      <c r="CQ288" s="55"/>
    </row>
    <row r="289" spans="2:95" s="35" customFormat="1" ht="12.75" customHeight="1">
      <c r="B289" s="51"/>
      <c r="D289" s="44"/>
      <c r="X289" s="51"/>
      <c r="Y289" s="51"/>
      <c r="AA289" s="47"/>
      <c r="AC289" s="51"/>
      <c r="AN289" s="51"/>
      <c r="AO289" s="51"/>
      <c r="AP289" s="51"/>
      <c r="AQ289" s="51"/>
      <c r="AR289" s="51"/>
      <c r="AS289" s="51"/>
      <c r="AT289" s="51"/>
      <c r="AU289" s="51"/>
      <c r="AV289" s="51"/>
      <c r="AW289" s="51"/>
      <c r="AX289" s="51"/>
      <c r="AY289" s="51"/>
      <c r="AZ289" s="65"/>
      <c r="BA289" s="51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  <c r="BM289" s="55"/>
      <c r="BN289" s="55"/>
      <c r="BO289" s="55"/>
      <c r="BP289" s="55"/>
      <c r="BQ289" s="55"/>
      <c r="BR289" s="55"/>
      <c r="BS289" s="55"/>
      <c r="BT289" s="55"/>
      <c r="BU289" s="84"/>
      <c r="BV289" s="55"/>
      <c r="BW289" s="55"/>
      <c r="BX289" s="55"/>
      <c r="BY289" s="55"/>
      <c r="BZ289" s="55"/>
      <c r="CA289" s="55"/>
      <c r="CB289" s="55"/>
      <c r="CC289" s="55"/>
      <c r="CD289" s="55"/>
      <c r="CE289" s="55"/>
      <c r="CF289" s="55"/>
      <c r="CG289" s="55"/>
      <c r="CH289" s="55"/>
      <c r="CI289" s="55"/>
      <c r="CJ289" s="55"/>
      <c r="CK289" s="55"/>
      <c r="CL289" s="55"/>
      <c r="CM289" s="55"/>
      <c r="CN289" s="55"/>
      <c r="CO289" s="55"/>
      <c r="CP289" s="55"/>
      <c r="CQ289" s="55"/>
    </row>
    <row r="290" spans="2:95" s="35" customFormat="1" ht="12.75" customHeight="1">
      <c r="B290" s="51"/>
      <c r="D290" s="44"/>
      <c r="X290" s="51"/>
      <c r="Y290" s="51"/>
      <c r="AA290" s="47"/>
      <c r="AC290" s="51"/>
      <c r="AN290" s="51"/>
      <c r="AO290" s="51"/>
      <c r="AP290" s="51"/>
      <c r="AQ290" s="51"/>
      <c r="AR290" s="51"/>
      <c r="AS290" s="51"/>
      <c r="AT290" s="51"/>
      <c r="AU290" s="51"/>
      <c r="AV290" s="51"/>
      <c r="AW290" s="51"/>
      <c r="AX290" s="51"/>
      <c r="AY290" s="51"/>
      <c r="AZ290" s="65"/>
      <c r="BA290" s="51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  <c r="BL290" s="55"/>
      <c r="BM290" s="55"/>
      <c r="BN290" s="55"/>
      <c r="BO290" s="55"/>
      <c r="BP290" s="55"/>
      <c r="BQ290" s="55"/>
      <c r="BR290" s="55"/>
      <c r="BS290" s="55"/>
      <c r="BT290" s="55"/>
      <c r="BU290" s="84"/>
      <c r="BV290" s="55"/>
      <c r="BW290" s="55"/>
      <c r="BX290" s="55"/>
      <c r="BY290" s="55"/>
      <c r="BZ290" s="55"/>
      <c r="CA290" s="55"/>
      <c r="CB290" s="55"/>
      <c r="CC290" s="55"/>
      <c r="CD290" s="55"/>
      <c r="CE290" s="55"/>
      <c r="CF290" s="55"/>
      <c r="CG290" s="55"/>
      <c r="CH290" s="55"/>
      <c r="CI290" s="55"/>
      <c r="CJ290" s="55"/>
      <c r="CK290" s="55"/>
      <c r="CL290" s="55"/>
      <c r="CM290" s="55"/>
      <c r="CN290" s="55"/>
      <c r="CO290" s="55"/>
      <c r="CP290" s="55"/>
      <c r="CQ290" s="55"/>
    </row>
    <row r="291" spans="2:95" s="35" customFormat="1" ht="12.75" customHeight="1">
      <c r="B291" s="51"/>
      <c r="D291" s="44"/>
      <c r="X291" s="51"/>
      <c r="Y291" s="51"/>
      <c r="AA291" s="47"/>
      <c r="AC291" s="51"/>
      <c r="AN291" s="51"/>
      <c r="AO291" s="51"/>
      <c r="AP291" s="51"/>
      <c r="AQ291" s="51"/>
      <c r="AR291" s="51"/>
      <c r="AS291" s="51"/>
      <c r="AT291" s="51"/>
      <c r="AU291" s="51"/>
      <c r="AV291" s="51"/>
      <c r="AW291" s="51"/>
      <c r="AX291" s="51"/>
      <c r="AY291" s="51"/>
      <c r="AZ291" s="65"/>
      <c r="BA291" s="51"/>
      <c r="BB291" s="55"/>
      <c r="BC291" s="55"/>
      <c r="BD291" s="55"/>
      <c r="BE291" s="55"/>
      <c r="BF291" s="55"/>
      <c r="BG291" s="55"/>
      <c r="BH291" s="55"/>
      <c r="BI291" s="55"/>
      <c r="BJ291" s="55"/>
      <c r="BK291" s="55"/>
      <c r="BL291" s="55"/>
      <c r="BM291" s="55"/>
      <c r="BN291" s="55"/>
      <c r="BO291" s="55"/>
      <c r="BP291" s="55"/>
      <c r="BQ291" s="55"/>
      <c r="BR291" s="55"/>
      <c r="BS291" s="55"/>
      <c r="BT291" s="55"/>
      <c r="BU291" s="84"/>
      <c r="BV291" s="55"/>
      <c r="BW291" s="55"/>
      <c r="BX291" s="55"/>
      <c r="BY291" s="55"/>
      <c r="BZ291" s="55"/>
      <c r="CA291" s="55"/>
      <c r="CB291" s="55"/>
      <c r="CC291" s="55"/>
      <c r="CD291" s="55"/>
      <c r="CE291" s="55"/>
      <c r="CF291" s="55"/>
      <c r="CG291" s="55"/>
      <c r="CH291" s="55"/>
      <c r="CI291" s="55"/>
      <c r="CJ291" s="55"/>
      <c r="CK291" s="55"/>
      <c r="CL291" s="55"/>
      <c r="CM291" s="55"/>
      <c r="CN291" s="55"/>
      <c r="CO291" s="55"/>
      <c r="CP291" s="55"/>
      <c r="CQ291" s="55"/>
    </row>
    <row r="292" spans="2:95" s="35" customFormat="1" ht="12.75" customHeight="1">
      <c r="B292" s="51"/>
      <c r="D292" s="44"/>
      <c r="X292" s="51"/>
      <c r="Y292" s="51"/>
      <c r="AA292" s="47"/>
      <c r="AC292" s="51"/>
      <c r="AN292" s="51"/>
      <c r="AO292" s="51"/>
      <c r="AP292" s="51"/>
      <c r="AQ292" s="51"/>
      <c r="AR292" s="51"/>
      <c r="AS292" s="51"/>
      <c r="AT292" s="51"/>
      <c r="AU292" s="51"/>
      <c r="AV292" s="51"/>
      <c r="AW292" s="51"/>
      <c r="AX292" s="51"/>
      <c r="AY292" s="51"/>
      <c r="AZ292" s="65"/>
      <c r="BA292" s="51"/>
      <c r="BB292" s="55"/>
      <c r="BC292" s="55"/>
      <c r="BD292" s="55"/>
      <c r="BE292" s="55"/>
      <c r="BF292" s="55"/>
      <c r="BG292" s="55"/>
      <c r="BH292" s="55"/>
      <c r="BI292" s="55"/>
      <c r="BJ292" s="55"/>
      <c r="BK292" s="55"/>
      <c r="BL292" s="55"/>
      <c r="BM292" s="55"/>
      <c r="BN292" s="55"/>
      <c r="BO292" s="55"/>
      <c r="BP292" s="55"/>
      <c r="BQ292" s="55"/>
      <c r="BR292" s="55"/>
      <c r="BS292" s="55"/>
      <c r="BT292" s="55"/>
      <c r="BU292" s="84"/>
      <c r="BV292" s="55"/>
      <c r="BW292" s="55"/>
      <c r="BX292" s="55"/>
      <c r="BY292" s="55"/>
      <c r="BZ292" s="55"/>
      <c r="CA292" s="55"/>
      <c r="CB292" s="55"/>
      <c r="CC292" s="55"/>
      <c r="CD292" s="55"/>
      <c r="CE292" s="55"/>
      <c r="CF292" s="55"/>
      <c r="CG292" s="55"/>
      <c r="CH292" s="55"/>
      <c r="CI292" s="55"/>
      <c r="CJ292" s="55"/>
      <c r="CK292" s="55"/>
      <c r="CL292" s="55"/>
      <c r="CM292" s="55"/>
      <c r="CN292" s="55"/>
      <c r="CO292" s="55"/>
      <c r="CP292" s="55"/>
      <c r="CQ292" s="55"/>
    </row>
    <row r="293" spans="2:95" s="35" customFormat="1" ht="12.75" customHeight="1">
      <c r="B293" s="51"/>
      <c r="D293" s="44"/>
      <c r="X293" s="51"/>
      <c r="Y293" s="51"/>
      <c r="AA293" s="47"/>
      <c r="AC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  <c r="AZ293" s="65"/>
      <c r="BA293" s="51"/>
      <c r="BB293" s="55"/>
      <c r="BC293" s="55"/>
      <c r="BD293" s="55"/>
      <c r="BE293" s="55"/>
      <c r="BF293" s="55"/>
      <c r="BG293" s="55"/>
      <c r="BH293" s="55"/>
      <c r="BI293" s="55"/>
      <c r="BJ293" s="55"/>
      <c r="BK293" s="55"/>
      <c r="BL293" s="55"/>
      <c r="BM293" s="55"/>
      <c r="BN293" s="55"/>
      <c r="BO293" s="55"/>
      <c r="BP293" s="55"/>
      <c r="BQ293" s="55"/>
      <c r="BR293" s="55"/>
      <c r="BS293" s="55"/>
      <c r="BT293" s="55"/>
      <c r="BU293" s="84"/>
      <c r="BV293" s="55"/>
      <c r="BW293" s="55"/>
      <c r="BX293" s="55"/>
      <c r="BY293" s="55"/>
      <c r="BZ293" s="55"/>
      <c r="CA293" s="55"/>
      <c r="CB293" s="55"/>
      <c r="CC293" s="55"/>
      <c r="CD293" s="55"/>
      <c r="CE293" s="55"/>
      <c r="CF293" s="55"/>
      <c r="CG293" s="55"/>
      <c r="CH293" s="55"/>
      <c r="CI293" s="55"/>
      <c r="CJ293" s="55"/>
      <c r="CK293" s="55"/>
      <c r="CL293" s="55"/>
      <c r="CM293" s="55"/>
      <c r="CN293" s="55"/>
      <c r="CO293" s="55"/>
      <c r="CP293" s="55"/>
      <c r="CQ293" s="55"/>
    </row>
    <row r="294" spans="2:95" s="35" customFormat="1" ht="12.75" customHeight="1">
      <c r="B294" s="51"/>
      <c r="D294" s="44"/>
      <c r="X294" s="51"/>
      <c r="Y294" s="51"/>
      <c r="AA294" s="47"/>
      <c r="AC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65"/>
      <c r="BA294" s="51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  <c r="BL294" s="55"/>
      <c r="BM294" s="55"/>
      <c r="BN294" s="55"/>
      <c r="BO294" s="55"/>
      <c r="BP294" s="55"/>
      <c r="BQ294" s="55"/>
      <c r="BR294" s="55"/>
      <c r="BS294" s="55"/>
      <c r="BT294" s="55"/>
      <c r="BU294" s="84"/>
      <c r="BV294" s="55"/>
      <c r="BW294" s="55"/>
      <c r="BX294" s="55"/>
      <c r="BY294" s="55"/>
      <c r="BZ294" s="55"/>
      <c r="CA294" s="55"/>
      <c r="CB294" s="55"/>
      <c r="CC294" s="55"/>
      <c r="CD294" s="55"/>
      <c r="CE294" s="55"/>
      <c r="CF294" s="55"/>
      <c r="CG294" s="55"/>
      <c r="CH294" s="55"/>
      <c r="CI294" s="55"/>
      <c r="CJ294" s="55"/>
      <c r="CK294" s="55"/>
      <c r="CL294" s="55"/>
      <c r="CM294" s="55"/>
      <c r="CN294" s="55"/>
      <c r="CO294" s="55"/>
      <c r="CP294" s="55"/>
      <c r="CQ294" s="55"/>
    </row>
    <row r="295" spans="2:95" s="35" customFormat="1" ht="12.75" customHeight="1">
      <c r="B295" s="51"/>
      <c r="D295" s="44"/>
      <c r="X295" s="51"/>
      <c r="Y295" s="51"/>
      <c r="AA295" s="47"/>
      <c r="AC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  <c r="AZ295" s="65"/>
      <c r="BA295" s="51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  <c r="BM295" s="55"/>
      <c r="BN295" s="55"/>
      <c r="BO295" s="55"/>
      <c r="BP295" s="55"/>
      <c r="BQ295" s="55"/>
      <c r="BR295" s="55"/>
      <c r="BS295" s="55"/>
      <c r="BT295" s="55"/>
      <c r="BU295" s="84"/>
      <c r="BV295" s="55"/>
      <c r="BW295" s="55"/>
      <c r="BX295" s="55"/>
      <c r="BY295" s="55"/>
      <c r="BZ295" s="55"/>
      <c r="CA295" s="55"/>
      <c r="CB295" s="55"/>
      <c r="CC295" s="55"/>
      <c r="CD295" s="55"/>
      <c r="CE295" s="55"/>
      <c r="CF295" s="55"/>
      <c r="CG295" s="55"/>
      <c r="CH295" s="55"/>
      <c r="CI295" s="55"/>
      <c r="CJ295" s="55"/>
      <c r="CK295" s="55"/>
      <c r="CL295" s="55"/>
      <c r="CM295" s="55"/>
      <c r="CN295" s="55"/>
      <c r="CO295" s="55"/>
      <c r="CP295" s="55"/>
      <c r="CQ295" s="55"/>
    </row>
    <row r="296" spans="2:95" s="35" customFormat="1" ht="12.75" customHeight="1">
      <c r="B296" s="51"/>
      <c r="D296" s="44"/>
      <c r="X296" s="51"/>
      <c r="Y296" s="51"/>
      <c r="AA296" s="47"/>
      <c r="AC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65"/>
      <c r="BA296" s="51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  <c r="BL296" s="55"/>
      <c r="BM296" s="55"/>
      <c r="BN296" s="55"/>
      <c r="BO296" s="55"/>
      <c r="BP296" s="55"/>
      <c r="BQ296" s="55"/>
      <c r="BR296" s="55"/>
      <c r="BS296" s="55"/>
      <c r="BT296" s="55"/>
      <c r="BU296" s="84"/>
      <c r="BV296" s="55"/>
      <c r="BW296" s="55"/>
      <c r="BX296" s="55"/>
      <c r="BY296" s="55"/>
      <c r="BZ296" s="55"/>
      <c r="CA296" s="55"/>
      <c r="CB296" s="55"/>
      <c r="CC296" s="55"/>
      <c r="CD296" s="55"/>
      <c r="CE296" s="55"/>
      <c r="CF296" s="55"/>
      <c r="CG296" s="55"/>
      <c r="CH296" s="55"/>
      <c r="CI296" s="55"/>
      <c r="CJ296" s="55"/>
      <c r="CK296" s="55"/>
      <c r="CL296" s="55"/>
      <c r="CM296" s="55"/>
      <c r="CN296" s="55"/>
      <c r="CO296" s="55"/>
      <c r="CP296" s="55"/>
      <c r="CQ296" s="55"/>
    </row>
    <row r="297" spans="2:95" s="35" customFormat="1" ht="12.75" customHeight="1">
      <c r="B297" s="51"/>
      <c r="D297" s="44"/>
      <c r="X297" s="51"/>
      <c r="Y297" s="51"/>
      <c r="AA297" s="47"/>
      <c r="AC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65"/>
      <c r="BA297" s="51"/>
      <c r="BB297" s="55"/>
      <c r="BC297" s="55"/>
      <c r="BD297" s="55"/>
      <c r="BE297" s="55"/>
      <c r="BF297" s="55"/>
      <c r="BG297" s="55"/>
      <c r="BH297" s="55"/>
      <c r="BI297" s="55"/>
      <c r="BJ297" s="55"/>
      <c r="BK297" s="55"/>
      <c r="BL297" s="55"/>
      <c r="BM297" s="55"/>
      <c r="BN297" s="55"/>
      <c r="BO297" s="55"/>
      <c r="BP297" s="55"/>
      <c r="BQ297" s="55"/>
      <c r="BR297" s="55"/>
      <c r="BS297" s="55"/>
      <c r="BT297" s="55"/>
      <c r="BU297" s="84"/>
      <c r="BV297" s="55"/>
      <c r="BW297" s="55"/>
      <c r="BX297" s="55"/>
      <c r="BY297" s="55"/>
      <c r="BZ297" s="55"/>
      <c r="CA297" s="55"/>
      <c r="CB297" s="55"/>
      <c r="CC297" s="55"/>
      <c r="CD297" s="55"/>
      <c r="CE297" s="55"/>
      <c r="CF297" s="55"/>
      <c r="CG297" s="55"/>
      <c r="CH297" s="55"/>
      <c r="CI297" s="55"/>
      <c r="CJ297" s="55"/>
      <c r="CK297" s="55"/>
      <c r="CL297" s="55"/>
      <c r="CM297" s="55"/>
      <c r="CN297" s="55"/>
      <c r="CO297" s="55"/>
      <c r="CP297" s="55"/>
      <c r="CQ297" s="55"/>
    </row>
    <row r="298" spans="2:95" s="35" customFormat="1" ht="12.75" customHeight="1">
      <c r="B298" s="51"/>
      <c r="D298" s="44"/>
      <c r="X298" s="51"/>
      <c r="Y298" s="51"/>
      <c r="AA298" s="47"/>
      <c r="AC298" s="51"/>
      <c r="AN298" s="51"/>
      <c r="AO298" s="51"/>
      <c r="AP298" s="51"/>
      <c r="AQ298" s="51"/>
      <c r="AR298" s="51"/>
      <c r="AS298" s="51"/>
      <c r="AT298" s="51"/>
      <c r="AU298" s="51"/>
      <c r="AV298" s="51"/>
      <c r="AW298" s="51"/>
      <c r="AX298" s="51"/>
      <c r="AY298" s="51"/>
      <c r="AZ298" s="65"/>
      <c r="BA298" s="51"/>
      <c r="BB298" s="55"/>
      <c r="BC298" s="55"/>
      <c r="BD298" s="55"/>
      <c r="BE298" s="55"/>
      <c r="BF298" s="55"/>
      <c r="BG298" s="55"/>
      <c r="BH298" s="55"/>
      <c r="BI298" s="55"/>
      <c r="BJ298" s="55"/>
      <c r="BK298" s="55"/>
      <c r="BL298" s="55"/>
      <c r="BM298" s="55"/>
      <c r="BN298" s="55"/>
      <c r="BO298" s="55"/>
      <c r="BP298" s="55"/>
      <c r="BQ298" s="55"/>
      <c r="BR298" s="55"/>
      <c r="BS298" s="55"/>
      <c r="BT298" s="55"/>
      <c r="BU298" s="84"/>
      <c r="BV298" s="55"/>
      <c r="BW298" s="55"/>
      <c r="BX298" s="55"/>
      <c r="BY298" s="55"/>
      <c r="BZ298" s="55"/>
      <c r="CA298" s="55"/>
      <c r="CB298" s="55"/>
      <c r="CC298" s="55"/>
      <c r="CD298" s="55"/>
      <c r="CE298" s="55"/>
      <c r="CF298" s="55"/>
      <c r="CG298" s="55"/>
      <c r="CH298" s="55"/>
      <c r="CI298" s="55"/>
      <c r="CJ298" s="55"/>
      <c r="CK298" s="55"/>
      <c r="CL298" s="55"/>
      <c r="CM298" s="55"/>
      <c r="CN298" s="55"/>
      <c r="CO298" s="55"/>
      <c r="CP298" s="55"/>
      <c r="CQ298" s="55"/>
    </row>
    <row r="299" spans="2:95" s="35" customFormat="1" ht="12.75" customHeight="1">
      <c r="B299" s="51"/>
      <c r="D299" s="44"/>
      <c r="X299" s="51"/>
      <c r="Y299" s="51"/>
      <c r="AA299" s="47"/>
      <c r="AC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  <c r="AX299" s="51"/>
      <c r="AY299" s="51"/>
      <c r="AZ299" s="65"/>
      <c r="BA299" s="51"/>
      <c r="BB299" s="55"/>
      <c r="BC299" s="55"/>
      <c r="BD299" s="55"/>
      <c r="BE299" s="55"/>
      <c r="BF299" s="55"/>
      <c r="BG299" s="55"/>
      <c r="BH299" s="55"/>
      <c r="BI299" s="55"/>
      <c r="BJ299" s="55"/>
      <c r="BK299" s="55"/>
      <c r="BL299" s="55"/>
      <c r="BM299" s="55"/>
      <c r="BN299" s="55"/>
      <c r="BO299" s="55"/>
      <c r="BP299" s="55"/>
      <c r="BQ299" s="55"/>
      <c r="BR299" s="55"/>
      <c r="BS299" s="55"/>
      <c r="BT299" s="55"/>
      <c r="BU299" s="84"/>
      <c r="BV299" s="55"/>
      <c r="BW299" s="55"/>
      <c r="BX299" s="55"/>
      <c r="BY299" s="55"/>
      <c r="BZ299" s="55"/>
      <c r="CA299" s="55"/>
      <c r="CB299" s="55"/>
      <c r="CC299" s="55"/>
      <c r="CD299" s="55"/>
      <c r="CE299" s="55"/>
      <c r="CF299" s="55"/>
      <c r="CG299" s="55"/>
      <c r="CH299" s="55"/>
      <c r="CI299" s="55"/>
      <c r="CJ299" s="55"/>
      <c r="CK299" s="55"/>
      <c r="CL299" s="55"/>
      <c r="CM299" s="55"/>
      <c r="CN299" s="55"/>
      <c r="CO299" s="55"/>
      <c r="CP299" s="55"/>
      <c r="CQ299" s="55"/>
    </row>
    <row r="300" spans="2:95" s="35" customFormat="1" ht="12.75" customHeight="1">
      <c r="B300" s="51"/>
      <c r="D300" s="44"/>
      <c r="X300" s="51"/>
      <c r="Y300" s="51"/>
      <c r="AA300" s="47"/>
      <c r="AC300" s="51"/>
      <c r="AN300" s="51"/>
      <c r="AO300" s="51"/>
      <c r="AP300" s="51"/>
      <c r="AQ300" s="51"/>
      <c r="AR300" s="51"/>
      <c r="AS300" s="51"/>
      <c r="AT300" s="51"/>
      <c r="AU300" s="51"/>
      <c r="AV300" s="51"/>
      <c r="AW300" s="51"/>
      <c r="AX300" s="51"/>
      <c r="AY300" s="51"/>
      <c r="AZ300" s="65"/>
      <c r="BA300" s="51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  <c r="BM300" s="55"/>
      <c r="BN300" s="55"/>
      <c r="BO300" s="55"/>
      <c r="BP300" s="55"/>
      <c r="BQ300" s="55"/>
      <c r="BR300" s="55"/>
      <c r="BS300" s="55"/>
      <c r="BT300" s="55"/>
      <c r="BU300" s="84"/>
      <c r="BV300" s="55"/>
      <c r="BW300" s="55"/>
      <c r="BX300" s="55"/>
      <c r="BY300" s="55"/>
      <c r="BZ300" s="55"/>
      <c r="CA300" s="55"/>
      <c r="CB300" s="55"/>
      <c r="CC300" s="55"/>
      <c r="CD300" s="55"/>
      <c r="CE300" s="55"/>
      <c r="CF300" s="55"/>
      <c r="CG300" s="55"/>
      <c r="CH300" s="55"/>
      <c r="CI300" s="55"/>
      <c r="CJ300" s="55"/>
      <c r="CK300" s="55"/>
      <c r="CL300" s="55"/>
      <c r="CM300" s="55"/>
      <c r="CN300" s="55"/>
      <c r="CO300" s="55"/>
      <c r="CP300" s="55"/>
      <c r="CQ300" s="55"/>
    </row>
    <row r="301" spans="2:95" s="35" customFormat="1" ht="12.75" customHeight="1">
      <c r="B301" s="51"/>
      <c r="D301" s="44"/>
      <c r="X301" s="51"/>
      <c r="Y301" s="51"/>
      <c r="AA301" s="47"/>
      <c r="AC301" s="51"/>
      <c r="AN301" s="51"/>
      <c r="AO301" s="51"/>
      <c r="AP301" s="51"/>
      <c r="AQ301" s="51"/>
      <c r="AR301" s="51"/>
      <c r="AS301" s="51"/>
      <c r="AT301" s="51"/>
      <c r="AU301" s="51"/>
      <c r="AV301" s="51"/>
      <c r="AW301" s="51"/>
      <c r="AX301" s="51"/>
      <c r="AY301" s="51"/>
      <c r="AZ301" s="65"/>
      <c r="BA301" s="51"/>
      <c r="BB301" s="55"/>
      <c r="BC301" s="55"/>
      <c r="BD301" s="55"/>
      <c r="BE301" s="55"/>
      <c r="BF301" s="55"/>
      <c r="BG301" s="55"/>
      <c r="BH301" s="55"/>
      <c r="BI301" s="55"/>
      <c r="BJ301" s="55"/>
      <c r="BK301" s="55"/>
      <c r="BL301" s="55"/>
      <c r="BM301" s="55"/>
      <c r="BN301" s="55"/>
      <c r="BO301" s="55"/>
      <c r="BP301" s="55"/>
      <c r="BQ301" s="55"/>
      <c r="BR301" s="55"/>
      <c r="BS301" s="55"/>
      <c r="BT301" s="55"/>
      <c r="BU301" s="84"/>
      <c r="BV301" s="55"/>
      <c r="BW301" s="55"/>
      <c r="BX301" s="55"/>
      <c r="BY301" s="55"/>
      <c r="BZ301" s="55"/>
      <c r="CA301" s="55"/>
      <c r="CB301" s="55"/>
      <c r="CC301" s="55"/>
      <c r="CD301" s="55"/>
      <c r="CE301" s="55"/>
      <c r="CF301" s="55"/>
      <c r="CG301" s="55"/>
      <c r="CH301" s="55"/>
      <c r="CI301" s="55"/>
      <c r="CJ301" s="55"/>
      <c r="CK301" s="55"/>
      <c r="CL301" s="55"/>
      <c r="CM301" s="55"/>
      <c r="CN301" s="55"/>
      <c r="CO301" s="55"/>
      <c r="CP301" s="55"/>
      <c r="CQ301" s="55"/>
    </row>
    <row r="302" spans="2:95" s="35" customFormat="1" ht="12.75" customHeight="1">
      <c r="B302" s="51"/>
      <c r="D302" s="44"/>
      <c r="X302" s="51"/>
      <c r="Y302" s="51"/>
      <c r="AA302" s="47"/>
      <c r="AC302" s="51"/>
      <c r="AN302" s="51"/>
      <c r="AO302" s="51"/>
      <c r="AP302" s="51"/>
      <c r="AQ302" s="51"/>
      <c r="AR302" s="51"/>
      <c r="AS302" s="51"/>
      <c r="AT302" s="51"/>
      <c r="AU302" s="51"/>
      <c r="AV302" s="51"/>
      <c r="AW302" s="51"/>
      <c r="AX302" s="51"/>
      <c r="AY302" s="51"/>
      <c r="AZ302" s="65"/>
      <c r="BA302" s="51"/>
      <c r="BB302" s="55"/>
      <c r="BC302" s="55"/>
      <c r="BD302" s="55"/>
      <c r="BE302" s="55"/>
      <c r="BF302" s="55"/>
      <c r="BG302" s="55"/>
      <c r="BH302" s="55"/>
      <c r="BI302" s="55"/>
      <c r="BJ302" s="55"/>
      <c r="BK302" s="55"/>
      <c r="BL302" s="55"/>
      <c r="BM302" s="55"/>
      <c r="BN302" s="55"/>
      <c r="BO302" s="55"/>
      <c r="BP302" s="55"/>
      <c r="BQ302" s="55"/>
      <c r="BR302" s="55"/>
      <c r="BS302" s="55"/>
      <c r="BT302" s="55"/>
      <c r="BU302" s="84"/>
      <c r="BV302" s="55"/>
      <c r="BW302" s="55"/>
      <c r="BX302" s="55"/>
      <c r="BY302" s="55"/>
      <c r="BZ302" s="55"/>
      <c r="CA302" s="55"/>
      <c r="CB302" s="55"/>
      <c r="CC302" s="55"/>
      <c r="CD302" s="55"/>
      <c r="CE302" s="55"/>
      <c r="CF302" s="55"/>
      <c r="CG302" s="55"/>
      <c r="CH302" s="55"/>
      <c r="CI302" s="55"/>
      <c r="CJ302" s="55"/>
      <c r="CK302" s="55"/>
      <c r="CL302" s="55"/>
      <c r="CM302" s="55"/>
      <c r="CN302" s="55"/>
      <c r="CO302" s="55"/>
      <c r="CP302" s="55"/>
      <c r="CQ302" s="55"/>
    </row>
    <row r="303" spans="2:95" s="35" customFormat="1" ht="12.75" customHeight="1">
      <c r="B303" s="51"/>
      <c r="D303" s="44"/>
      <c r="X303" s="51"/>
      <c r="Y303" s="51"/>
      <c r="AA303" s="47"/>
      <c r="AC303" s="51"/>
      <c r="AN303" s="51"/>
      <c r="AO303" s="51"/>
      <c r="AP303" s="51"/>
      <c r="AQ303" s="51"/>
      <c r="AR303" s="51"/>
      <c r="AS303" s="51"/>
      <c r="AT303" s="51"/>
      <c r="AU303" s="51"/>
      <c r="AV303" s="51"/>
      <c r="AW303" s="51"/>
      <c r="AX303" s="51"/>
      <c r="AY303" s="51"/>
      <c r="AZ303" s="65"/>
      <c r="BA303" s="51"/>
      <c r="BB303" s="55"/>
      <c r="BC303" s="55"/>
      <c r="BD303" s="55"/>
      <c r="BE303" s="55"/>
      <c r="BF303" s="55"/>
      <c r="BG303" s="55"/>
      <c r="BH303" s="55"/>
      <c r="BI303" s="55"/>
      <c r="BJ303" s="55"/>
      <c r="BK303" s="55"/>
      <c r="BL303" s="55"/>
      <c r="BM303" s="55"/>
      <c r="BN303" s="55"/>
      <c r="BO303" s="55"/>
      <c r="BP303" s="55"/>
      <c r="BQ303" s="55"/>
      <c r="BR303" s="55"/>
      <c r="BS303" s="55"/>
      <c r="BT303" s="55"/>
      <c r="BU303" s="84"/>
      <c r="BV303" s="55"/>
      <c r="BW303" s="55"/>
      <c r="BX303" s="55"/>
      <c r="BY303" s="55"/>
      <c r="BZ303" s="55"/>
      <c r="CA303" s="55"/>
      <c r="CB303" s="55"/>
      <c r="CC303" s="55"/>
      <c r="CD303" s="55"/>
      <c r="CE303" s="55"/>
      <c r="CF303" s="55"/>
      <c r="CG303" s="55"/>
      <c r="CH303" s="55"/>
      <c r="CI303" s="55"/>
      <c r="CJ303" s="55"/>
      <c r="CK303" s="55"/>
      <c r="CL303" s="55"/>
      <c r="CM303" s="55"/>
      <c r="CN303" s="55"/>
      <c r="CO303" s="55"/>
      <c r="CP303" s="55"/>
      <c r="CQ303" s="55"/>
    </row>
    <row r="304" spans="2:95" s="35" customFormat="1" ht="12.75" customHeight="1">
      <c r="B304" s="51"/>
      <c r="D304" s="44"/>
      <c r="X304" s="51"/>
      <c r="Y304" s="51"/>
      <c r="AA304" s="47"/>
      <c r="AC304" s="51"/>
      <c r="AN304" s="51"/>
      <c r="AO304" s="51"/>
      <c r="AP304" s="51"/>
      <c r="AQ304" s="51"/>
      <c r="AR304" s="51"/>
      <c r="AS304" s="51"/>
      <c r="AT304" s="51"/>
      <c r="AU304" s="51"/>
      <c r="AV304" s="51"/>
      <c r="AW304" s="51"/>
      <c r="AX304" s="51"/>
      <c r="AY304" s="51"/>
      <c r="AZ304" s="65"/>
      <c r="BA304" s="51"/>
      <c r="BB304" s="55"/>
      <c r="BC304" s="55"/>
      <c r="BD304" s="55"/>
      <c r="BE304" s="55"/>
      <c r="BF304" s="55"/>
      <c r="BG304" s="55"/>
      <c r="BH304" s="55"/>
      <c r="BI304" s="55"/>
      <c r="BJ304" s="55"/>
      <c r="BK304" s="55"/>
      <c r="BL304" s="55"/>
      <c r="BM304" s="55"/>
      <c r="BN304" s="55"/>
      <c r="BO304" s="55"/>
      <c r="BP304" s="55"/>
      <c r="BQ304" s="55"/>
      <c r="BR304" s="55"/>
      <c r="BS304" s="55"/>
      <c r="BT304" s="55"/>
      <c r="BU304" s="84"/>
      <c r="BV304" s="55"/>
      <c r="BW304" s="55"/>
      <c r="BX304" s="55"/>
      <c r="BY304" s="55"/>
      <c r="BZ304" s="55"/>
      <c r="CA304" s="55"/>
      <c r="CB304" s="55"/>
      <c r="CC304" s="55"/>
      <c r="CD304" s="55"/>
      <c r="CE304" s="55"/>
      <c r="CF304" s="55"/>
      <c r="CG304" s="55"/>
      <c r="CH304" s="55"/>
      <c r="CI304" s="55"/>
      <c r="CJ304" s="55"/>
      <c r="CK304" s="55"/>
      <c r="CL304" s="55"/>
      <c r="CM304" s="55"/>
      <c r="CN304" s="55"/>
      <c r="CO304" s="55"/>
      <c r="CP304" s="55"/>
      <c r="CQ304" s="55"/>
    </row>
    <row r="305" spans="2:95" s="35" customFormat="1" ht="12.75" customHeight="1">
      <c r="B305" s="51"/>
      <c r="D305" s="44"/>
      <c r="X305" s="51"/>
      <c r="Y305" s="51"/>
      <c r="AA305" s="47"/>
      <c r="AC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  <c r="AZ305" s="65"/>
      <c r="BA305" s="51"/>
      <c r="BB305" s="55"/>
      <c r="BC305" s="55"/>
      <c r="BD305" s="55"/>
      <c r="BE305" s="55"/>
      <c r="BF305" s="55"/>
      <c r="BG305" s="55"/>
      <c r="BH305" s="55"/>
      <c r="BI305" s="55"/>
      <c r="BJ305" s="55"/>
      <c r="BK305" s="55"/>
      <c r="BL305" s="55"/>
      <c r="BM305" s="55"/>
      <c r="BN305" s="55"/>
      <c r="BO305" s="55"/>
      <c r="BP305" s="55"/>
      <c r="BQ305" s="55"/>
      <c r="BR305" s="55"/>
      <c r="BS305" s="55"/>
      <c r="BT305" s="55"/>
      <c r="BU305" s="84"/>
      <c r="BV305" s="55"/>
      <c r="BW305" s="55"/>
      <c r="BX305" s="55"/>
      <c r="BY305" s="55"/>
      <c r="BZ305" s="55"/>
      <c r="CA305" s="55"/>
      <c r="CB305" s="55"/>
      <c r="CC305" s="55"/>
      <c r="CD305" s="55"/>
      <c r="CE305" s="55"/>
      <c r="CF305" s="55"/>
      <c r="CG305" s="55"/>
      <c r="CH305" s="55"/>
      <c r="CI305" s="55"/>
      <c r="CJ305" s="55"/>
      <c r="CK305" s="55"/>
      <c r="CL305" s="55"/>
      <c r="CM305" s="55"/>
      <c r="CN305" s="55"/>
      <c r="CO305" s="55"/>
      <c r="CP305" s="55"/>
      <c r="CQ305" s="55"/>
    </row>
    <row r="306" spans="2:95" s="35" customFormat="1" ht="12.75" customHeight="1">
      <c r="B306" s="51"/>
      <c r="D306" s="44"/>
      <c r="X306" s="51"/>
      <c r="Y306" s="51"/>
      <c r="AA306" s="47"/>
      <c r="AC306" s="51"/>
      <c r="AN306" s="51"/>
      <c r="AO306" s="51"/>
      <c r="AP306" s="51"/>
      <c r="AQ306" s="51"/>
      <c r="AR306" s="51"/>
      <c r="AS306" s="51"/>
      <c r="AT306" s="51"/>
      <c r="AU306" s="51"/>
      <c r="AV306" s="51"/>
      <c r="AW306" s="51"/>
      <c r="AX306" s="51"/>
      <c r="AY306" s="51"/>
      <c r="AZ306" s="65"/>
      <c r="BA306" s="51"/>
      <c r="BB306" s="55"/>
      <c r="BC306" s="55"/>
      <c r="BD306" s="55"/>
      <c r="BE306" s="55"/>
      <c r="BF306" s="55"/>
      <c r="BG306" s="55"/>
      <c r="BH306" s="55"/>
      <c r="BI306" s="55"/>
      <c r="BJ306" s="55"/>
      <c r="BK306" s="55"/>
      <c r="BL306" s="55"/>
      <c r="BM306" s="55"/>
      <c r="BN306" s="55"/>
      <c r="BO306" s="55"/>
      <c r="BP306" s="55"/>
      <c r="BQ306" s="55"/>
      <c r="BR306" s="55"/>
      <c r="BS306" s="55"/>
      <c r="BT306" s="55"/>
      <c r="BU306" s="84"/>
      <c r="BV306" s="55"/>
      <c r="BW306" s="55"/>
      <c r="BX306" s="55"/>
      <c r="BY306" s="55"/>
      <c r="BZ306" s="55"/>
      <c r="CA306" s="55"/>
      <c r="CB306" s="55"/>
      <c r="CC306" s="55"/>
      <c r="CD306" s="55"/>
      <c r="CE306" s="55"/>
      <c r="CF306" s="55"/>
      <c r="CG306" s="55"/>
      <c r="CH306" s="55"/>
      <c r="CI306" s="55"/>
      <c r="CJ306" s="55"/>
      <c r="CK306" s="55"/>
      <c r="CL306" s="55"/>
      <c r="CM306" s="55"/>
      <c r="CN306" s="55"/>
      <c r="CO306" s="55"/>
      <c r="CP306" s="55"/>
      <c r="CQ306" s="55"/>
    </row>
    <row r="307" spans="2:95" s="35" customFormat="1" ht="12.75" customHeight="1">
      <c r="B307" s="51"/>
      <c r="D307" s="44"/>
      <c r="X307" s="51"/>
      <c r="Y307" s="51"/>
      <c r="AA307" s="47"/>
      <c r="AC307" s="51"/>
      <c r="AN307" s="51"/>
      <c r="AO307" s="51"/>
      <c r="AP307" s="51"/>
      <c r="AQ307" s="51"/>
      <c r="AR307" s="51"/>
      <c r="AS307" s="51"/>
      <c r="AT307" s="51"/>
      <c r="AU307" s="51"/>
      <c r="AV307" s="51"/>
      <c r="AW307" s="51"/>
      <c r="AX307" s="51"/>
      <c r="AY307" s="51"/>
      <c r="AZ307" s="65"/>
      <c r="BA307" s="51"/>
      <c r="BB307" s="55"/>
      <c r="BC307" s="55"/>
      <c r="BD307" s="55"/>
      <c r="BE307" s="55"/>
      <c r="BF307" s="55"/>
      <c r="BG307" s="55"/>
      <c r="BH307" s="55"/>
      <c r="BI307" s="55"/>
      <c r="BJ307" s="55"/>
      <c r="BK307" s="55"/>
      <c r="BL307" s="55"/>
      <c r="BM307" s="55"/>
      <c r="BN307" s="55"/>
      <c r="BO307" s="55"/>
      <c r="BP307" s="55"/>
      <c r="BQ307" s="55"/>
      <c r="BR307" s="55"/>
      <c r="BS307" s="55"/>
      <c r="BT307" s="55"/>
      <c r="BU307" s="84"/>
      <c r="BV307" s="55"/>
      <c r="BW307" s="55"/>
      <c r="BX307" s="55"/>
      <c r="BY307" s="55"/>
      <c r="BZ307" s="55"/>
      <c r="CA307" s="55"/>
      <c r="CB307" s="55"/>
      <c r="CC307" s="55"/>
      <c r="CD307" s="55"/>
      <c r="CE307" s="55"/>
      <c r="CF307" s="55"/>
      <c r="CG307" s="55"/>
      <c r="CH307" s="55"/>
      <c r="CI307" s="55"/>
      <c r="CJ307" s="55"/>
      <c r="CK307" s="55"/>
      <c r="CL307" s="55"/>
      <c r="CM307" s="55"/>
      <c r="CN307" s="55"/>
      <c r="CO307" s="55"/>
      <c r="CP307" s="55"/>
      <c r="CQ307" s="55"/>
    </row>
    <row r="308" spans="2:95" s="35" customFormat="1" ht="12.75" customHeight="1">
      <c r="B308" s="51"/>
      <c r="D308" s="44"/>
      <c r="X308" s="51"/>
      <c r="Y308" s="51"/>
      <c r="AA308" s="47"/>
      <c r="AC308" s="51"/>
      <c r="AN308" s="51"/>
      <c r="AO308" s="51"/>
      <c r="AP308" s="51"/>
      <c r="AQ308" s="51"/>
      <c r="AR308" s="51"/>
      <c r="AS308" s="51"/>
      <c r="AT308" s="51"/>
      <c r="AU308" s="51"/>
      <c r="AV308" s="51"/>
      <c r="AW308" s="51"/>
      <c r="AX308" s="51"/>
      <c r="AY308" s="51"/>
      <c r="AZ308" s="65"/>
      <c r="BA308" s="51"/>
      <c r="BB308" s="55"/>
      <c r="BC308" s="55"/>
      <c r="BD308" s="55"/>
      <c r="BE308" s="55"/>
      <c r="BF308" s="55"/>
      <c r="BG308" s="55"/>
      <c r="BH308" s="55"/>
      <c r="BI308" s="55"/>
      <c r="BJ308" s="55"/>
      <c r="BK308" s="55"/>
      <c r="BL308" s="55"/>
      <c r="BM308" s="55"/>
      <c r="BN308" s="55"/>
      <c r="BO308" s="55"/>
      <c r="BP308" s="55"/>
      <c r="BQ308" s="55"/>
      <c r="BR308" s="55"/>
      <c r="BS308" s="55"/>
      <c r="BT308" s="55"/>
      <c r="BU308" s="84"/>
      <c r="BV308" s="55"/>
      <c r="BW308" s="55"/>
      <c r="BX308" s="55"/>
      <c r="BY308" s="55"/>
      <c r="BZ308" s="55"/>
      <c r="CA308" s="55"/>
      <c r="CB308" s="55"/>
      <c r="CC308" s="55"/>
      <c r="CD308" s="55"/>
      <c r="CE308" s="55"/>
      <c r="CF308" s="55"/>
      <c r="CG308" s="55"/>
      <c r="CH308" s="55"/>
      <c r="CI308" s="55"/>
      <c r="CJ308" s="55"/>
      <c r="CK308" s="55"/>
      <c r="CL308" s="55"/>
      <c r="CM308" s="55"/>
      <c r="CN308" s="55"/>
      <c r="CO308" s="55"/>
      <c r="CP308" s="55"/>
      <c r="CQ308" s="55"/>
    </row>
    <row r="309" spans="2:95" s="35" customFormat="1" ht="12.75" customHeight="1">
      <c r="B309" s="51"/>
      <c r="D309" s="44"/>
      <c r="X309" s="51"/>
      <c r="Y309" s="51"/>
      <c r="AA309" s="47"/>
      <c r="AC309" s="51"/>
      <c r="AN309" s="51"/>
      <c r="AO309" s="51"/>
      <c r="AP309" s="51"/>
      <c r="AQ309" s="51"/>
      <c r="AR309" s="51"/>
      <c r="AS309" s="51"/>
      <c r="AT309" s="51"/>
      <c r="AU309" s="51"/>
      <c r="AV309" s="51"/>
      <c r="AW309" s="51"/>
      <c r="AX309" s="51"/>
      <c r="AY309" s="51"/>
      <c r="AZ309" s="65"/>
      <c r="BA309" s="51"/>
      <c r="BB309" s="55"/>
      <c r="BC309" s="55"/>
      <c r="BD309" s="55"/>
      <c r="BE309" s="55"/>
      <c r="BF309" s="55"/>
      <c r="BG309" s="55"/>
      <c r="BH309" s="55"/>
      <c r="BI309" s="55"/>
      <c r="BJ309" s="55"/>
      <c r="BK309" s="55"/>
      <c r="BL309" s="55"/>
      <c r="BM309" s="55"/>
      <c r="BN309" s="55"/>
      <c r="BO309" s="55"/>
      <c r="BP309" s="55"/>
      <c r="BQ309" s="55"/>
      <c r="BR309" s="55"/>
      <c r="BS309" s="55"/>
      <c r="BT309" s="55"/>
      <c r="BU309" s="84"/>
      <c r="BV309" s="55"/>
      <c r="BW309" s="55"/>
      <c r="BX309" s="55"/>
      <c r="BY309" s="55"/>
      <c r="BZ309" s="55"/>
      <c r="CA309" s="55"/>
      <c r="CB309" s="55"/>
      <c r="CC309" s="55"/>
      <c r="CD309" s="55"/>
      <c r="CE309" s="55"/>
      <c r="CF309" s="55"/>
      <c r="CG309" s="55"/>
      <c r="CH309" s="55"/>
      <c r="CI309" s="55"/>
      <c r="CJ309" s="55"/>
      <c r="CK309" s="55"/>
      <c r="CL309" s="55"/>
      <c r="CM309" s="55"/>
      <c r="CN309" s="55"/>
      <c r="CO309" s="55"/>
      <c r="CP309" s="55"/>
      <c r="CQ309" s="55"/>
    </row>
    <row r="310" spans="2:95" s="35" customFormat="1" ht="12.75" customHeight="1">
      <c r="B310" s="51"/>
      <c r="D310" s="44"/>
      <c r="X310" s="51"/>
      <c r="Y310" s="51"/>
      <c r="AA310" s="47"/>
      <c r="AC310" s="51"/>
      <c r="AN310" s="51"/>
      <c r="AO310" s="51"/>
      <c r="AP310" s="51"/>
      <c r="AQ310" s="51"/>
      <c r="AR310" s="51"/>
      <c r="AS310" s="51"/>
      <c r="AT310" s="51"/>
      <c r="AU310" s="51"/>
      <c r="AV310" s="51"/>
      <c r="AW310" s="51"/>
      <c r="AX310" s="51"/>
      <c r="AY310" s="51"/>
      <c r="AZ310" s="65"/>
      <c r="BA310" s="51"/>
      <c r="BB310" s="55"/>
      <c r="BC310" s="55"/>
      <c r="BD310" s="55"/>
      <c r="BE310" s="55"/>
      <c r="BF310" s="55"/>
      <c r="BG310" s="55"/>
      <c r="BH310" s="55"/>
      <c r="BI310" s="55"/>
      <c r="BJ310" s="55"/>
      <c r="BK310" s="55"/>
      <c r="BL310" s="55"/>
      <c r="BM310" s="55"/>
      <c r="BN310" s="55"/>
      <c r="BO310" s="55"/>
      <c r="BP310" s="55"/>
      <c r="BQ310" s="55"/>
      <c r="BR310" s="55"/>
      <c r="BS310" s="55"/>
      <c r="BT310" s="55"/>
      <c r="BU310" s="84"/>
      <c r="BV310" s="55"/>
      <c r="BW310" s="55"/>
      <c r="BX310" s="55"/>
      <c r="BY310" s="55"/>
      <c r="BZ310" s="55"/>
      <c r="CA310" s="55"/>
      <c r="CB310" s="55"/>
      <c r="CC310" s="55"/>
      <c r="CD310" s="55"/>
      <c r="CE310" s="55"/>
      <c r="CF310" s="55"/>
      <c r="CG310" s="55"/>
      <c r="CH310" s="55"/>
      <c r="CI310" s="55"/>
      <c r="CJ310" s="55"/>
      <c r="CK310" s="55"/>
      <c r="CL310" s="55"/>
      <c r="CM310" s="55"/>
      <c r="CN310" s="55"/>
      <c r="CO310" s="55"/>
      <c r="CP310" s="55"/>
      <c r="CQ310" s="55"/>
    </row>
    <row r="311" spans="2:95" s="35" customFormat="1" ht="12.75" customHeight="1">
      <c r="B311" s="51"/>
      <c r="D311" s="44"/>
      <c r="X311" s="51"/>
      <c r="Y311" s="51"/>
      <c r="AA311" s="47"/>
      <c r="AC311" s="51"/>
      <c r="AN311" s="51"/>
      <c r="AO311" s="51"/>
      <c r="AP311" s="51"/>
      <c r="AQ311" s="51"/>
      <c r="AR311" s="51"/>
      <c r="AS311" s="51"/>
      <c r="AT311" s="51"/>
      <c r="AU311" s="51"/>
      <c r="AV311" s="51"/>
      <c r="AW311" s="51"/>
      <c r="AX311" s="51"/>
      <c r="AY311" s="51"/>
      <c r="AZ311" s="65"/>
      <c r="BA311" s="51"/>
      <c r="BB311" s="55"/>
      <c r="BC311" s="55"/>
      <c r="BD311" s="55"/>
      <c r="BE311" s="55"/>
      <c r="BF311" s="55"/>
      <c r="BG311" s="55"/>
      <c r="BH311" s="55"/>
      <c r="BI311" s="55"/>
      <c r="BJ311" s="55"/>
      <c r="BK311" s="55"/>
      <c r="BL311" s="55"/>
      <c r="BM311" s="55"/>
      <c r="BN311" s="55"/>
      <c r="BO311" s="55"/>
      <c r="BP311" s="55"/>
      <c r="BQ311" s="55"/>
      <c r="BR311" s="55"/>
      <c r="BS311" s="55"/>
      <c r="BT311" s="55"/>
      <c r="BU311" s="84"/>
      <c r="BV311" s="55"/>
      <c r="BW311" s="55"/>
      <c r="BX311" s="55"/>
      <c r="BY311" s="55"/>
      <c r="BZ311" s="55"/>
      <c r="CA311" s="55"/>
      <c r="CB311" s="55"/>
      <c r="CC311" s="55"/>
      <c r="CD311" s="55"/>
      <c r="CE311" s="55"/>
      <c r="CF311" s="55"/>
      <c r="CG311" s="55"/>
      <c r="CH311" s="55"/>
      <c r="CI311" s="55"/>
      <c r="CJ311" s="55"/>
      <c r="CK311" s="55"/>
      <c r="CL311" s="55"/>
      <c r="CM311" s="55"/>
      <c r="CN311" s="55"/>
      <c r="CO311" s="55"/>
      <c r="CP311" s="55"/>
      <c r="CQ311" s="55"/>
    </row>
    <row r="312" spans="2:95" s="35" customFormat="1" ht="12.75" customHeight="1">
      <c r="B312" s="51"/>
      <c r="D312" s="44"/>
      <c r="X312" s="51"/>
      <c r="Y312" s="51"/>
      <c r="AA312" s="47"/>
      <c r="AC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65"/>
      <c r="BA312" s="51"/>
      <c r="BB312" s="55"/>
      <c r="BC312" s="55"/>
      <c r="BD312" s="55"/>
      <c r="BE312" s="55"/>
      <c r="BF312" s="55"/>
      <c r="BG312" s="55"/>
      <c r="BH312" s="55"/>
      <c r="BI312" s="55"/>
      <c r="BJ312" s="55"/>
      <c r="BK312" s="55"/>
      <c r="BL312" s="55"/>
      <c r="BM312" s="55"/>
      <c r="BN312" s="55"/>
      <c r="BO312" s="55"/>
      <c r="BP312" s="55"/>
      <c r="BQ312" s="55"/>
      <c r="BR312" s="55"/>
      <c r="BS312" s="55"/>
      <c r="BT312" s="55"/>
      <c r="BU312" s="84"/>
      <c r="BV312" s="55"/>
      <c r="BW312" s="55"/>
      <c r="BX312" s="55"/>
      <c r="BY312" s="55"/>
      <c r="BZ312" s="55"/>
      <c r="CA312" s="55"/>
      <c r="CB312" s="55"/>
      <c r="CC312" s="55"/>
      <c r="CD312" s="55"/>
      <c r="CE312" s="55"/>
      <c r="CF312" s="55"/>
      <c r="CG312" s="55"/>
      <c r="CH312" s="55"/>
      <c r="CI312" s="55"/>
      <c r="CJ312" s="55"/>
      <c r="CK312" s="55"/>
      <c r="CL312" s="55"/>
      <c r="CM312" s="55"/>
      <c r="CN312" s="55"/>
      <c r="CO312" s="55"/>
      <c r="CP312" s="55"/>
      <c r="CQ312" s="55"/>
    </row>
    <row r="313" spans="2:95" s="35" customFormat="1" ht="12.75" customHeight="1">
      <c r="B313" s="51"/>
      <c r="D313" s="44"/>
      <c r="X313" s="51"/>
      <c r="Y313" s="51"/>
      <c r="AA313" s="47"/>
      <c r="AC313" s="51"/>
      <c r="AN313" s="51"/>
      <c r="AO313" s="51"/>
      <c r="AP313" s="51"/>
      <c r="AQ313" s="51"/>
      <c r="AR313" s="51"/>
      <c r="AS313" s="51"/>
      <c r="AT313" s="51"/>
      <c r="AU313" s="51"/>
      <c r="AV313" s="51"/>
      <c r="AW313" s="51"/>
      <c r="AX313" s="51"/>
      <c r="AY313" s="51"/>
      <c r="AZ313" s="65"/>
      <c r="BA313" s="51"/>
      <c r="BB313" s="55"/>
      <c r="BC313" s="55"/>
      <c r="BD313" s="55"/>
      <c r="BE313" s="55"/>
      <c r="BF313" s="55"/>
      <c r="BG313" s="55"/>
      <c r="BH313" s="55"/>
      <c r="BI313" s="55"/>
      <c r="BJ313" s="55"/>
      <c r="BK313" s="55"/>
      <c r="BL313" s="55"/>
      <c r="BM313" s="55"/>
      <c r="BN313" s="55"/>
      <c r="BO313" s="55"/>
      <c r="BP313" s="55"/>
      <c r="BQ313" s="55"/>
      <c r="BR313" s="55"/>
      <c r="BS313" s="55"/>
      <c r="BT313" s="55"/>
      <c r="BU313" s="84"/>
      <c r="BV313" s="55"/>
      <c r="BW313" s="55"/>
      <c r="BX313" s="55"/>
      <c r="BY313" s="55"/>
      <c r="BZ313" s="55"/>
      <c r="CA313" s="55"/>
      <c r="CB313" s="55"/>
      <c r="CC313" s="55"/>
      <c r="CD313" s="55"/>
      <c r="CE313" s="55"/>
      <c r="CF313" s="55"/>
      <c r="CG313" s="55"/>
      <c r="CH313" s="55"/>
      <c r="CI313" s="55"/>
      <c r="CJ313" s="55"/>
      <c r="CK313" s="55"/>
      <c r="CL313" s="55"/>
      <c r="CM313" s="55"/>
      <c r="CN313" s="55"/>
      <c r="CO313" s="55"/>
      <c r="CP313" s="55"/>
      <c r="CQ313" s="55"/>
    </row>
    <row r="314" spans="2:95" s="35" customFormat="1" ht="12.75" customHeight="1">
      <c r="B314" s="51"/>
      <c r="D314" s="44"/>
      <c r="X314" s="51"/>
      <c r="Y314" s="51"/>
      <c r="AA314" s="47"/>
      <c r="AC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65"/>
      <c r="BA314" s="51"/>
      <c r="BB314" s="55"/>
      <c r="BC314" s="55"/>
      <c r="BD314" s="55"/>
      <c r="BE314" s="55"/>
      <c r="BF314" s="55"/>
      <c r="BG314" s="55"/>
      <c r="BH314" s="55"/>
      <c r="BI314" s="55"/>
      <c r="BJ314" s="55"/>
      <c r="BK314" s="55"/>
      <c r="BL314" s="55"/>
      <c r="BM314" s="55"/>
      <c r="BN314" s="55"/>
      <c r="BO314" s="55"/>
      <c r="BP314" s="55"/>
      <c r="BQ314" s="55"/>
      <c r="BR314" s="55"/>
      <c r="BS314" s="55"/>
      <c r="BT314" s="55"/>
      <c r="BU314" s="84"/>
      <c r="BV314" s="55"/>
      <c r="BW314" s="55"/>
      <c r="BX314" s="55"/>
      <c r="BY314" s="55"/>
      <c r="BZ314" s="55"/>
      <c r="CA314" s="55"/>
      <c r="CB314" s="55"/>
      <c r="CC314" s="55"/>
      <c r="CD314" s="55"/>
      <c r="CE314" s="55"/>
      <c r="CF314" s="55"/>
      <c r="CG314" s="55"/>
      <c r="CH314" s="55"/>
      <c r="CI314" s="55"/>
      <c r="CJ314" s="55"/>
      <c r="CK314" s="55"/>
      <c r="CL314" s="55"/>
      <c r="CM314" s="55"/>
      <c r="CN314" s="55"/>
      <c r="CO314" s="55"/>
      <c r="CP314" s="55"/>
      <c r="CQ314" s="55"/>
    </row>
    <row r="315" spans="2:95" s="35" customFormat="1" ht="12.75" customHeight="1">
      <c r="B315" s="51"/>
      <c r="D315" s="44"/>
      <c r="X315" s="51"/>
      <c r="Y315" s="51"/>
      <c r="AA315" s="47"/>
      <c r="AC315" s="51"/>
      <c r="AN315" s="51"/>
      <c r="AO315" s="51"/>
      <c r="AP315" s="51"/>
      <c r="AQ315" s="51"/>
      <c r="AR315" s="51"/>
      <c r="AS315" s="51"/>
      <c r="AT315" s="51"/>
      <c r="AU315" s="51"/>
      <c r="AV315" s="51"/>
      <c r="AW315" s="51"/>
      <c r="AX315" s="51"/>
      <c r="AY315" s="51"/>
      <c r="AZ315" s="65"/>
      <c r="BA315" s="51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5"/>
      <c r="BM315" s="55"/>
      <c r="BN315" s="55"/>
      <c r="BO315" s="55"/>
      <c r="BP315" s="55"/>
      <c r="BQ315" s="55"/>
      <c r="BR315" s="55"/>
      <c r="BS315" s="55"/>
      <c r="BT315" s="55"/>
      <c r="BU315" s="84"/>
      <c r="BV315" s="55"/>
      <c r="BW315" s="55"/>
      <c r="BX315" s="55"/>
      <c r="BY315" s="55"/>
      <c r="BZ315" s="55"/>
      <c r="CA315" s="55"/>
      <c r="CB315" s="55"/>
      <c r="CC315" s="55"/>
      <c r="CD315" s="55"/>
      <c r="CE315" s="55"/>
      <c r="CF315" s="55"/>
      <c r="CG315" s="55"/>
      <c r="CH315" s="55"/>
      <c r="CI315" s="55"/>
      <c r="CJ315" s="55"/>
      <c r="CK315" s="55"/>
      <c r="CL315" s="55"/>
      <c r="CM315" s="55"/>
      <c r="CN315" s="55"/>
      <c r="CO315" s="55"/>
      <c r="CP315" s="55"/>
      <c r="CQ315" s="55"/>
    </row>
    <row r="316" spans="2:95" s="35" customFormat="1" ht="12.75" customHeight="1">
      <c r="B316" s="51"/>
      <c r="D316" s="44"/>
      <c r="X316" s="51"/>
      <c r="Y316" s="51"/>
      <c r="AA316" s="47"/>
      <c r="AC316" s="51"/>
      <c r="AN316" s="51"/>
      <c r="AO316" s="51"/>
      <c r="AP316" s="51"/>
      <c r="AQ316" s="51"/>
      <c r="AR316" s="51"/>
      <c r="AS316" s="51"/>
      <c r="AT316" s="51"/>
      <c r="AU316" s="51"/>
      <c r="AV316" s="51"/>
      <c r="AW316" s="51"/>
      <c r="AX316" s="51"/>
      <c r="AY316" s="51"/>
      <c r="AZ316" s="65"/>
      <c r="BA316" s="51"/>
      <c r="BB316" s="55"/>
      <c r="BC316" s="55"/>
      <c r="BD316" s="55"/>
      <c r="BE316" s="55"/>
      <c r="BF316" s="55"/>
      <c r="BG316" s="55"/>
      <c r="BH316" s="55"/>
      <c r="BI316" s="55"/>
      <c r="BJ316" s="55"/>
      <c r="BK316" s="55"/>
      <c r="BL316" s="55"/>
      <c r="BM316" s="55"/>
      <c r="BN316" s="55"/>
      <c r="BO316" s="55"/>
      <c r="BP316" s="55"/>
      <c r="BQ316" s="55"/>
      <c r="BR316" s="55"/>
      <c r="BS316" s="55"/>
      <c r="BT316" s="55"/>
      <c r="BU316" s="84"/>
      <c r="BV316" s="55"/>
      <c r="BW316" s="55"/>
      <c r="BX316" s="55"/>
      <c r="BY316" s="55"/>
      <c r="BZ316" s="55"/>
      <c r="CA316" s="55"/>
      <c r="CB316" s="55"/>
      <c r="CC316" s="55"/>
      <c r="CD316" s="55"/>
      <c r="CE316" s="55"/>
      <c r="CF316" s="55"/>
      <c r="CG316" s="55"/>
      <c r="CH316" s="55"/>
      <c r="CI316" s="55"/>
      <c r="CJ316" s="55"/>
      <c r="CK316" s="55"/>
      <c r="CL316" s="55"/>
      <c r="CM316" s="55"/>
      <c r="CN316" s="55"/>
      <c r="CO316" s="55"/>
      <c r="CP316" s="55"/>
      <c r="CQ316" s="55"/>
    </row>
    <row r="317" spans="2:95" s="35" customFormat="1" ht="12.75" customHeight="1">
      <c r="B317" s="51"/>
      <c r="D317" s="44"/>
      <c r="X317" s="51"/>
      <c r="Y317" s="51"/>
      <c r="AA317" s="47"/>
      <c r="AC317" s="51"/>
      <c r="AN317" s="51"/>
      <c r="AO317" s="51"/>
      <c r="AP317" s="51"/>
      <c r="AQ317" s="51"/>
      <c r="AR317" s="51"/>
      <c r="AS317" s="51"/>
      <c r="AT317" s="51"/>
      <c r="AU317" s="51"/>
      <c r="AV317" s="51"/>
      <c r="AW317" s="51"/>
      <c r="AX317" s="51"/>
      <c r="AY317" s="51"/>
      <c r="AZ317" s="65"/>
      <c r="BA317" s="51"/>
      <c r="BB317" s="55"/>
      <c r="BC317" s="55"/>
      <c r="BD317" s="55"/>
      <c r="BE317" s="55"/>
      <c r="BF317" s="55"/>
      <c r="BG317" s="55"/>
      <c r="BH317" s="55"/>
      <c r="BI317" s="55"/>
      <c r="BJ317" s="55"/>
      <c r="BK317" s="55"/>
      <c r="BL317" s="55"/>
      <c r="BM317" s="55"/>
      <c r="BN317" s="55"/>
      <c r="BO317" s="55"/>
      <c r="BP317" s="55"/>
      <c r="BQ317" s="55"/>
      <c r="BR317" s="55"/>
      <c r="BS317" s="55"/>
      <c r="BT317" s="55"/>
      <c r="BU317" s="84"/>
      <c r="BV317" s="55"/>
      <c r="BW317" s="55"/>
      <c r="BX317" s="55"/>
      <c r="BY317" s="55"/>
      <c r="BZ317" s="55"/>
      <c r="CA317" s="55"/>
      <c r="CB317" s="55"/>
      <c r="CC317" s="55"/>
      <c r="CD317" s="55"/>
      <c r="CE317" s="55"/>
      <c r="CF317" s="55"/>
      <c r="CG317" s="55"/>
      <c r="CH317" s="55"/>
      <c r="CI317" s="55"/>
      <c r="CJ317" s="55"/>
      <c r="CK317" s="55"/>
      <c r="CL317" s="55"/>
      <c r="CM317" s="55"/>
      <c r="CN317" s="55"/>
      <c r="CO317" s="55"/>
      <c r="CP317" s="55"/>
      <c r="CQ317" s="55"/>
    </row>
    <row r="318" spans="2:95" s="35" customFormat="1" ht="12.75" customHeight="1">
      <c r="B318" s="51"/>
      <c r="D318" s="44"/>
      <c r="X318" s="51"/>
      <c r="Y318" s="51"/>
      <c r="AA318" s="47"/>
      <c r="AC318" s="51"/>
      <c r="AN318" s="51"/>
      <c r="AO318" s="51"/>
      <c r="AP318" s="51"/>
      <c r="AQ318" s="51"/>
      <c r="AR318" s="51"/>
      <c r="AS318" s="51"/>
      <c r="AT318" s="51"/>
      <c r="AU318" s="51"/>
      <c r="AV318" s="51"/>
      <c r="AW318" s="51"/>
      <c r="AX318" s="51"/>
      <c r="AY318" s="51"/>
      <c r="AZ318" s="65"/>
      <c r="BA318" s="51"/>
      <c r="BB318" s="55"/>
      <c r="BC318" s="55"/>
      <c r="BD318" s="55"/>
      <c r="BE318" s="55"/>
      <c r="BF318" s="55"/>
      <c r="BG318" s="55"/>
      <c r="BH318" s="55"/>
      <c r="BI318" s="55"/>
      <c r="BJ318" s="55"/>
      <c r="BK318" s="55"/>
      <c r="BL318" s="55"/>
      <c r="BM318" s="55"/>
      <c r="BN318" s="55"/>
      <c r="BO318" s="55"/>
      <c r="BP318" s="55"/>
      <c r="BQ318" s="55"/>
      <c r="BR318" s="55"/>
      <c r="BS318" s="55"/>
      <c r="BT318" s="55"/>
      <c r="BU318" s="84"/>
      <c r="BV318" s="55"/>
      <c r="BW318" s="55"/>
      <c r="BX318" s="55"/>
      <c r="BY318" s="55"/>
      <c r="BZ318" s="55"/>
      <c r="CA318" s="55"/>
      <c r="CB318" s="55"/>
      <c r="CC318" s="55"/>
      <c r="CD318" s="55"/>
      <c r="CE318" s="55"/>
      <c r="CF318" s="55"/>
      <c r="CG318" s="55"/>
      <c r="CH318" s="55"/>
      <c r="CI318" s="55"/>
      <c r="CJ318" s="55"/>
      <c r="CK318" s="55"/>
      <c r="CL318" s="55"/>
      <c r="CM318" s="55"/>
      <c r="CN318" s="55"/>
      <c r="CO318" s="55"/>
      <c r="CP318" s="55"/>
      <c r="CQ318" s="55"/>
    </row>
    <row r="319" spans="2:95" s="35" customFormat="1" ht="12.75" customHeight="1">
      <c r="B319" s="51"/>
      <c r="D319" s="44"/>
      <c r="X319" s="51"/>
      <c r="Y319" s="51"/>
      <c r="AA319" s="47"/>
      <c r="AC319" s="51"/>
      <c r="AN319" s="51"/>
      <c r="AO319" s="51"/>
      <c r="AP319" s="51"/>
      <c r="AQ319" s="51"/>
      <c r="AR319" s="51"/>
      <c r="AS319" s="51"/>
      <c r="AT319" s="51"/>
      <c r="AU319" s="51"/>
      <c r="AV319" s="51"/>
      <c r="AW319" s="51"/>
      <c r="AX319" s="51"/>
      <c r="AY319" s="51"/>
      <c r="AZ319" s="65"/>
      <c r="BA319" s="51"/>
      <c r="BB319" s="55"/>
      <c r="BC319" s="55"/>
      <c r="BD319" s="55"/>
      <c r="BE319" s="55"/>
      <c r="BF319" s="55"/>
      <c r="BG319" s="55"/>
      <c r="BH319" s="55"/>
      <c r="BI319" s="55"/>
      <c r="BJ319" s="55"/>
      <c r="BK319" s="55"/>
      <c r="BL319" s="55"/>
      <c r="BM319" s="55"/>
      <c r="BN319" s="55"/>
      <c r="BO319" s="55"/>
      <c r="BP319" s="55"/>
      <c r="BQ319" s="55"/>
      <c r="BR319" s="55"/>
      <c r="BS319" s="55"/>
      <c r="BT319" s="55"/>
      <c r="BU319" s="84"/>
      <c r="BV319" s="55"/>
      <c r="BW319" s="55"/>
      <c r="BX319" s="55"/>
      <c r="BY319" s="55"/>
      <c r="BZ319" s="55"/>
      <c r="CA319" s="55"/>
      <c r="CB319" s="55"/>
      <c r="CC319" s="55"/>
      <c r="CD319" s="55"/>
      <c r="CE319" s="55"/>
      <c r="CF319" s="55"/>
      <c r="CG319" s="55"/>
      <c r="CH319" s="55"/>
      <c r="CI319" s="55"/>
      <c r="CJ319" s="55"/>
      <c r="CK319" s="55"/>
      <c r="CL319" s="55"/>
      <c r="CM319" s="55"/>
      <c r="CN319" s="55"/>
      <c r="CO319" s="55"/>
      <c r="CP319" s="55"/>
      <c r="CQ319" s="55"/>
    </row>
    <row r="320" spans="2:95" s="35" customFormat="1" ht="12.75" customHeight="1">
      <c r="B320" s="51"/>
      <c r="D320" s="44"/>
      <c r="X320" s="51"/>
      <c r="Y320" s="51"/>
      <c r="AA320" s="47"/>
      <c r="AC320" s="51"/>
      <c r="AN320" s="51"/>
      <c r="AO320" s="51"/>
      <c r="AP320" s="51"/>
      <c r="AQ320" s="51"/>
      <c r="AR320" s="51"/>
      <c r="AS320" s="51"/>
      <c r="AT320" s="51"/>
      <c r="AU320" s="51"/>
      <c r="AV320" s="51"/>
      <c r="AW320" s="51"/>
      <c r="AX320" s="51"/>
      <c r="AY320" s="51"/>
      <c r="AZ320" s="65"/>
      <c r="BA320" s="51"/>
      <c r="BB320" s="55"/>
      <c r="BC320" s="55"/>
      <c r="BD320" s="55"/>
      <c r="BE320" s="55"/>
      <c r="BF320" s="55"/>
      <c r="BG320" s="55"/>
      <c r="BH320" s="55"/>
      <c r="BI320" s="55"/>
      <c r="BJ320" s="55"/>
      <c r="BK320" s="55"/>
      <c r="BL320" s="55"/>
      <c r="BM320" s="55"/>
      <c r="BN320" s="55"/>
      <c r="BO320" s="55"/>
      <c r="BP320" s="55"/>
      <c r="BQ320" s="55"/>
      <c r="BR320" s="55"/>
      <c r="BS320" s="55"/>
      <c r="BT320" s="55"/>
      <c r="BU320" s="84"/>
      <c r="BV320" s="55"/>
      <c r="BW320" s="55"/>
      <c r="BX320" s="55"/>
      <c r="BY320" s="55"/>
      <c r="BZ320" s="55"/>
      <c r="CA320" s="55"/>
      <c r="CB320" s="55"/>
      <c r="CC320" s="55"/>
      <c r="CD320" s="55"/>
      <c r="CE320" s="55"/>
      <c r="CF320" s="55"/>
      <c r="CG320" s="55"/>
      <c r="CH320" s="55"/>
      <c r="CI320" s="55"/>
      <c r="CJ320" s="55"/>
      <c r="CK320" s="55"/>
      <c r="CL320" s="55"/>
      <c r="CM320" s="55"/>
      <c r="CN320" s="55"/>
      <c r="CO320" s="55"/>
      <c r="CP320" s="55"/>
      <c r="CQ320" s="55"/>
    </row>
    <row r="321" spans="2:95" s="35" customFormat="1" ht="12.75" customHeight="1">
      <c r="B321" s="51"/>
      <c r="D321" s="44"/>
      <c r="X321" s="51"/>
      <c r="Y321" s="51"/>
      <c r="AA321" s="47"/>
      <c r="AC321" s="51"/>
      <c r="AN321" s="51"/>
      <c r="AO321" s="51"/>
      <c r="AP321" s="51"/>
      <c r="AQ321" s="51"/>
      <c r="AR321" s="51"/>
      <c r="AS321" s="51"/>
      <c r="AT321" s="51"/>
      <c r="AU321" s="51"/>
      <c r="AV321" s="51"/>
      <c r="AW321" s="51"/>
      <c r="AX321" s="51"/>
      <c r="AY321" s="51"/>
      <c r="AZ321" s="65"/>
      <c r="BA321" s="51"/>
      <c r="BB321" s="55"/>
      <c r="BC321" s="55"/>
      <c r="BD321" s="55"/>
      <c r="BE321" s="55"/>
      <c r="BF321" s="55"/>
      <c r="BG321" s="55"/>
      <c r="BH321" s="55"/>
      <c r="BI321" s="55"/>
      <c r="BJ321" s="55"/>
      <c r="BK321" s="55"/>
      <c r="BL321" s="55"/>
      <c r="BM321" s="55"/>
      <c r="BN321" s="55"/>
      <c r="BO321" s="55"/>
      <c r="BP321" s="55"/>
      <c r="BQ321" s="55"/>
      <c r="BR321" s="55"/>
      <c r="BS321" s="55"/>
      <c r="BT321" s="55"/>
      <c r="BU321" s="84"/>
      <c r="BV321" s="55"/>
      <c r="BW321" s="55"/>
      <c r="BX321" s="55"/>
      <c r="BY321" s="55"/>
      <c r="BZ321" s="55"/>
      <c r="CA321" s="55"/>
      <c r="CB321" s="55"/>
      <c r="CC321" s="55"/>
      <c r="CD321" s="55"/>
      <c r="CE321" s="55"/>
      <c r="CF321" s="55"/>
      <c r="CG321" s="55"/>
      <c r="CH321" s="55"/>
      <c r="CI321" s="55"/>
      <c r="CJ321" s="55"/>
      <c r="CK321" s="55"/>
      <c r="CL321" s="55"/>
      <c r="CM321" s="55"/>
      <c r="CN321" s="55"/>
      <c r="CO321" s="55"/>
      <c r="CP321" s="55"/>
      <c r="CQ321" s="55"/>
    </row>
    <row r="322" spans="2:95" s="35" customFormat="1" ht="12.75" customHeight="1">
      <c r="B322" s="51"/>
      <c r="D322" s="44"/>
      <c r="X322" s="51"/>
      <c r="Y322" s="51"/>
      <c r="AA322" s="47"/>
      <c r="AC322" s="51"/>
      <c r="AN322" s="51"/>
      <c r="AO322" s="51"/>
      <c r="AP322" s="51"/>
      <c r="AQ322" s="51"/>
      <c r="AR322" s="51"/>
      <c r="AS322" s="51"/>
      <c r="AT322" s="51"/>
      <c r="AU322" s="51"/>
      <c r="AV322" s="51"/>
      <c r="AW322" s="51"/>
      <c r="AX322" s="51"/>
      <c r="AY322" s="51"/>
      <c r="AZ322" s="65"/>
      <c r="BA322" s="51"/>
      <c r="BB322" s="55"/>
      <c r="BC322" s="55"/>
      <c r="BD322" s="55"/>
      <c r="BE322" s="55"/>
      <c r="BF322" s="55"/>
      <c r="BG322" s="55"/>
      <c r="BH322" s="55"/>
      <c r="BI322" s="55"/>
      <c r="BJ322" s="55"/>
      <c r="BK322" s="55"/>
      <c r="BL322" s="55"/>
      <c r="BM322" s="55"/>
      <c r="BN322" s="55"/>
      <c r="BO322" s="55"/>
      <c r="BP322" s="55"/>
      <c r="BQ322" s="55"/>
      <c r="BR322" s="55"/>
      <c r="BS322" s="55"/>
      <c r="BT322" s="55"/>
      <c r="BU322" s="84"/>
      <c r="BV322" s="55"/>
      <c r="BW322" s="55"/>
      <c r="BX322" s="55"/>
      <c r="BY322" s="55"/>
      <c r="BZ322" s="55"/>
      <c r="CA322" s="55"/>
      <c r="CB322" s="55"/>
      <c r="CC322" s="55"/>
      <c r="CD322" s="55"/>
      <c r="CE322" s="55"/>
      <c r="CF322" s="55"/>
      <c r="CG322" s="55"/>
      <c r="CH322" s="55"/>
      <c r="CI322" s="55"/>
      <c r="CJ322" s="55"/>
      <c r="CK322" s="55"/>
      <c r="CL322" s="55"/>
      <c r="CM322" s="55"/>
      <c r="CN322" s="55"/>
      <c r="CO322" s="55"/>
      <c r="CP322" s="55"/>
      <c r="CQ322" s="55"/>
    </row>
    <row r="323" spans="2:95" s="35" customFormat="1" ht="12.75" customHeight="1">
      <c r="B323" s="51"/>
      <c r="D323" s="44"/>
      <c r="X323" s="51"/>
      <c r="Y323" s="51"/>
      <c r="AA323" s="47"/>
      <c r="AC323" s="51"/>
      <c r="AN323" s="51"/>
      <c r="AO323" s="51"/>
      <c r="AP323" s="51"/>
      <c r="AQ323" s="51"/>
      <c r="AR323" s="51"/>
      <c r="AS323" s="51"/>
      <c r="AT323" s="51"/>
      <c r="AU323" s="51"/>
      <c r="AV323" s="51"/>
      <c r="AW323" s="51"/>
      <c r="AX323" s="51"/>
      <c r="AY323" s="51"/>
      <c r="AZ323" s="65"/>
      <c r="BA323" s="51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5"/>
      <c r="BQ323" s="55"/>
      <c r="BR323" s="55"/>
      <c r="BS323" s="55"/>
      <c r="BT323" s="55"/>
      <c r="BU323" s="84"/>
      <c r="BV323" s="55"/>
      <c r="BW323" s="55"/>
      <c r="BX323" s="55"/>
      <c r="BY323" s="55"/>
      <c r="BZ323" s="55"/>
      <c r="CA323" s="55"/>
      <c r="CB323" s="55"/>
      <c r="CC323" s="55"/>
      <c r="CD323" s="55"/>
      <c r="CE323" s="55"/>
      <c r="CF323" s="55"/>
      <c r="CG323" s="55"/>
      <c r="CH323" s="55"/>
      <c r="CI323" s="55"/>
      <c r="CJ323" s="55"/>
      <c r="CK323" s="55"/>
      <c r="CL323" s="55"/>
      <c r="CM323" s="55"/>
      <c r="CN323" s="55"/>
      <c r="CO323" s="55"/>
      <c r="CP323" s="55"/>
      <c r="CQ323" s="55"/>
    </row>
    <row r="324" spans="2:95" s="35" customFormat="1" ht="12.75" customHeight="1">
      <c r="B324" s="51"/>
      <c r="D324" s="44"/>
      <c r="X324" s="51"/>
      <c r="Y324" s="51"/>
      <c r="AA324" s="47"/>
      <c r="AC324" s="51"/>
      <c r="AN324" s="51"/>
      <c r="AO324" s="51"/>
      <c r="AP324" s="51"/>
      <c r="AQ324" s="51"/>
      <c r="AR324" s="51"/>
      <c r="AS324" s="51"/>
      <c r="AT324" s="51"/>
      <c r="AU324" s="51"/>
      <c r="AV324" s="51"/>
      <c r="AW324" s="51"/>
      <c r="AX324" s="51"/>
      <c r="AY324" s="51"/>
      <c r="AZ324" s="65"/>
      <c r="BA324" s="51"/>
      <c r="BB324" s="55"/>
      <c r="BC324" s="55"/>
      <c r="BD324" s="55"/>
      <c r="BE324" s="55"/>
      <c r="BF324" s="55"/>
      <c r="BG324" s="55"/>
      <c r="BH324" s="55"/>
      <c r="BI324" s="55"/>
      <c r="BJ324" s="55"/>
      <c r="BK324" s="55"/>
      <c r="BL324" s="55"/>
      <c r="BM324" s="55"/>
      <c r="BN324" s="55"/>
      <c r="BO324" s="55"/>
      <c r="BP324" s="55"/>
      <c r="BQ324" s="55"/>
      <c r="BR324" s="55"/>
      <c r="BS324" s="55"/>
      <c r="BT324" s="55"/>
      <c r="BU324" s="84"/>
      <c r="BV324" s="55"/>
      <c r="BW324" s="55"/>
      <c r="BX324" s="55"/>
      <c r="BY324" s="55"/>
      <c r="BZ324" s="55"/>
      <c r="CA324" s="55"/>
      <c r="CB324" s="55"/>
      <c r="CC324" s="55"/>
      <c r="CD324" s="55"/>
      <c r="CE324" s="55"/>
      <c r="CF324" s="55"/>
      <c r="CG324" s="55"/>
      <c r="CH324" s="55"/>
      <c r="CI324" s="55"/>
      <c r="CJ324" s="55"/>
      <c r="CK324" s="55"/>
      <c r="CL324" s="55"/>
      <c r="CM324" s="55"/>
      <c r="CN324" s="55"/>
      <c r="CO324" s="55"/>
      <c r="CP324" s="55"/>
      <c r="CQ324" s="55"/>
    </row>
    <row r="325" spans="2:95" s="35" customFormat="1" ht="12.75" customHeight="1">
      <c r="B325" s="51"/>
      <c r="D325" s="44"/>
      <c r="X325" s="51"/>
      <c r="Y325" s="51"/>
      <c r="AA325" s="47"/>
      <c r="AC325" s="51"/>
      <c r="AN325" s="51"/>
      <c r="AO325" s="51"/>
      <c r="AP325" s="51"/>
      <c r="AQ325" s="51"/>
      <c r="AR325" s="51"/>
      <c r="AS325" s="51"/>
      <c r="AT325" s="51"/>
      <c r="AU325" s="51"/>
      <c r="AV325" s="51"/>
      <c r="AW325" s="51"/>
      <c r="AX325" s="51"/>
      <c r="AY325" s="51"/>
      <c r="AZ325" s="65"/>
      <c r="BA325" s="51"/>
      <c r="BB325" s="55"/>
      <c r="BC325" s="55"/>
      <c r="BD325" s="55"/>
      <c r="BE325" s="55"/>
      <c r="BF325" s="55"/>
      <c r="BG325" s="55"/>
      <c r="BH325" s="55"/>
      <c r="BI325" s="55"/>
      <c r="BJ325" s="55"/>
      <c r="BK325" s="55"/>
      <c r="BL325" s="55"/>
      <c r="BM325" s="55"/>
      <c r="BN325" s="55"/>
      <c r="BO325" s="55"/>
      <c r="BP325" s="55"/>
      <c r="BQ325" s="55"/>
      <c r="BR325" s="55"/>
      <c r="BS325" s="55"/>
      <c r="BT325" s="55"/>
      <c r="BU325" s="84"/>
      <c r="BV325" s="55"/>
      <c r="BW325" s="55"/>
      <c r="BX325" s="55"/>
      <c r="BY325" s="55"/>
      <c r="BZ325" s="55"/>
      <c r="CA325" s="55"/>
      <c r="CB325" s="55"/>
      <c r="CC325" s="55"/>
      <c r="CD325" s="55"/>
      <c r="CE325" s="55"/>
      <c r="CF325" s="55"/>
      <c r="CG325" s="55"/>
      <c r="CH325" s="55"/>
      <c r="CI325" s="55"/>
      <c r="CJ325" s="55"/>
      <c r="CK325" s="55"/>
      <c r="CL325" s="55"/>
      <c r="CM325" s="55"/>
      <c r="CN325" s="55"/>
      <c r="CO325" s="55"/>
      <c r="CP325" s="55"/>
      <c r="CQ325" s="55"/>
    </row>
    <row r="326" spans="2:95" s="35" customFormat="1" ht="12.75" customHeight="1">
      <c r="B326" s="51"/>
      <c r="D326" s="44"/>
      <c r="X326" s="51"/>
      <c r="Y326" s="51"/>
      <c r="AA326" s="47"/>
      <c r="AC326" s="51"/>
      <c r="AN326" s="51"/>
      <c r="AO326" s="51"/>
      <c r="AP326" s="51"/>
      <c r="AQ326" s="51"/>
      <c r="AR326" s="51"/>
      <c r="AS326" s="51"/>
      <c r="AT326" s="51"/>
      <c r="AU326" s="51"/>
      <c r="AV326" s="51"/>
      <c r="AW326" s="51"/>
      <c r="AX326" s="51"/>
      <c r="AY326" s="51"/>
      <c r="AZ326" s="65"/>
      <c r="BA326" s="51"/>
      <c r="BB326" s="55"/>
      <c r="BC326" s="55"/>
      <c r="BD326" s="55"/>
      <c r="BE326" s="55"/>
      <c r="BF326" s="55"/>
      <c r="BG326" s="55"/>
      <c r="BH326" s="55"/>
      <c r="BI326" s="55"/>
      <c r="BJ326" s="55"/>
      <c r="BK326" s="55"/>
      <c r="BL326" s="55"/>
      <c r="BM326" s="55"/>
      <c r="BN326" s="55"/>
      <c r="BO326" s="55"/>
      <c r="BP326" s="55"/>
      <c r="BQ326" s="55"/>
      <c r="BR326" s="55"/>
      <c r="BS326" s="55"/>
      <c r="BT326" s="55"/>
      <c r="BU326" s="84"/>
      <c r="BV326" s="55"/>
      <c r="BW326" s="55"/>
      <c r="BX326" s="55"/>
      <c r="BY326" s="55"/>
      <c r="BZ326" s="55"/>
      <c r="CA326" s="55"/>
      <c r="CB326" s="55"/>
      <c r="CC326" s="55"/>
      <c r="CD326" s="55"/>
      <c r="CE326" s="55"/>
      <c r="CF326" s="55"/>
      <c r="CG326" s="55"/>
      <c r="CH326" s="55"/>
      <c r="CI326" s="55"/>
      <c r="CJ326" s="55"/>
      <c r="CK326" s="55"/>
      <c r="CL326" s="55"/>
      <c r="CM326" s="55"/>
      <c r="CN326" s="55"/>
      <c r="CO326" s="55"/>
      <c r="CP326" s="55"/>
      <c r="CQ326" s="55"/>
    </row>
    <row r="327" spans="2:95" s="35" customFormat="1" ht="12.75" customHeight="1">
      <c r="B327" s="51"/>
      <c r="D327" s="44"/>
      <c r="X327" s="51"/>
      <c r="Y327" s="51"/>
      <c r="AA327" s="47"/>
      <c r="AC327" s="51"/>
      <c r="AN327" s="51"/>
      <c r="AO327" s="51"/>
      <c r="AP327" s="51"/>
      <c r="AQ327" s="51"/>
      <c r="AR327" s="51"/>
      <c r="AS327" s="51"/>
      <c r="AT327" s="51"/>
      <c r="AU327" s="51"/>
      <c r="AV327" s="51"/>
      <c r="AW327" s="51"/>
      <c r="AX327" s="51"/>
      <c r="AY327" s="51"/>
      <c r="AZ327" s="65"/>
      <c r="BA327" s="51"/>
      <c r="BB327" s="55"/>
      <c r="BC327" s="55"/>
      <c r="BD327" s="55"/>
      <c r="BE327" s="55"/>
      <c r="BF327" s="55"/>
      <c r="BG327" s="55"/>
      <c r="BH327" s="55"/>
      <c r="BI327" s="55"/>
      <c r="BJ327" s="55"/>
      <c r="BK327" s="55"/>
      <c r="BL327" s="55"/>
      <c r="BM327" s="55"/>
      <c r="BN327" s="55"/>
      <c r="BO327" s="55"/>
      <c r="BP327" s="55"/>
      <c r="BQ327" s="55"/>
      <c r="BR327" s="55"/>
      <c r="BS327" s="55"/>
      <c r="BT327" s="55"/>
      <c r="BU327" s="84"/>
      <c r="BV327" s="55"/>
      <c r="BW327" s="55"/>
      <c r="BX327" s="55"/>
      <c r="BY327" s="55"/>
      <c r="BZ327" s="55"/>
      <c r="CA327" s="55"/>
      <c r="CB327" s="55"/>
      <c r="CC327" s="55"/>
      <c r="CD327" s="55"/>
      <c r="CE327" s="55"/>
      <c r="CF327" s="55"/>
      <c r="CG327" s="55"/>
      <c r="CH327" s="55"/>
      <c r="CI327" s="55"/>
      <c r="CJ327" s="55"/>
      <c r="CK327" s="55"/>
      <c r="CL327" s="55"/>
      <c r="CM327" s="55"/>
      <c r="CN327" s="55"/>
      <c r="CO327" s="55"/>
      <c r="CP327" s="55"/>
      <c r="CQ327" s="55"/>
    </row>
    <row r="328" spans="2:95" s="35" customFormat="1" ht="12.75" customHeight="1">
      <c r="B328" s="51"/>
      <c r="D328" s="44"/>
      <c r="X328" s="51"/>
      <c r="Y328" s="51"/>
      <c r="AA328" s="47"/>
      <c r="AC328" s="51"/>
      <c r="AN328" s="51"/>
      <c r="AO328" s="51"/>
      <c r="AP328" s="51"/>
      <c r="AQ328" s="51"/>
      <c r="AR328" s="51"/>
      <c r="AS328" s="51"/>
      <c r="AT328" s="51"/>
      <c r="AU328" s="51"/>
      <c r="AV328" s="51"/>
      <c r="AW328" s="51"/>
      <c r="AX328" s="51"/>
      <c r="AY328" s="51"/>
      <c r="AZ328" s="65"/>
      <c r="BA328" s="51"/>
      <c r="BB328" s="55"/>
      <c r="BC328" s="55"/>
      <c r="BD328" s="55"/>
      <c r="BE328" s="55"/>
      <c r="BF328" s="55"/>
      <c r="BG328" s="55"/>
      <c r="BH328" s="55"/>
      <c r="BI328" s="55"/>
      <c r="BJ328" s="55"/>
      <c r="BK328" s="55"/>
      <c r="BL328" s="55"/>
      <c r="BM328" s="55"/>
      <c r="BN328" s="55"/>
      <c r="BO328" s="55"/>
      <c r="BP328" s="55"/>
      <c r="BQ328" s="55"/>
      <c r="BR328" s="55"/>
      <c r="BS328" s="55"/>
      <c r="BT328" s="55"/>
      <c r="BU328" s="84"/>
      <c r="BV328" s="55"/>
      <c r="BW328" s="55"/>
      <c r="BX328" s="55"/>
      <c r="BY328" s="55"/>
      <c r="BZ328" s="55"/>
      <c r="CA328" s="55"/>
      <c r="CB328" s="55"/>
      <c r="CC328" s="55"/>
      <c r="CD328" s="55"/>
      <c r="CE328" s="55"/>
      <c r="CF328" s="55"/>
      <c r="CG328" s="55"/>
      <c r="CH328" s="55"/>
      <c r="CI328" s="55"/>
      <c r="CJ328" s="55"/>
      <c r="CK328" s="55"/>
      <c r="CL328" s="55"/>
      <c r="CM328" s="55"/>
      <c r="CN328" s="55"/>
      <c r="CO328" s="55"/>
      <c r="CP328" s="55"/>
      <c r="CQ328" s="55"/>
    </row>
    <row r="329" spans="2:95" s="35" customFormat="1" ht="12.75" customHeight="1">
      <c r="B329" s="51"/>
      <c r="D329" s="44"/>
      <c r="X329" s="51"/>
      <c r="Y329" s="51"/>
      <c r="AA329" s="47"/>
      <c r="AC329" s="51"/>
      <c r="AN329" s="51"/>
      <c r="AO329" s="51"/>
      <c r="AP329" s="51"/>
      <c r="AQ329" s="51"/>
      <c r="AR329" s="51"/>
      <c r="AS329" s="51"/>
      <c r="AT329" s="51"/>
      <c r="AU329" s="51"/>
      <c r="AV329" s="51"/>
      <c r="AW329" s="51"/>
      <c r="AX329" s="51"/>
      <c r="AY329" s="51"/>
      <c r="AZ329" s="65"/>
      <c r="BA329" s="51"/>
      <c r="BB329" s="55"/>
      <c r="BC329" s="55"/>
      <c r="BD329" s="55"/>
      <c r="BE329" s="55"/>
      <c r="BF329" s="55"/>
      <c r="BG329" s="55"/>
      <c r="BH329" s="55"/>
      <c r="BI329" s="55"/>
      <c r="BJ329" s="55"/>
      <c r="BK329" s="55"/>
      <c r="BL329" s="55"/>
      <c r="BM329" s="55"/>
      <c r="BN329" s="55"/>
      <c r="BO329" s="55"/>
      <c r="BP329" s="55"/>
      <c r="BQ329" s="55"/>
      <c r="BR329" s="55"/>
      <c r="BS329" s="55"/>
      <c r="BT329" s="55"/>
      <c r="BU329" s="84"/>
      <c r="BV329" s="55"/>
      <c r="BW329" s="55"/>
      <c r="BX329" s="55"/>
      <c r="BY329" s="55"/>
      <c r="BZ329" s="55"/>
      <c r="CA329" s="55"/>
      <c r="CB329" s="55"/>
      <c r="CC329" s="55"/>
      <c r="CD329" s="55"/>
      <c r="CE329" s="55"/>
      <c r="CF329" s="55"/>
      <c r="CG329" s="55"/>
      <c r="CH329" s="55"/>
      <c r="CI329" s="55"/>
      <c r="CJ329" s="55"/>
      <c r="CK329" s="55"/>
      <c r="CL329" s="55"/>
      <c r="CM329" s="55"/>
      <c r="CN329" s="55"/>
      <c r="CO329" s="55"/>
      <c r="CP329" s="55"/>
      <c r="CQ329" s="55"/>
    </row>
    <row r="330" spans="2:95" s="35" customFormat="1" ht="12.75" customHeight="1">
      <c r="B330" s="51"/>
      <c r="D330" s="44"/>
      <c r="X330" s="51"/>
      <c r="Y330" s="51"/>
      <c r="AA330" s="47"/>
      <c r="AC330" s="51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  <c r="AX330" s="51"/>
      <c r="AY330" s="51"/>
      <c r="AZ330" s="65"/>
      <c r="BA330" s="51"/>
      <c r="BB330" s="55"/>
      <c r="BC330" s="55"/>
      <c r="BD330" s="55"/>
      <c r="BE330" s="55"/>
      <c r="BF330" s="55"/>
      <c r="BG330" s="55"/>
      <c r="BH330" s="55"/>
      <c r="BI330" s="55"/>
      <c r="BJ330" s="55"/>
      <c r="BK330" s="55"/>
      <c r="BL330" s="55"/>
      <c r="BM330" s="55"/>
      <c r="BN330" s="55"/>
      <c r="BO330" s="55"/>
      <c r="BP330" s="55"/>
      <c r="BQ330" s="55"/>
      <c r="BR330" s="55"/>
      <c r="BS330" s="55"/>
      <c r="BT330" s="55"/>
      <c r="BU330" s="84"/>
      <c r="BV330" s="55"/>
      <c r="BW330" s="55"/>
      <c r="BX330" s="55"/>
      <c r="BY330" s="55"/>
      <c r="BZ330" s="55"/>
      <c r="CA330" s="55"/>
      <c r="CB330" s="55"/>
      <c r="CC330" s="55"/>
      <c r="CD330" s="55"/>
      <c r="CE330" s="55"/>
      <c r="CF330" s="55"/>
      <c r="CG330" s="55"/>
      <c r="CH330" s="55"/>
      <c r="CI330" s="55"/>
      <c r="CJ330" s="55"/>
      <c r="CK330" s="55"/>
      <c r="CL330" s="55"/>
      <c r="CM330" s="55"/>
      <c r="CN330" s="55"/>
      <c r="CO330" s="55"/>
      <c r="CP330" s="55"/>
      <c r="CQ330" s="55"/>
    </row>
    <row r="331" spans="2:95" s="35" customFormat="1" ht="12.75" customHeight="1">
      <c r="B331" s="51"/>
      <c r="D331" s="44"/>
      <c r="X331" s="51"/>
      <c r="Y331" s="51"/>
      <c r="AA331" s="47"/>
      <c r="AC331" s="51"/>
      <c r="AN331" s="51"/>
      <c r="AO331" s="51"/>
      <c r="AP331" s="51"/>
      <c r="AQ331" s="51"/>
      <c r="AR331" s="51"/>
      <c r="AS331" s="51"/>
      <c r="AT331" s="51"/>
      <c r="AU331" s="51"/>
      <c r="AV331" s="51"/>
      <c r="AW331" s="51"/>
      <c r="AX331" s="51"/>
      <c r="AY331" s="51"/>
      <c r="AZ331" s="65"/>
      <c r="BA331" s="51"/>
      <c r="BB331" s="55"/>
      <c r="BC331" s="55"/>
      <c r="BD331" s="55"/>
      <c r="BE331" s="55"/>
      <c r="BF331" s="55"/>
      <c r="BG331" s="55"/>
      <c r="BH331" s="55"/>
      <c r="BI331" s="55"/>
      <c r="BJ331" s="55"/>
      <c r="BK331" s="55"/>
      <c r="BL331" s="55"/>
      <c r="BM331" s="55"/>
      <c r="BN331" s="55"/>
      <c r="BO331" s="55"/>
      <c r="BP331" s="55"/>
      <c r="BQ331" s="55"/>
      <c r="BR331" s="55"/>
      <c r="BS331" s="55"/>
      <c r="BT331" s="55"/>
      <c r="BU331" s="84"/>
      <c r="BV331" s="55"/>
      <c r="BW331" s="55"/>
      <c r="BX331" s="55"/>
      <c r="BY331" s="55"/>
      <c r="BZ331" s="55"/>
      <c r="CA331" s="55"/>
      <c r="CB331" s="55"/>
      <c r="CC331" s="55"/>
      <c r="CD331" s="55"/>
      <c r="CE331" s="55"/>
      <c r="CF331" s="55"/>
      <c r="CG331" s="55"/>
      <c r="CH331" s="55"/>
      <c r="CI331" s="55"/>
      <c r="CJ331" s="55"/>
      <c r="CK331" s="55"/>
      <c r="CL331" s="55"/>
      <c r="CM331" s="55"/>
      <c r="CN331" s="55"/>
      <c r="CO331" s="55"/>
      <c r="CP331" s="55"/>
      <c r="CQ331" s="55"/>
    </row>
    <row r="332" spans="2:95" s="35" customFormat="1" ht="12.75" customHeight="1">
      <c r="B332" s="51"/>
      <c r="D332" s="44"/>
      <c r="X332" s="51"/>
      <c r="Y332" s="51"/>
      <c r="AA332" s="47"/>
      <c r="AC332" s="51"/>
      <c r="AN332" s="51"/>
      <c r="AO332" s="51"/>
      <c r="AP332" s="51"/>
      <c r="AQ332" s="51"/>
      <c r="AR332" s="51"/>
      <c r="AS332" s="51"/>
      <c r="AT332" s="51"/>
      <c r="AU332" s="51"/>
      <c r="AV332" s="51"/>
      <c r="AW332" s="51"/>
      <c r="AX332" s="51"/>
      <c r="AY332" s="51"/>
      <c r="AZ332" s="65"/>
      <c r="BA332" s="51"/>
      <c r="BB332" s="55"/>
      <c r="BC332" s="55"/>
      <c r="BD332" s="55"/>
      <c r="BE332" s="55"/>
      <c r="BF332" s="55"/>
      <c r="BG332" s="55"/>
      <c r="BH332" s="55"/>
      <c r="BI332" s="55"/>
      <c r="BJ332" s="55"/>
      <c r="BK332" s="55"/>
      <c r="BL332" s="55"/>
      <c r="BM332" s="55"/>
      <c r="BN332" s="55"/>
      <c r="BO332" s="55"/>
      <c r="BP332" s="55"/>
      <c r="BQ332" s="55"/>
      <c r="BR332" s="55"/>
      <c r="BS332" s="55"/>
      <c r="BT332" s="55"/>
      <c r="BU332" s="84"/>
      <c r="BV332" s="55"/>
      <c r="BW332" s="55"/>
      <c r="BX332" s="55"/>
      <c r="BY332" s="55"/>
      <c r="BZ332" s="55"/>
      <c r="CA332" s="55"/>
      <c r="CB332" s="55"/>
      <c r="CC332" s="55"/>
      <c r="CD332" s="55"/>
      <c r="CE332" s="55"/>
      <c r="CF332" s="55"/>
      <c r="CG332" s="55"/>
      <c r="CH332" s="55"/>
      <c r="CI332" s="55"/>
      <c r="CJ332" s="55"/>
      <c r="CK332" s="55"/>
      <c r="CL332" s="55"/>
      <c r="CM332" s="55"/>
      <c r="CN332" s="55"/>
      <c r="CO332" s="55"/>
      <c r="CP332" s="55"/>
      <c r="CQ332" s="55"/>
    </row>
    <row r="333" spans="2:95" s="35" customFormat="1" ht="12.75" customHeight="1">
      <c r="B333" s="51"/>
      <c r="D333" s="44"/>
      <c r="X333" s="51"/>
      <c r="Y333" s="51"/>
      <c r="AA333" s="47"/>
      <c r="AC333" s="51"/>
      <c r="AN333" s="51"/>
      <c r="AO333" s="51"/>
      <c r="AP333" s="51"/>
      <c r="AQ333" s="51"/>
      <c r="AR333" s="51"/>
      <c r="AS333" s="51"/>
      <c r="AT333" s="51"/>
      <c r="AU333" s="51"/>
      <c r="AV333" s="51"/>
      <c r="AW333" s="51"/>
      <c r="AX333" s="51"/>
      <c r="AY333" s="51"/>
      <c r="AZ333" s="65"/>
      <c r="BA333" s="51"/>
      <c r="BB333" s="55"/>
      <c r="BC333" s="55"/>
      <c r="BD333" s="55"/>
      <c r="BE333" s="55"/>
      <c r="BF333" s="55"/>
      <c r="BG333" s="55"/>
      <c r="BH333" s="55"/>
      <c r="BI333" s="55"/>
      <c r="BJ333" s="55"/>
      <c r="BK333" s="55"/>
      <c r="BL333" s="55"/>
      <c r="BM333" s="55"/>
      <c r="BN333" s="55"/>
      <c r="BO333" s="55"/>
      <c r="BP333" s="55"/>
      <c r="BQ333" s="55"/>
      <c r="BR333" s="55"/>
      <c r="BS333" s="55"/>
      <c r="BT333" s="55"/>
      <c r="BU333" s="84"/>
      <c r="BV333" s="55"/>
      <c r="BW333" s="55"/>
      <c r="BX333" s="55"/>
      <c r="BY333" s="55"/>
      <c r="BZ333" s="55"/>
      <c r="CA333" s="55"/>
      <c r="CB333" s="55"/>
      <c r="CC333" s="55"/>
      <c r="CD333" s="55"/>
      <c r="CE333" s="55"/>
      <c r="CF333" s="55"/>
      <c r="CG333" s="55"/>
      <c r="CH333" s="55"/>
      <c r="CI333" s="55"/>
      <c r="CJ333" s="55"/>
      <c r="CK333" s="55"/>
      <c r="CL333" s="55"/>
      <c r="CM333" s="55"/>
      <c r="CN333" s="55"/>
      <c r="CO333" s="55"/>
      <c r="CP333" s="55"/>
      <c r="CQ333" s="55"/>
    </row>
    <row r="334" spans="2:95" s="35" customFormat="1" ht="12.75" customHeight="1">
      <c r="B334" s="51"/>
      <c r="D334" s="44"/>
      <c r="X334" s="51"/>
      <c r="Y334" s="51"/>
      <c r="AA334" s="47"/>
      <c r="AC334" s="51"/>
      <c r="AN334" s="51"/>
      <c r="AO334" s="51"/>
      <c r="AP334" s="51"/>
      <c r="AQ334" s="51"/>
      <c r="AR334" s="51"/>
      <c r="AS334" s="51"/>
      <c r="AT334" s="51"/>
      <c r="AU334" s="51"/>
      <c r="AV334" s="51"/>
      <c r="AW334" s="51"/>
      <c r="AX334" s="51"/>
      <c r="AY334" s="51"/>
      <c r="AZ334" s="65"/>
      <c r="BA334" s="51"/>
      <c r="BB334" s="55"/>
      <c r="BC334" s="55"/>
      <c r="BD334" s="55"/>
      <c r="BE334" s="55"/>
      <c r="BF334" s="55"/>
      <c r="BG334" s="55"/>
      <c r="BH334" s="55"/>
      <c r="BI334" s="55"/>
      <c r="BJ334" s="55"/>
      <c r="BK334" s="55"/>
      <c r="BL334" s="55"/>
      <c r="BM334" s="55"/>
      <c r="BN334" s="55"/>
      <c r="BO334" s="55"/>
      <c r="BP334" s="55"/>
      <c r="BQ334" s="55"/>
      <c r="BR334" s="55"/>
      <c r="BS334" s="55"/>
      <c r="BT334" s="55"/>
      <c r="BU334" s="84"/>
      <c r="BV334" s="55"/>
      <c r="BW334" s="55"/>
      <c r="BX334" s="55"/>
      <c r="BY334" s="55"/>
      <c r="BZ334" s="55"/>
      <c r="CA334" s="55"/>
      <c r="CB334" s="55"/>
      <c r="CC334" s="55"/>
      <c r="CD334" s="55"/>
      <c r="CE334" s="55"/>
      <c r="CF334" s="55"/>
      <c r="CG334" s="55"/>
      <c r="CH334" s="55"/>
      <c r="CI334" s="55"/>
      <c r="CJ334" s="55"/>
      <c r="CK334" s="55"/>
      <c r="CL334" s="55"/>
      <c r="CM334" s="55"/>
      <c r="CN334" s="55"/>
      <c r="CO334" s="55"/>
      <c r="CP334" s="55"/>
      <c r="CQ334" s="55"/>
    </row>
    <row r="335" spans="2:95" s="35" customFormat="1" ht="12.75" customHeight="1">
      <c r="B335" s="51"/>
      <c r="D335" s="44"/>
      <c r="X335" s="51"/>
      <c r="Y335" s="51"/>
      <c r="AA335" s="47"/>
      <c r="AC335" s="51"/>
      <c r="AN335" s="51"/>
      <c r="AO335" s="51"/>
      <c r="AP335" s="51"/>
      <c r="AQ335" s="51"/>
      <c r="AR335" s="51"/>
      <c r="AS335" s="51"/>
      <c r="AT335" s="51"/>
      <c r="AU335" s="51"/>
      <c r="AV335" s="51"/>
      <c r="AW335" s="51"/>
      <c r="AX335" s="51"/>
      <c r="AY335" s="51"/>
      <c r="AZ335" s="65"/>
      <c r="BA335" s="51"/>
      <c r="BB335" s="55"/>
      <c r="BC335" s="55"/>
      <c r="BD335" s="55"/>
      <c r="BE335" s="55"/>
      <c r="BF335" s="55"/>
      <c r="BG335" s="55"/>
      <c r="BH335" s="55"/>
      <c r="BI335" s="55"/>
      <c r="BJ335" s="55"/>
      <c r="BK335" s="55"/>
      <c r="BL335" s="55"/>
      <c r="BM335" s="55"/>
      <c r="BN335" s="55"/>
      <c r="BO335" s="55"/>
      <c r="BP335" s="55"/>
      <c r="BQ335" s="55"/>
      <c r="BR335" s="55"/>
      <c r="BS335" s="55"/>
      <c r="BT335" s="55"/>
      <c r="BU335" s="84"/>
      <c r="BV335" s="55"/>
      <c r="BW335" s="55"/>
      <c r="BX335" s="55"/>
      <c r="BY335" s="55"/>
      <c r="BZ335" s="55"/>
      <c r="CA335" s="55"/>
      <c r="CB335" s="55"/>
      <c r="CC335" s="55"/>
      <c r="CD335" s="55"/>
      <c r="CE335" s="55"/>
      <c r="CF335" s="55"/>
      <c r="CG335" s="55"/>
      <c r="CH335" s="55"/>
      <c r="CI335" s="55"/>
      <c r="CJ335" s="55"/>
      <c r="CK335" s="55"/>
      <c r="CL335" s="55"/>
      <c r="CM335" s="55"/>
      <c r="CN335" s="55"/>
      <c r="CO335" s="55"/>
      <c r="CP335" s="55"/>
      <c r="CQ335" s="55"/>
    </row>
    <row r="336" spans="2:95" s="35" customFormat="1" ht="12.75" customHeight="1">
      <c r="B336" s="51"/>
      <c r="D336" s="44"/>
      <c r="X336" s="51"/>
      <c r="Y336" s="51"/>
      <c r="AA336" s="47"/>
      <c r="AC336" s="51"/>
      <c r="AN336" s="51"/>
      <c r="AO336" s="51"/>
      <c r="AP336" s="51"/>
      <c r="AQ336" s="51"/>
      <c r="AR336" s="51"/>
      <c r="AS336" s="51"/>
      <c r="AT336" s="51"/>
      <c r="AU336" s="51"/>
      <c r="AV336" s="51"/>
      <c r="AW336" s="51"/>
      <c r="AX336" s="51"/>
      <c r="AY336" s="51"/>
      <c r="AZ336" s="65"/>
      <c r="BA336" s="51"/>
      <c r="BB336" s="55"/>
      <c r="BC336" s="55"/>
      <c r="BD336" s="55"/>
      <c r="BE336" s="55"/>
      <c r="BF336" s="55"/>
      <c r="BG336" s="55"/>
      <c r="BH336" s="55"/>
      <c r="BI336" s="55"/>
      <c r="BJ336" s="55"/>
      <c r="BK336" s="55"/>
      <c r="BL336" s="55"/>
      <c r="BM336" s="55"/>
      <c r="BN336" s="55"/>
      <c r="BO336" s="55"/>
      <c r="BP336" s="55"/>
      <c r="BQ336" s="55"/>
      <c r="BR336" s="55"/>
      <c r="BS336" s="55"/>
      <c r="BT336" s="55"/>
      <c r="BU336" s="84"/>
      <c r="BV336" s="55"/>
      <c r="BW336" s="55"/>
      <c r="BX336" s="55"/>
      <c r="BY336" s="55"/>
      <c r="BZ336" s="55"/>
      <c r="CA336" s="55"/>
      <c r="CB336" s="55"/>
      <c r="CC336" s="55"/>
      <c r="CD336" s="55"/>
      <c r="CE336" s="55"/>
      <c r="CF336" s="55"/>
      <c r="CG336" s="55"/>
      <c r="CH336" s="55"/>
      <c r="CI336" s="55"/>
      <c r="CJ336" s="55"/>
      <c r="CK336" s="55"/>
      <c r="CL336" s="55"/>
      <c r="CM336" s="55"/>
      <c r="CN336" s="55"/>
      <c r="CO336" s="55"/>
      <c r="CP336" s="55"/>
      <c r="CQ336" s="55"/>
    </row>
    <row r="337" spans="2:95" s="35" customFormat="1" ht="12.75" customHeight="1">
      <c r="B337" s="51"/>
      <c r="D337" s="44"/>
      <c r="X337" s="51"/>
      <c r="Y337" s="51"/>
      <c r="AA337" s="47"/>
      <c r="AC337" s="51"/>
      <c r="AN337" s="51"/>
      <c r="AO337" s="51"/>
      <c r="AP337" s="51"/>
      <c r="AQ337" s="51"/>
      <c r="AR337" s="51"/>
      <c r="AS337" s="51"/>
      <c r="AT337" s="51"/>
      <c r="AU337" s="51"/>
      <c r="AV337" s="51"/>
      <c r="AW337" s="51"/>
      <c r="AX337" s="51"/>
      <c r="AY337" s="51"/>
      <c r="AZ337" s="65"/>
      <c r="BA337" s="51"/>
      <c r="BB337" s="55"/>
      <c r="BC337" s="55"/>
      <c r="BD337" s="55"/>
      <c r="BE337" s="55"/>
      <c r="BF337" s="55"/>
      <c r="BG337" s="55"/>
      <c r="BH337" s="55"/>
      <c r="BI337" s="55"/>
      <c r="BJ337" s="55"/>
      <c r="BK337" s="55"/>
      <c r="BL337" s="55"/>
      <c r="BM337" s="55"/>
      <c r="BN337" s="55"/>
      <c r="BO337" s="55"/>
      <c r="BP337" s="55"/>
      <c r="BQ337" s="55"/>
      <c r="BR337" s="55"/>
      <c r="BS337" s="55"/>
      <c r="BT337" s="55"/>
      <c r="BU337" s="84"/>
      <c r="BV337" s="55"/>
      <c r="BW337" s="55"/>
      <c r="BX337" s="55"/>
      <c r="BY337" s="55"/>
      <c r="BZ337" s="55"/>
      <c r="CA337" s="55"/>
      <c r="CB337" s="55"/>
      <c r="CC337" s="55"/>
      <c r="CD337" s="55"/>
      <c r="CE337" s="55"/>
      <c r="CF337" s="55"/>
      <c r="CG337" s="55"/>
      <c r="CH337" s="55"/>
      <c r="CI337" s="55"/>
      <c r="CJ337" s="55"/>
      <c r="CK337" s="55"/>
      <c r="CL337" s="55"/>
      <c r="CM337" s="55"/>
      <c r="CN337" s="55"/>
      <c r="CO337" s="55"/>
      <c r="CP337" s="55"/>
      <c r="CQ337" s="55"/>
    </row>
    <row r="338" spans="2:95" s="35" customFormat="1" ht="12.75" customHeight="1">
      <c r="B338" s="51"/>
      <c r="D338" s="44"/>
      <c r="X338" s="51"/>
      <c r="Y338" s="51"/>
      <c r="AA338" s="47"/>
      <c r="AC338" s="51"/>
      <c r="AN338" s="51"/>
      <c r="AO338" s="51"/>
      <c r="AP338" s="51"/>
      <c r="AQ338" s="51"/>
      <c r="AR338" s="51"/>
      <c r="AS338" s="51"/>
      <c r="AT338" s="51"/>
      <c r="AU338" s="51"/>
      <c r="AV338" s="51"/>
      <c r="AW338" s="51"/>
      <c r="AX338" s="51"/>
      <c r="AY338" s="51"/>
      <c r="AZ338" s="65"/>
      <c r="BA338" s="51"/>
      <c r="BB338" s="55"/>
      <c r="BC338" s="55"/>
      <c r="BD338" s="55"/>
      <c r="BE338" s="55"/>
      <c r="BF338" s="55"/>
      <c r="BG338" s="55"/>
      <c r="BH338" s="55"/>
      <c r="BI338" s="55"/>
      <c r="BJ338" s="55"/>
      <c r="BK338" s="55"/>
      <c r="BL338" s="55"/>
      <c r="BM338" s="55"/>
      <c r="BN338" s="55"/>
      <c r="BO338" s="55"/>
      <c r="BP338" s="55"/>
      <c r="BQ338" s="55"/>
      <c r="BR338" s="55"/>
      <c r="BS338" s="55"/>
      <c r="BT338" s="55"/>
      <c r="BU338" s="84"/>
      <c r="BV338" s="55"/>
      <c r="BW338" s="55"/>
      <c r="BX338" s="55"/>
      <c r="BY338" s="55"/>
      <c r="BZ338" s="55"/>
      <c r="CA338" s="55"/>
      <c r="CB338" s="55"/>
      <c r="CC338" s="55"/>
      <c r="CD338" s="55"/>
      <c r="CE338" s="55"/>
      <c r="CF338" s="55"/>
      <c r="CG338" s="55"/>
      <c r="CH338" s="55"/>
      <c r="CI338" s="55"/>
      <c r="CJ338" s="55"/>
      <c r="CK338" s="55"/>
      <c r="CL338" s="55"/>
      <c r="CM338" s="55"/>
      <c r="CN338" s="55"/>
      <c r="CO338" s="55"/>
      <c r="CP338" s="55"/>
      <c r="CQ338" s="55"/>
    </row>
    <row r="339" spans="2:95" s="35" customFormat="1" ht="12.75" customHeight="1">
      <c r="B339" s="51"/>
      <c r="D339" s="44"/>
      <c r="X339" s="51"/>
      <c r="Y339" s="51"/>
      <c r="AA339" s="47"/>
      <c r="AC339" s="51"/>
      <c r="AN339" s="51"/>
      <c r="AO339" s="51"/>
      <c r="AP339" s="51"/>
      <c r="AQ339" s="51"/>
      <c r="AR339" s="51"/>
      <c r="AS339" s="51"/>
      <c r="AT339" s="51"/>
      <c r="AU339" s="51"/>
      <c r="AV339" s="51"/>
      <c r="AW339" s="51"/>
      <c r="AX339" s="51"/>
      <c r="AY339" s="51"/>
      <c r="AZ339" s="65"/>
      <c r="BA339" s="51"/>
      <c r="BB339" s="55"/>
      <c r="BC339" s="55"/>
      <c r="BD339" s="55"/>
      <c r="BE339" s="55"/>
      <c r="BF339" s="55"/>
      <c r="BG339" s="55"/>
      <c r="BH339" s="55"/>
      <c r="BI339" s="55"/>
      <c r="BJ339" s="55"/>
      <c r="BK339" s="55"/>
      <c r="BL339" s="55"/>
      <c r="BM339" s="55"/>
      <c r="BN339" s="55"/>
      <c r="BO339" s="55"/>
      <c r="BP339" s="55"/>
      <c r="BQ339" s="55"/>
      <c r="BR339" s="55"/>
      <c r="BS339" s="55"/>
      <c r="BT339" s="55"/>
      <c r="BU339" s="84"/>
      <c r="BV339" s="55"/>
      <c r="BW339" s="55"/>
      <c r="BX339" s="55"/>
      <c r="BY339" s="55"/>
      <c r="BZ339" s="55"/>
      <c r="CA339" s="55"/>
      <c r="CB339" s="55"/>
      <c r="CC339" s="55"/>
      <c r="CD339" s="55"/>
      <c r="CE339" s="55"/>
      <c r="CF339" s="55"/>
      <c r="CG339" s="55"/>
      <c r="CH339" s="55"/>
      <c r="CI339" s="55"/>
      <c r="CJ339" s="55"/>
      <c r="CK339" s="55"/>
      <c r="CL339" s="55"/>
      <c r="CM339" s="55"/>
      <c r="CN339" s="55"/>
      <c r="CO339" s="55"/>
      <c r="CP339" s="55"/>
      <c r="CQ339" s="55"/>
    </row>
    <row r="340" spans="2:95" s="35" customFormat="1" ht="12.75" customHeight="1">
      <c r="B340" s="51"/>
      <c r="D340" s="44"/>
      <c r="X340" s="51"/>
      <c r="Y340" s="51"/>
      <c r="AA340" s="47"/>
      <c r="AC340" s="51"/>
      <c r="AN340" s="51"/>
      <c r="AO340" s="51"/>
      <c r="AP340" s="51"/>
      <c r="AQ340" s="51"/>
      <c r="AR340" s="51"/>
      <c r="AS340" s="51"/>
      <c r="AT340" s="51"/>
      <c r="AU340" s="51"/>
      <c r="AV340" s="51"/>
      <c r="AW340" s="51"/>
      <c r="AX340" s="51"/>
      <c r="AY340" s="51"/>
      <c r="AZ340" s="65"/>
      <c r="BA340" s="51"/>
      <c r="BB340" s="55"/>
      <c r="BC340" s="55"/>
      <c r="BD340" s="55"/>
      <c r="BE340" s="55"/>
      <c r="BF340" s="55"/>
      <c r="BG340" s="55"/>
      <c r="BH340" s="55"/>
      <c r="BI340" s="55"/>
      <c r="BJ340" s="55"/>
      <c r="BK340" s="55"/>
      <c r="BL340" s="55"/>
      <c r="BM340" s="55"/>
      <c r="BN340" s="55"/>
      <c r="BO340" s="55"/>
      <c r="BP340" s="55"/>
      <c r="BQ340" s="55"/>
      <c r="BR340" s="55"/>
      <c r="BS340" s="55"/>
      <c r="BT340" s="55"/>
      <c r="BU340" s="84"/>
      <c r="BV340" s="55"/>
      <c r="BW340" s="55"/>
      <c r="BX340" s="55"/>
      <c r="BY340" s="55"/>
      <c r="BZ340" s="55"/>
      <c r="CA340" s="55"/>
      <c r="CB340" s="55"/>
      <c r="CC340" s="55"/>
      <c r="CD340" s="55"/>
      <c r="CE340" s="55"/>
      <c r="CF340" s="55"/>
      <c r="CG340" s="55"/>
      <c r="CH340" s="55"/>
      <c r="CI340" s="55"/>
      <c r="CJ340" s="55"/>
      <c r="CK340" s="55"/>
      <c r="CL340" s="55"/>
      <c r="CM340" s="55"/>
      <c r="CN340" s="55"/>
      <c r="CO340" s="55"/>
      <c r="CP340" s="55"/>
      <c r="CQ340" s="55"/>
    </row>
    <row r="341" spans="2:95" s="35" customFormat="1" ht="12.75" customHeight="1">
      <c r="B341" s="51"/>
      <c r="D341" s="44"/>
      <c r="X341" s="51"/>
      <c r="Y341" s="51"/>
      <c r="AA341" s="47"/>
      <c r="AC341" s="51"/>
      <c r="AN341" s="51"/>
      <c r="AO341" s="51"/>
      <c r="AP341" s="51"/>
      <c r="AQ341" s="51"/>
      <c r="AR341" s="51"/>
      <c r="AS341" s="51"/>
      <c r="AT341" s="51"/>
      <c r="AU341" s="51"/>
      <c r="AV341" s="51"/>
      <c r="AW341" s="51"/>
      <c r="AX341" s="51"/>
      <c r="AY341" s="51"/>
      <c r="AZ341" s="65"/>
      <c r="BA341" s="51"/>
      <c r="BB341" s="55"/>
      <c r="BC341" s="55"/>
      <c r="BD341" s="55"/>
      <c r="BE341" s="55"/>
      <c r="BF341" s="55"/>
      <c r="BG341" s="55"/>
      <c r="BH341" s="55"/>
      <c r="BI341" s="55"/>
      <c r="BJ341" s="55"/>
      <c r="BK341" s="55"/>
      <c r="BL341" s="55"/>
      <c r="BM341" s="55"/>
      <c r="BN341" s="55"/>
      <c r="BO341" s="55"/>
      <c r="BP341" s="55"/>
      <c r="BQ341" s="55"/>
      <c r="BR341" s="55"/>
      <c r="BS341" s="55"/>
      <c r="BT341" s="55"/>
      <c r="BU341" s="84"/>
      <c r="BV341" s="55"/>
      <c r="BW341" s="55"/>
      <c r="BX341" s="55"/>
      <c r="BY341" s="55"/>
      <c r="BZ341" s="55"/>
      <c r="CA341" s="55"/>
      <c r="CB341" s="55"/>
      <c r="CC341" s="55"/>
      <c r="CD341" s="55"/>
      <c r="CE341" s="55"/>
      <c r="CF341" s="55"/>
      <c r="CG341" s="55"/>
      <c r="CH341" s="55"/>
      <c r="CI341" s="55"/>
      <c r="CJ341" s="55"/>
      <c r="CK341" s="55"/>
      <c r="CL341" s="55"/>
      <c r="CM341" s="55"/>
      <c r="CN341" s="55"/>
      <c r="CO341" s="55"/>
      <c r="CP341" s="55"/>
      <c r="CQ341" s="55"/>
    </row>
    <row r="342" spans="2:95" s="35" customFormat="1" ht="12.75" customHeight="1">
      <c r="B342" s="51"/>
      <c r="D342" s="44"/>
      <c r="X342" s="51"/>
      <c r="Y342" s="51"/>
      <c r="AA342" s="47"/>
      <c r="AC342" s="51"/>
      <c r="AN342" s="51"/>
      <c r="AO342" s="51"/>
      <c r="AP342" s="51"/>
      <c r="AQ342" s="51"/>
      <c r="AR342" s="51"/>
      <c r="AS342" s="51"/>
      <c r="AT342" s="51"/>
      <c r="AU342" s="51"/>
      <c r="AV342" s="51"/>
      <c r="AW342" s="51"/>
      <c r="AX342" s="51"/>
      <c r="AY342" s="51"/>
      <c r="AZ342" s="65"/>
      <c r="BA342" s="51"/>
      <c r="BB342" s="55"/>
      <c r="BC342" s="55"/>
      <c r="BD342" s="55"/>
      <c r="BE342" s="55"/>
      <c r="BF342" s="55"/>
      <c r="BG342" s="55"/>
      <c r="BH342" s="55"/>
      <c r="BI342" s="55"/>
      <c r="BJ342" s="55"/>
      <c r="BK342" s="55"/>
      <c r="BL342" s="55"/>
      <c r="BM342" s="55"/>
      <c r="BN342" s="55"/>
      <c r="BO342" s="55"/>
      <c r="BP342" s="55"/>
      <c r="BQ342" s="55"/>
      <c r="BR342" s="55"/>
      <c r="BS342" s="55"/>
      <c r="BT342" s="55"/>
      <c r="BU342" s="84"/>
      <c r="BV342" s="55"/>
      <c r="BW342" s="55"/>
      <c r="BX342" s="55"/>
      <c r="BY342" s="55"/>
      <c r="BZ342" s="55"/>
      <c r="CA342" s="55"/>
      <c r="CB342" s="55"/>
      <c r="CC342" s="55"/>
      <c r="CD342" s="55"/>
      <c r="CE342" s="55"/>
      <c r="CF342" s="55"/>
      <c r="CG342" s="55"/>
      <c r="CH342" s="55"/>
      <c r="CI342" s="55"/>
      <c r="CJ342" s="55"/>
      <c r="CK342" s="55"/>
      <c r="CL342" s="55"/>
      <c r="CM342" s="55"/>
      <c r="CN342" s="55"/>
      <c r="CO342" s="55"/>
      <c r="CP342" s="55"/>
      <c r="CQ342" s="55"/>
    </row>
    <row r="343" spans="2:95" s="35" customFormat="1" ht="12.75" customHeight="1">
      <c r="B343" s="51"/>
      <c r="D343" s="44"/>
      <c r="X343" s="51"/>
      <c r="Y343" s="51"/>
      <c r="AA343" s="47"/>
      <c r="AC343" s="51"/>
      <c r="AN343" s="51"/>
      <c r="AO343" s="51"/>
      <c r="AP343" s="51"/>
      <c r="AQ343" s="51"/>
      <c r="AR343" s="51"/>
      <c r="AS343" s="51"/>
      <c r="AT343" s="51"/>
      <c r="AU343" s="51"/>
      <c r="AV343" s="51"/>
      <c r="AW343" s="51"/>
      <c r="AX343" s="51"/>
      <c r="AY343" s="51"/>
      <c r="AZ343" s="65"/>
      <c r="BA343" s="51"/>
      <c r="BB343" s="55"/>
      <c r="BC343" s="55"/>
      <c r="BD343" s="55"/>
      <c r="BE343" s="55"/>
      <c r="BF343" s="55"/>
      <c r="BG343" s="55"/>
      <c r="BH343" s="55"/>
      <c r="BI343" s="55"/>
      <c r="BJ343" s="55"/>
      <c r="BK343" s="55"/>
      <c r="BL343" s="55"/>
      <c r="BM343" s="55"/>
      <c r="BN343" s="55"/>
      <c r="BO343" s="55"/>
      <c r="BP343" s="55"/>
      <c r="BQ343" s="55"/>
      <c r="BR343" s="55"/>
      <c r="BS343" s="55"/>
      <c r="BT343" s="55"/>
      <c r="BU343" s="84"/>
      <c r="BV343" s="55"/>
      <c r="BW343" s="55"/>
      <c r="BX343" s="55"/>
      <c r="BY343" s="55"/>
      <c r="BZ343" s="55"/>
      <c r="CA343" s="55"/>
      <c r="CB343" s="55"/>
      <c r="CC343" s="55"/>
      <c r="CD343" s="55"/>
      <c r="CE343" s="55"/>
      <c r="CF343" s="55"/>
      <c r="CG343" s="55"/>
      <c r="CH343" s="55"/>
      <c r="CI343" s="55"/>
      <c r="CJ343" s="55"/>
      <c r="CK343" s="55"/>
      <c r="CL343" s="55"/>
      <c r="CM343" s="55"/>
      <c r="CN343" s="55"/>
      <c r="CO343" s="55"/>
      <c r="CP343" s="55"/>
      <c r="CQ343" s="55"/>
    </row>
    <row r="344" spans="2:95" s="35" customFormat="1" ht="12.75" customHeight="1">
      <c r="B344" s="51"/>
      <c r="D344" s="44"/>
      <c r="X344" s="51"/>
      <c r="Y344" s="51"/>
      <c r="AA344" s="47"/>
      <c r="AC344" s="51"/>
      <c r="AN344" s="51"/>
      <c r="AO344" s="51"/>
      <c r="AP344" s="51"/>
      <c r="AQ344" s="51"/>
      <c r="AR344" s="51"/>
      <c r="AS344" s="51"/>
      <c r="AT344" s="51"/>
      <c r="AU344" s="51"/>
      <c r="AV344" s="51"/>
      <c r="AW344" s="51"/>
      <c r="AX344" s="51"/>
      <c r="AY344" s="51"/>
      <c r="AZ344" s="65"/>
      <c r="BA344" s="51"/>
      <c r="BB344" s="55"/>
      <c r="BC344" s="55"/>
      <c r="BD344" s="55"/>
      <c r="BE344" s="55"/>
      <c r="BF344" s="55"/>
      <c r="BG344" s="55"/>
      <c r="BH344" s="55"/>
      <c r="BI344" s="55"/>
      <c r="BJ344" s="55"/>
      <c r="BK344" s="55"/>
      <c r="BL344" s="55"/>
      <c r="BM344" s="55"/>
      <c r="BN344" s="55"/>
      <c r="BO344" s="55"/>
      <c r="BP344" s="55"/>
      <c r="BQ344" s="55"/>
      <c r="BR344" s="55"/>
      <c r="BS344" s="55"/>
      <c r="BT344" s="55"/>
      <c r="BU344" s="84"/>
      <c r="BV344" s="55"/>
      <c r="BW344" s="55"/>
      <c r="BX344" s="55"/>
      <c r="BY344" s="55"/>
      <c r="BZ344" s="55"/>
      <c r="CA344" s="55"/>
      <c r="CB344" s="55"/>
      <c r="CC344" s="55"/>
      <c r="CD344" s="55"/>
      <c r="CE344" s="55"/>
      <c r="CF344" s="55"/>
      <c r="CG344" s="55"/>
      <c r="CH344" s="55"/>
      <c r="CI344" s="55"/>
      <c r="CJ344" s="55"/>
      <c r="CK344" s="55"/>
      <c r="CL344" s="55"/>
      <c r="CM344" s="55"/>
      <c r="CN344" s="55"/>
      <c r="CO344" s="55"/>
      <c r="CP344" s="55"/>
      <c r="CQ344" s="55"/>
    </row>
  </sheetData>
  <mergeCells count="1">
    <mergeCell ref="Q7:U7"/>
  </mergeCells>
  <phoneticPr fontId="4" type="noConversion"/>
  <pageMargins left="0.75" right="0.75" top="0.5" bottom="0.5" header="0" footer="0.25"/>
  <pageSetup scale="85" firstPageNumber="76" pageOrder="overThenDown" orientation="portrait" useFirstPageNumber="1" r:id="rId1"/>
  <headerFooter alignWithMargins="0">
    <oddFooter>&amp;C&amp;"Times New Roman,Regular"&amp;11&amp;P</oddFooter>
  </headerFooter>
  <rowBreaks count="6" manualBreakCount="6">
    <brk id="94" max="22" man="1"/>
    <brk id="94" min="25" max="51" man="1"/>
    <brk id="94" min="53" max="65" man="1"/>
    <brk id="186" max="22" man="1"/>
    <brk id="186" min="25" max="51" man="1"/>
    <brk id="186" min="53" max="65" man="1"/>
  </rowBreaks>
  <colBreaks count="4" manualBreakCount="4">
    <brk id="14" min="11" max="254" man="1"/>
    <brk id="23" min="11" max="251" man="1"/>
    <brk id="39" min="11" max="254" man="1"/>
    <brk id="53" min="11" max="25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DD317"/>
  <sheetViews>
    <sheetView view="pageBreakPreview" zoomScaleNormal="100" zoomScaleSheetLayoutView="100" workbookViewId="0">
      <pane xSplit="4" ySplit="8" topLeftCell="M9" activePane="bottomRight" state="frozen"/>
      <selection activeCell="A49" sqref="A49:IV50"/>
      <selection pane="topRight" activeCell="A49" sqref="A49:IV50"/>
      <selection pane="bottomLeft" activeCell="A49" sqref="A49:IV50"/>
      <selection pane="bottomRight" activeCell="BE225" sqref="BE225"/>
    </sheetView>
  </sheetViews>
  <sheetFormatPr defaultColWidth="8.42578125" defaultRowHeight="12.75" customHeight="1"/>
  <cols>
    <col min="1" max="1" width="15.7109375" style="36" customWidth="1"/>
    <col min="2" max="2" width="2.140625" customWidth="1"/>
    <col min="3" max="3" width="10.85546875" style="36" customWidth="1"/>
    <col min="4" max="4" width="2.140625" style="2" customWidth="1"/>
    <col min="5" max="5" width="12.28515625" style="36" customWidth="1"/>
    <col min="6" max="6" width="2.140625" style="36" customWidth="1"/>
    <col min="7" max="7" width="12.42578125" style="36" customWidth="1"/>
    <col min="8" max="8" width="2.140625" style="36" customWidth="1"/>
    <col min="9" max="9" width="12.28515625" style="36" customWidth="1"/>
    <col min="10" max="10" width="2" style="36" customWidth="1"/>
    <col min="11" max="11" width="12.42578125" style="36" customWidth="1"/>
    <col min="12" max="12" width="1" style="36" customWidth="1"/>
    <col min="13" max="13" width="11.7109375" style="36" customWidth="1"/>
    <col min="14" max="14" width="1.7109375" style="36" customWidth="1"/>
    <col min="15" max="15" width="11.7109375" style="36" customWidth="1"/>
    <col min="16" max="16" width="1.7109375" style="36" customWidth="1"/>
    <col min="17" max="17" width="11.7109375" style="36" customWidth="1"/>
    <col min="18" max="18" width="1.7109375" style="36" customWidth="1"/>
    <col min="19" max="19" width="11.7109375" style="36" customWidth="1"/>
    <col min="20" max="20" width="1.7109375" style="36" customWidth="1"/>
    <col min="21" max="21" width="11.7109375" style="36" customWidth="1"/>
    <col min="22" max="22" width="1.7109375" style="36" customWidth="1"/>
    <col min="23" max="24" width="11.7109375" style="36" customWidth="1"/>
    <col min="25" max="25" width="14.140625" style="36" customWidth="1"/>
    <col min="26" max="26" width="1.7109375" style="36" customWidth="1"/>
    <col min="27" max="27" width="10.85546875" style="36" customWidth="1"/>
    <col min="28" max="28" width="1.7109375" style="36" customWidth="1"/>
    <col min="29" max="29" width="10.85546875" style="36" customWidth="1"/>
    <col min="30" max="30" width="1.7109375" style="36" customWidth="1"/>
    <col min="31" max="31" width="10.85546875" style="36" customWidth="1"/>
    <col min="32" max="32" width="1.7109375" style="36" customWidth="1"/>
    <col min="33" max="33" width="10.85546875" style="36" customWidth="1"/>
    <col min="34" max="34" width="1.7109375" style="36" customWidth="1"/>
    <col min="35" max="35" width="10.85546875" style="36" customWidth="1"/>
    <col min="36" max="36" width="1.7109375" style="36" customWidth="1"/>
    <col min="37" max="37" width="11.7109375" style="36" customWidth="1"/>
    <col min="38" max="38" width="1.7109375" style="36" customWidth="1"/>
    <col min="39" max="39" width="10.85546875" style="36" customWidth="1"/>
    <col min="40" max="40" width="1.7109375" style="36" customWidth="1"/>
    <col min="41" max="41" width="10.85546875" style="36" customWidth="1"/>
    <col min="42" max="42" width="1.7109375" style="36" customWidth="1"/>
    <col min="43" max="43" width="10.85546875" style="36" customWidth="1"/>
    <col min="44" max="44" width="1.7109375" style="36" customWidth="1"/>
    <col min="45" max="45" width="10.85546875" style="36" customWidth="1"/>
    <col min="46" max="46" width="1.7109375" style="36" customWidth="1"/>
    <col min="47" max="47" width="10.85546875" style="36" hidden="1" customWidth="1"/>
    <col min="48" max="48" width="1.7109375" style="36" hidden="1" customWidth="1"/>
    <col min="49" max="49" width="10.85546875" style="36" hidden="1" customWidth="1"/>
    <col min="50" max="50" width="1.7109375" style="36" hidden="1" customWidth="1"/>
    <col min="51" max="52" width="11.85546875" style="36" customWidth="1"/>
    <col min="53" max="53" width="13" style="36" customWidth="1"/>
    <col min="54" max="54" width="1.7109375" style="36" customWidth="1"/>
    <col min="55" max="55" width="10.7109375" style="36" customWidth="1"/>
    <col min="56" max="56" width="1.7109375" style="36" customWidth="1"/>
    <col min="57" max="57" width="10.7109375" style="10" customWidth="1"/>
    <col min="58" max="58" width="1.7109375" style="36" customWidth="1"/>
    <col min="59" max="59" width="10.7109375" style="36" customWidth="1"/>
    <col min="60" max="60" width="1.7109375" style="36" customWidth="1"/>
    <col min="61" max="61" width="10.7109375" style="36" customWidth="1"/>
    <col min="62" max="62" width="1.7109375" style="36" customWidth="1"/>
    <col min="63" max="63" width="10.7109375" style="36" customWidth="1"/>
    <col min="64" max="64" width="1.7109375" style="36" customWidth="1"/>
    <col min="65" max="65" width="10.7109375" style="36" customWidth="1"/>
    <col min="66" max="66" width="1.7109375" style="36" hidden="1" customWidth="1"/>
    <col min="67" max="67" width="10.7109375" style="36" hidden="1" customWidth="1"/>
    <col min="68" max="68" width="11.7109375" style="21" hidden="1" customWidth="1"/>
    <col min="69" max="69" width="10.7109375" style="21" hidden="1" customWidth="1"/>
    <col min="70" max="70" width="1.7109375" style="21" customWidth="1"/>
    <col min="71" max="71" width="10.7109375" style="21" customWidth="1"/>
    <col min="72" max="72" width="11.7109375" style="21" customWidth="1"/>
    <col min="73" max="73" width="1.7109375" style="21" customWidth="1"/>
    <col min="74" max="74" width="11.7109375" style="21" customWidth="1"/>
    <col min="75" max="75" width="1.7109375" style="21" customWidth="1"/>
    <col min="76" max="76" width="11.7109375" style="36" customWidth="1"/>
    <col min="77" max="77" width="1.7109375" style="36" customWidth="1"/>
    <col min="78" max="78" width="11.7109375" style="36" customWidth="1"/>
    <col min="79" max="79" width="1.7109375" style="36" customWidth="1"/>
    <col min="80" max="80" width="11.7109375" style="36" customWidth="1"/>
    <col min="81" max="81" width="1.7109375" style="36" customWidth="1"/>
    <col min="82" max="82" width="11.7109375" style="36" customWidth="1"/>
    <col min="83" max="83" width="1.7109375" style="36" customWidth="1"/>
    <col min="84" max="84" width="15.42578125" style="36" customWidth="1"/>
    <col min="85" max="85" width="1.7109375" style="10" customWidth="1"/>
    <col min="86" max="86" width="10.140625" style="36" customWidth="1"/>
    <col min="87" max="87" width="1.7109375" style="36" customWidth="1"/>
    <col min="88" max="88" width="11.7109375" style="36" customWidth="1"/>
    <col min="89" max="89" width="1.7109375" style="36" customWidth="1"/>
    <col min="90" max="90" width="11.7109375" style="36" customWidth="1"/>
    <col min="91" max="91" width="1.7109375" style="36" customWidth="1"/>
    <col min="92" max="92" width="11.7109375" style="36" customWidth="1"/>
    <col min="93" max="93" width="1.7109375" style="36" customWidth="1"/>
    <col min="94" max="94" width="11.7109375" style="36" customWidth="1"/>
    <col min="95" max="95" width="2.7109375" style="36" customWidth="1"/>
    <col min="96" max="96" width="11.7109375" style="36" customWidth="1"/>
    <col min="97" max="97" width="1.7109375" style="36" customWidth="1"/>
    <col min="98" max="16384" width="8.42578125" style="36"/>
  </cols>
  <sheetData>
    <row r="1" spans="1:97" s="39" customFormat="1" ht="12.75" customHeight="1">
      <c r="A1" s="29" t="s">
        <v>392</v>
      </c>
      <c r="C1" s="38"/>
      <c r="D1" s="2"/>
      <c r="E1" s="22"/>
      <c r="F1" s="22"/>
      <c r="G1" s="22"/>
      <c r="H1" s="22"/>
      <c r="I1" s="22"/>
      <c r="J1" s="22"/>
      <c r="K1" s="22"/>
      <c r="L1" s="22"/>
      <c r="N1" s="22"/>
      <c r="O1" s="29"/>
      <c r="P1" s="22"/>
      <c r="Q1" s="22"/>
      <c r="R1" s="22"/>
      <c r="S1" s="22"/>
      <c r="T1" s="22"/>
      <c r="U1" s="22"/>
      <c r="V1" s="22"/>
      <c r="W1" s="22"/>
      <c r="X1" s="22"/>
      <c r="Y1" s="29" t="s">
        <v>392</v>
      </c>
      <c r="AA1" s="38"/>
      <c r="AB1" s="38"/>
      <c r="AD1" s="5"/>
      <c r="AE1" s="29"/>
      <c r="AF1" s="5"/>
      <c r="AG1" s="5"/>
      <c r="AH1" s="5"/>
      <c r="AI1" s="5"/>
      <c r="AJ1" s="5"/>
      <c r="AK1" s="5"/>
      <c r="AL1" s="5"/>
      <c r="AM1" s="5"/>
      <c r="AN1" s="5"/>
      <c r="AP1" s="5"/>
      <c r="AQ1" s="5"/>
      <c r="AR1" s="5"/>
      <c r="AS1" s="29"/>
      <c r="AT1" s="5"/>
      <c r="AU1" s="5"/>
      <c r="AV1" s="5"/>
      <c r="AW1" s="5"/>
      <c r="AX1" s="5"/>
      <c r="AY1" s="5"/>
      <c r="AZ1" s="5"/>
      <c r="BA1" s="29" t="s">
        <v>392</v>
      </c>
      <c r="BC1" s="38"/>
      <c r="BD1" s="5"/>
      <c r="BF1" s="5"/>
      <c r="BG1" s="5"/>
      <c r="BH1" s="5"/>
      <c r="BI1" s="5"/>
      <c r="BJ1" s="5"/>
      <c r="BK1" s="29"/>
      <c r="BL1" s="5"/>
      <c r="BM1" s="22"/>
      <c r="BN1" s="22"/>
      <c r="BR1"/>
      <c r="BS1" s="5"/>
      <c r="BU1" s="5"/>
      <c r="BV1" s="5"/>
      <c r="BW1" s="5"/>
      <c r="BX1" s="29"/>
      <c r="BY1" s="5"/>
      <c r="BZ1" s="5"/>
      <c r="CA1" s="5"/>
      <c r="CB1" s="5"/>
      <c r="CC1" s="5"/>
      <c r="CD1" s="5"/>
      <c r="CE1" s="5"/>
      <c r="CF1" s="29"/>
      <c r="CH1" s="38"/>
      <c r="CI1" s="5"/>
      <c r="CK1" s="5"/>
      <c r="CL1" s="5"/>
      <c r="CM1" s="5"/>
      <c r="CN1" s="5"/>
      <c r="CO1" s="5"/>
      <c r="CP1" s="29"/>
      <c r="CQ1" s="5"/>
      <c r="CR1" s="22"/>
      <c r="CS1" s="22"/>
    </row>
    <row r="2" spans="1:97" s="39" customFormat="1" ht="12.75" customHeight="1">
      <c r="A2" s="23" t="s">
        <v>473</v>
      </c>
      <c r="C2" s="38"/>
      <c r="D2" s="2"/>
      <c r="E2" s="22"/>
      <c r="F2" s="22"/>
      <c r="G2" s="22"/>
      <c r="H2" s="22"/>
      <c r="I2" s="22"/>
      <c r="J2" s="22"/>
      <c r="K2" s="22"/>
      <c r="L2" s="22"/>
      <c r="N2" s="22"/>
      <c r="O2" s="29"/>
      <c r="P2" s="22"/>
      <c r="Q2" s="22"/>
      <c r="R2" s="22"/>
      <c r="S2" s="22"/>
      <c r="T2" s="22"/>
      <c r="U2" s="22"/>
      <c r="V2" s="22"/>
      <c r="W2" s="22"/>
      <c r="X2" s="22"/>
      <c r="Y2" s="23" t="s">
        <v>474</v>
      </c>
      <c r="AA2" s="38"/>
      <c r="AB2" s="38"/>
      <c r="AD2" s="5"/>
      <c r="AE2" s="29"/>
      <c r="AF2" s="5"/>
      <c r="AG2" s="5"/>
      <c r="AH2" s="5"/>
      <c r="AI2" s="5"/>
      <c r="AJ2" s="5"/>
      <c r="AK2" s="5"/>
      <c r="AL2" s="5"/>
      <c r="AM2" s="5"/>
      <c r="AN2" s="5"/>
      <c r="AP2" s="5"/>
      <c r="AQ2" s="5"/>
      <c r="AR2" s="5"/>
      <c r="AS2" s="29"/>
      <c r="AT2" s="5"/>
      <c r="AU2" s="5"/>
      <c r="AV2" s="5"/>
      <c r="AW2" s="5"/>
      <c r="AX2" s="5"/>
      <c r="AY2" s="5"/>
      <c r="AZ2" s="5"/>
      <c r="BA2" s="43" t="s">
        <v>348</v>
      </c>
      <c r="BC2" s="38"/>
      <c r="BD2" s="5"/>
      <c r="BF2" s="5"/>
      <c r="BG2" s="5"/>
      <c r="BH2" s="5"/>
      <c r="BI2" s="5"/>
      <c r="BJ2" s="5"/>
      <c r="BK2" s="29"/>
      <c r="BL2" s="5"/>
      <c r="BM2" s="22"/>
      <c r="BN2" s="22"/>
      <c r="BR2"/>
      <c r="BS2" s="5"/>
      <c r="BU2" s="5"/>
      <c r="BV2" s="5"/>
      <c r="BW2" s="5"/>
      <c r="BX2" s="29"/>
      <c r="BY2" s="5"/>
      <c r="BZ2" s="5"/>
      <c r="CA2" s="5"/>
      <c r="CB2" s="5"/>
      <c r="CC2" s="5"/>
      <c r="CD2" s="5"/>
      <c r="CE2" s="5"/>
      <c r="CF2" s="43"/>
      <c r="CH2" s="38"/>
      <c r="CI2" s="5"/>
      <c r="CK2" s="5"/>
      <c r="CL2" s="5"/>
      <c r="CM2" s="5"/>
      <c r="CN2" s="5"/>
      <c r="CO2" s="5"/>
      <c r="CP2" s="29"/>
      <c r="CQ2" s="5"/>
      <c r="CR2" s="22"/>
      <c r="CS2" s="22"/>
    </row>
    <row r="3" spans="1:97" s="39" customFormat="1" ht="12.75" customHeight="1">
      <c r="A3" s="29" t="s">
        <v>488</v>
      </c>
      <c r="C3" s="38"/>
      <c r="D3" s="2"/>
      <c r="E3" s="22"/>
      <c r="F3" s="22"/>
      <c r="G3" s="22"/>
      <c r="H3" s="22"/>
      <c r="I3" s="22"/>
      <c r="J3" s="22"/>
      <c r="K3" s="22"/>
      <c r="L3" s="22"/>
      <c r="N3" s="22"/>
      <c r="O3" s="29"/>
      <c r="P3" s="22"/>
      <c r="Q3" s="22"/>
      <c r="R3" s="22"/>
      <c r="S3" s="22"/>
      <c r="T3" s="22"/>
      <c r="U3" s="22"/>
      <c r="V3" s="22"/>
      <c r="W3" s="22"/>
      <c r="X3" s="22"/>
      <c r="Y3" s="29" t="s">
        <v>489</v>
      </c>
      <c r="AA3" s="38"/>
      <c r="AB3" s="38"/>
      <c r="AD3" s="5"/>
      <c r="AE3" s="29"/>
      <c r="AF3" s="5"/>
      <c r="AG3" s="5"/>
      <c r="AH3" s="5"/>
      <c r="AI3" s="5"/>
      <c r="AJ3" s="5"/>
      <c r="AK3" s="5"/>
      <c r="AL3" s="5"/>
      <c r="AM3" s="5"/>
      <c r="AN3" s="5"/>
      <c r="AP3" s="5"/>
      <c r="AQ3" s="5"/>
      <c r="AR3" s="5"/>
      <c r="AS3" s="29"/>
      <c r="AT3" s="5"/>
      <c r="AU3" s="5"/>
      <c r="AV3" s="5"/>
      <c r="AW3" s="5"/>
      <c r="AX3" s="5"/>
      <c r="AY3" s="5"/>
      <c r="AZ3" s="5"/>
      <c r="BA3" s="29" t="s">
        <v>488</v>
      </c>
      <c r="BC3" s="38"/>
      <c r="BD3" s="5"/>
      <c r="BF3" s="5"/>
      <c r="BG3" s="5"/>
      <c r="BH3" s="5"/>
      <c r="BI3" s="5"/>
      <c r="BJ3" s="5"/>
      <c r="BK3" s="29"/>
      <c r="BL3" s="5"/>
      <c r="BM3" s="22"/>
      <c r="BN3" s="22"/>
      <c r="BR3"/>
      <c r="BS3" s="5"/>
      <c r="BU3" s="5"/>
      <c r="BV3" s="5"/>
      <c r="BW3" s="5"/>
      <c r="BX3" s="29"/>
      <c r="BY3" s="5"/>
      <c r="BZ3" s="5"/>
      <c r="CA3" s="5"/>
      <c r="CB3" s="5"/>
      <c r="CC3" s="5"/>
      <c r="CD3" s="5"/>
      <c r="CE3" s="5"/>
      <c r="CF3" s="29"/>
      <c r="CH3" s="38"/>
      <c r="CI3" s="5"/>
      <c r="CK3" s="5"/>
      <c r="CL3" s="5"/>
      <c r="CM3" s="5"/>
      <c r="CN3" s="5"/>
      <c r="CO3" s="5"/>
      <c r="CP3" s="29"/>
      <c r="CQ3" s="5"/>
      <c r="CR3" s="22"/>
      <c r="CS3" s="22"/>
    </row>
    <row r="4" spans="1:97" ht="12.75" customHeight="1">
      <c r="A4" s="42" t="s">
        <v>289</v>
      </c>
      <c r="C4" s="40"/>
      <c r="E4" s="5"/>
      <c r="F4" s="5"/>
      <c r="G4" s="5"/>
      <c r="H4" s="5"/>
      <c r="I4" s="5"/>
      <c r="J4" s="5"/>
      <c r="K4" s="5"/>
      <c r="L4" s="5"/>
      <c r="N4" s="5"/>
      <c r="O4" s="42"/>
      <c r="P4" s="5"/>
      <c r="Q4" s="5"/>
      <c r="R4" s="5"/>
      <c r="S4" s="5"/>
      <c r="T4" s="5"/>
      <c r="U4" s="5"/>
      <c r="V4" s="5"/>
      <c r="W4" s="5"/>
      <c r="X4" s="5"/>
      <c r="Y4" s="42" t="s">
        <v>289</v>
      </c>
      <c r="Z4" s="10"/>
      <c r="AA4" s="40"/>
      <c r="AB4" s="40"/>
      <c r="AD4" s="5"/>
      <c r="AE4" s="42"/>
      <c r="AF4" s="5"/>
      <c r="AG4" s="5"/>
      <c r="AH4" s="5"/>
      <c r="AI4" s="5"/>
      <c r="AJ4" s="5"/>
      <c r="AK4" s="5"/>
      <c r="AL4" s="5"/>
      <c r="AM4" s="5"/>
      <c r="AN4" s="5"/>
      <c r="AP4" s="5"/>
      <c r="AQ4" s="5"/>
      <c r="AR4" s="5"/>
      <c r="AS4" s="42"/>
      <c r="AT4" s="5"/>
      <c r="AU4" s="5"/>
      <c r="AV4" s="5"/>
      <c r="AW4" s="5"/>
      <c r="AX4" s="5"/>
      <c r="AY4" s="5"/>
      <c r="AZ4" s="5"/>
      <c r="BA4" s="42" t="s">
        <v>289</v>
      </c>
      <c r="BB4" s="10"/>
      <c r="BC4" s="40"/>
      <c r="BD4" s="5"/>
      <c r="BE4" s="36"/>
      <c r="BF4" s="5"/>
      <c r="BG4" s="5"/>
      <c r="BH4" s="5"/>
      <c r="BI4" s="5"/>
      <c r="BJ4" s="5"/>
      <c r="BK4" s="42"/>
      <c r="BL4" s="5"/>
      <c r="BM4" s="5"/>
      <c r="BN4" s="5"/>
      <c r="BP4" s="36"/>
      <c r="BQ4" s="36"/>
      <c r="BR4"/>
      <c r="BS4" s="5"/>
      <c r="BT4" s="36"/>
      <c r="BU4" s="5"/>
      <c r="BV4" s="5"/>
      <c r="BW4" s="5"/>
      <c r="BX4" s="42"/>
      <c r="BY4" s="5"/>
      <c r="BZ4" s="5"/>
      <c r="CA4" s="5"/>
      <c r="CB4" s="5"/>
      <c r="CC4" s="5"/>
      <c r="CD4" s="5"/>
      <c r="CE4" s="5"/>
      <c r="CF4" s="42"/>
      <c r="CH4" s="40"/>
      <c r="CI4" s="5"/>
      <c r="CK4" s="5"/>
      <c r="CL4" s="5"/>
      <c r="CM4" s="5"/>
      <c r="CN4" s="5"/>
      <c r="CO4" s="5"/>
      <c r="CP4" s="42"/>
      <c r="CQ4" s="5"/>
      <c r="CR4" s="5"/>
      <c r="CS4" s="5"/>
    </row>
    <row r="5" spans="1:97" ht="12.75" customHeight="1">
      <c r="A5" s="170"/>
      <c r="Q5" s="174" t="s">
        <v>2</v>
      </c>
      <c r="R5" s="174"/>
      <c r="S5" s="174"/>
      <c r="T5" s="174"/>
      <c r="U5" s="174"/>
      <c r="Y5" s="170"/>
      <c r="AU5" s="41" t="s">
        <v>411</v>
      </c>
      <c r="AW5" s="41" t="s">
        <v>412</v>
      </c>
      <c r="BA5" s="170"/>
      <c r="BE5" s="34" t="s">
        <v>348</v>
      </c>
      <c r="BF5" s="34"/>
      <c r="BG5" s="34"/>
      <c r="BH5" s="34"/>
      <c r="BI5" s="34"/>
      <c r="BJ5" s="34"/>
      <c r="BK5" s="4"/>
      <c r="CG5" s="19"/>
    </row>
    <row r="6" spans="1:97" s="41" customFormat="1" ht="12.75" customHeight="1">
      <c r="D6" s="3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 t="s">
        <v>7</v>
      </c>
      <c r="W6" s="6"/>
      <c r="X6" s="6"/>
      <c r="Z6" s="12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 t="s">
        <v>349</v>
      </c>
      <c r="AV6" s="6"/>
      <c r="AW6" s="6" t="s">
        <v>349</v>
      </c>
      <c r="AX6" s="6"/>
      <c r="AY6" s="6"/>
      <c r="AZ6" s="6"/>
      <c r="BB6" s="12"/>
      <c r="BD6" s="6"/>
      <c r="BE6" s="6" t="s">
        <v>296</v>
      </c>
      <c r="BF6" s="6"/>
      <c r="BG6" s="6" t="s">
        <v>350</v>
      </c>
      <c r="BH6" s="6"/>
      <c r="BI6" s="6"/>
      <c r="BJ6" s="6"/>
      <c r="BK6" s="6" t="s">
        <v>294</v>
      </c>
      <c r="BL6" s="6"/>
      <c r="BM6" s="6" t="s">
        <v>6</v>
      </c>
      <c r="BN6" s="33"/>
      <c r="BR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G6" s="15"/>
      <c r="CI6" s="6"/>
      <c r="CJ6" s="6"/>
      <c r="CK6" s="6"/>
      <c r="CL6" s="6"/>
      <c r="CM6" s="6"/>
      <c r="CN6" s="6"/>
      <c r="CO6" s="6"/>
      <c r="CP6" s="6"/>
      <c r="CQ6" s="6"/>
      <c r="CR6" s="6"/>
      <c r="CS6" s="33"/>
    </row>
    <row r="7" spans="1:97" s="41" customFormat="1" ht="12.75" customHeight="1">
      <c r="D7" s="6"/>
      <c r="E7" s="6" t="s">
        <v>3</v>
      </c>
      <c r="F7" s="6"/>
      <c r="G7" s="6" t="s">
        <v>351</v>
      </c>
      <c r="H7" s="6"/>
      <c r="I7" s="6" t="s">
        <v>6</v>
      </c>
      <c r="J7" s="6"/>
      <c r="K7" s="6" t="s">
        <v>3</v>
      </c>
      <c r="L7" s="6"/>
      <c r="M7" s="6" t="s">
        <v>351</v>
      </c>
      <c r="N7" s="6"/>
      <c r="O7" s="6" t="s">
        <v>6</v>
      </c>
      <c r="P7" s="6"/>
      <c r="Q7" s="41" t="s">
        <v>4</v>
      </c>
      <c r="R7" s="6"/>
      <c r="S7" s="6"/>
      <c r="T7" s="6"/>
      <c r="U7" s="6"/>
      <c r="V7" s="6"/>
      <c r="W7" s="8" t="s">
        <v>6</v>
      </c>
      <c r="X7" s="8"/>
      <c r="AC7" s="6" t="s">
        <v>345</v>
      </c>
      <c r="AD7" s="6"/>
      <c r="AE7" s="6" t="s">
        <v>353</v>
      </c>
      <c r="AF7" s="6"/>
      <c r="AG7" s="6"/>
      <c r="AH7" s="6"/>
      <c r="AI7" s="6" t="s">
        <v>345</v>
      </c>
      <c r="AJ7" s="6"/>
      <c r="AK7" s="6" t="s">
        <v>354</v>
      </c>
      <c r="AL7" s="6"/>
      <c r="AM7" s="6"/>
      <c r="AN7" s="6"/>
      <c r="AO7" s="6"/>
      <c r="AP7" s="6"/>
      <c r="AQ7" s="6" t="s">
        <v>4</v>
      </c>
      <c r="AR7" s="6"/>
      <c r="AS7" s="6" t="s">
        <v>368</v>
      </c>
      <c r="AT7" s="6"/>
      <c r="AU7" s="6" t="s">
        <v>413</v>
      </c>
      <c r="AV7" s="6"/>
      <c r="AW7" s="6" t="s">
        <v>413</v>
      </c>
      <c r="AX7" s="6"/>
      <c r="AY7" s="6" t="s">
        <v>355</v>
      </c>
      <c r="AZ7" s="6"/>
      <c r="BD7" s="6"/>
      <c r="BE7" s="6" t="s">
        <v>356</v>
      </c>
      <c r="BF7" s="6"/>
      <c r="BG7" s="6" t="s">
        <v>302</v>
      </c>
      <c r="BH7" s="6"/>
      <c r="BI7" s="6"/>
      <c r="BJ7" s="6"/>
      <c r="BK7" s="6" t="s">
        <v>352</v>
      </c>
      <c r="BL7" s="6"/>
      <c r="BM7" s="6" t="s">
        <v>352</v>
      </c>
      <c r="BN7" s="33"/>
      <c r="BR7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33"/>
    </row>
    <row r="8" spans="1:97" s="89" customFormat="1" ht="12.75" customHeight="1">
      <c r="A8" s="7" t="s">
        <v>8</v>
      </c>
      <c r="C8" s="7" t="s">
        <v>9</v>
      </c>
      <c r="D8" s="8"/>
      <c r="E8" s="7" t="s">
        <v>0</v>
      </c>
      <c r="F8" s="8"/>
      <c r="G8" s="7" t="s">
        <v>0</v>
      </c>
      <c r="H8" s="8"/>
      <c r="I8" s="7" t="s">
        <v>0</v>
      </c>
      <c r="J8" s="8"/>
      <c r="K8" s="7" t="s">
        <v>1</v>
      </c>
      <c r="L8" s="8"/>
      <c r="M8" s="7" t="s">
        <v>1</v>
      </c>
      <c r="N8" s="8"/>
      <c r="O8" s="7" t="s">
        <v>1</v>
      </c>
      <c r="P8" s="8"/>
      <c r="Q8" s="7" t="s">
        <v>0</v>
      </c>
      <c r="R8" s="8"/>
      <c r="S8" s="7" t="s">
        <v>10</v>
      </c>
      <c r="T8" s="8"/>
      <c r="U8" s="7" t="s">
        <v>11</v>
      </c>
      <c r="V8" s="8"/>
      <c r="W8" s="105" t="s">
        <v>2</v>
      </c>
      <c r="Y8" s="7" t="s">
        <v>8</v>
      </c>
      <c r="AA8" s="7" t="s">
        <v>9</v>
      </c>
      <c r="AB8" s="8"/>
      <c r="AC8" s="78" t="s">
        <v>302</v>
      </c>
      <c r="AD8" s="8"/>
      <c r="AE8" s="78" t="s">
        <v>357</v>
      </c>
      <c r="AF8" s="8"/>
      <c r="AG8" s="78" t="s">
        <v>357</v>
      </c>
      <c r="AH8" s="8"/>
      <c r="AI8" s="78" t="s">
        <v>358</v>
      </c>
      <c r="AJ8" s="8"/>
      <c r="AK8" s="78" t="s">
        <v>414</v>
      </c>
      <c r="AL8" s="8"/>
      <c r="AM8" s="78" t="s">
        <v>359</v>
      </c>
      <c r="AN8" s="8"/>
      <c r="AO8" s="78" t="s">
        <v>360</v>
      </c>
      <c r="AP8" s="8"/>
      <c r="AQ8" s="78" t="s">
        <v>361</v>
      </c>
      <c r="AR8" s="8"/>
      <c r="AS8" s="78" t="s">
        <v>2</v>
      </c>
      <c r="AT8" s="8"/>
      <c r="AU8" s="7" t="s">
        <v>415</v>
      </c>
      <c r="AV8" s="8"/>
      <c r="AW8" s="7" t="s">
        <v>415</v>
      </c>
      <c r="AX8" s="8"/>
      <c r="AY8" s="78" t="s">
        <v>4</v>
      </c>
      <c r="AZ8" s="8"/>
      <c r="BA8" s="7" t="s">
        <v>8</v>
      </c>
      <c r="BC8" s="7" t="s">
        <v>9</v>
      </c>
      <c r="BD8" s="8"/>
      <c r="BE8" s="78" t="s">
        <v>362</v>
      </c>
      <c r="BF8" s="8"/>
      <c r="BG8" s="78" t="s">
        <v>362</v>
      </c>
      <c r="BH8" s="8"/>
      <c r="BI8" s="78" t="s">
        <v>363</v>
      </c>
      <c r="BJ8" s="8"/>
      <c r="BK8" s="78" t="s">
        <v>364</v>
      </c>
      <c r="BL8" s="8"/>
      <c r="BM8" s="7" t="s">
        <v>364</v>
      </c>
      <c r="BN8" s="54"/>
      <c r="BR8" s="51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54"/>
    </row>
    <row r="9" spans="1:97" s="89" customFormat="1" ht="12.75" customHeight="1">
      <c r="A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Y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54"/>
      <c r="BR9" s="51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54"/>
    </row>
    <row r="10" spans="1:97" s="90" customFormat="1" ht="12.75" hidden="1" customHeight="1">
      <c r="A10" s="35" t="s">
        <v>12</v>
      </c>
      <c r="B10" s="51"/>
      <c r="C10" s="35" t="s">
        <v>13</v>
      </c>
      <c r="D10" s="44"/>
      <c r="E10" s="79">
        <f t="shared" ref="E10:E71" si="0">I10-G10</f>
        <v>17654371</v>
      </c>
      <c r="F10" s="79"/>
      <c r="G10" s="79">
        <v>243890051</v>
      </c>
      <c r="H10" s="79"/>
      <c r="I10" s="79">
        <v>261544422</v>
      </c>
      <c r="J10" s="79"/>
      <c r="K10" s="79">
        <f t="shared" ref="K10:K71" si="1">O10-M10</f>
        <v>12686267</v>
      </c>
      <c r="L10" s="79"/>
      <c r="M10" s="79">
        <v>70231017</v>
      </c>
      <c r="N10" s="79"/>
      <c r="O10" s="79">
        <v>82917284</v>
      </c>
      <c r="P10" s="79"/>
      <c r="Q10" s="79">
        <v>168314267</v>
      </c>
      <c r="R10" s="79"/>
      <c r="S10" s="79">
        <v>4467540</v>
      </c>
      <c r="T10" s="79"/>
      <c r="U10" s="79">
        <v>5845331</v>
      </c>
      <c r="V10" s="79"/>
      <c r="W10" s="79">
        <f t="shared" ref="W10:W42" si="2">SUM(Q10:U10)</f>
        <v>178627138</v>
      </c>
      <c r="X10" s="53"/>
      <c r="Y10" s="35" t="s">
        <v>12</v>
      </c>
      <c r="Z10" s="55"/>
      <c r="AA10" s="35" t="s">
        <v>13</v>
      </c>
      <c r="AB10" s="35"/>
      <c r="AC10" s="79"/>
      <c r="AD10" s="79"/>
      <c r="AE10" s="79"/>
      <c r="AF10" s="79"/>
      <c r="AG10" s="79"/>
      <c r="AH10" s="79"/>
      <c r="AI10" s="94">
        <f t="shared" ref="AI10:AI71" si="3">+AC10-AE10-AG10</f>
        <v>0</v>
      </c>
      <c r="AJ10" s="94"/>
      <c r="AK10" s="94"/>
      <c r="AL10" s="94"/>
      <c r="AM10" s="79"/>
      <c r="AN10" s="79"/>
      <c r="AO10" s="79"/>
      <c r="AP10" s="79"/>
      <c r="AQ10" s="79"/>
      <c r="AR10" s="79"/>
      <c r="AS10" s="94">
        <f t="shared" ref="AS10:AS71" si="4">+AI10+AK10+AM10-AO10+AQ10</f>
        <v>0</v>
      </c>
      <c r="AT10" s="94"/>
      <c r="AU10" s="79">
        <v>0</v>
      </c>
      <c r="AV10" s="79"/>
      <c r="AW10" s="79">
        <v>0</v>
      </c>
      <c r="AX10" s="79"/>
      <c r="AY10" s="79">
        <f t="shared" ref="AY10:AY71" si="5">+E10-K10</f>
        <v>4968104</v>
      </c>
      <c r="AZ10" s="53"/>
      <c r="BA10" s="35" t="s">
        <v>12</v>
      </c>
      <c r="BB10" s="55"/>
      <c r="BC10" s="35" t="s">
        <v>13</v>
      </c>
      <c r="BD10" s="53"/>
      <c r="BE10" s="79">
        <v>66604558</v>
      </c>
      <c r="BF10" s="79"/>
      <c r="BG10" s="79">
        <v>0</v>
      </c>
      <c r="BH10" s="79"/>
      <c r="BI10" s="79">
        <v>0</v>
      </c>
      <c r="BJ10" s="79"/>
      <c r="BK10" s="79">
        <v>3626459</v>
      </c>
      <c r="BL10" s="79"/>
      <c r="BM10" s="79">
        <f t="shared" ref="BM10:BM71" si="6">SUM(BE10:BK10)</f>
        <v>70231017</v>
      </c>
      <c r="BN10" s="91" t="s">
        <v>347</v>
      </c>
      <c r="BR10" s="66"/>
      <c r="BS10" s="79"/>
      <c r="BT10" s="79"/>
      <c r="BU10" s="79"/>
      <c r="BV10" s="79"/>
      <c r="BW10" s="79"/>
      <c r="BX10" s="94"/>
      <c r="BY10" s="94"/>
      <c r="BZ10" s="79"/>
      <c r="CA10" s="79"/>
      <c r="CB10" s="79"/>
      <c r="CC10" s="79"/>
      <c r="CD10" s="79"/>
      <c r="CE10" s="79"/>
      <c r="CF10" s="64"/>
      <c r="CH10" s="64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91"/>
    </row>
    <row r="11" spans="1:97" s="90" customFormat="1" ht="12.75" customHeight="1">
      <c r="A11" s="64" t="s">
        <v>14</v>
      </c>
      <c r="B11" s="66"/>
      <c r="C11" s="64" t="s">
        <v>15</v>
      </c>
      <c r="D11" s="46"/>
      <c r="E11" s="79">
        <f t="shared" si="0"/>
        <v>4637059</v>
      </c>
      <c r="F11" s="79"/>
      <c r="G11" s="79">
        <v>8446762</v>
      </c>
      <c r="H11" s="79"/>
      <c r="I11" s="79">
        <v>13083821</v>
      </c>
      <c r="J11" s="79"/>
      <c r="K11" s="79">
        <f t="shared" si="1"/>
        <v>859521</v>
      </c>
      <c r="L11" s="79"/>
      <c r="M11" s="79">
        <v>2825927</v>
      </c>
      <c r="N11" s="79"/>
      <c r="O11" s="79">
        <v>3685448</v>
      </c>
      <c r="P11" s="79"/>
      <c r="Q11" s="79">
        <v>5558891</v>
      </c>
      <c r="R11" s="79"/>
      <c r="S11" s="79">
        <v>41</v>
      </c>
      <c r="T11" s="79"/>
      <c r="U11" s="79">
        <v>3839441</v>
      </c>
      <c r="V11" s="79"/>
      <c r="W11" s="79">
        <f t="shared" si="2"/>
        <v>9398373</v>
      </c>
      <c r="X11" s="79"/>
      <c r="Y11" s="64" t="s">
        <v>14</v>
      </c>
      <c r="AA11" s="64" t="s">
        <v>15</v>
      </c>
      <c r="AB11" s="64"/>
      <c r="AC11" s="79">
        <v>4016634</v>
      </c>
      <c r="AD11" s="79"/>
      <c r="AE11" s="79">
        <f>3481427-515829</f>
        <v>2965598</v>
      </c>
      <c r="AF11" s="79"/>
      <c r="AG11" s="79">
        <v>515829</v>
      </c>
      <c r="AH11" s="79"/>
      <c r="AI11" s="94">
        <f t="shared" si="3"/>
        <v>535207</v>
      </c>
      <c r="AJ11" s="94"/>
      <c r="AK11" s="79">
        <v>142753</v>
      </c>
      <c r="AL11" s="94"/>
      <c r="AM11" s="79">
        <v>0</v>
      </c>
      <c r="AN11" s="79"/>
      <c r="AO11" s="79">
        <v>0</v>
      </c>
      <c r="AP11" s="79"/>
      <c r="AQ11" s="79">
        <v>0</v>
      </c>
      <c r="AR11" s="79"/>
      <c r="AS11" s="94">
        <f t="shared" si="4"/>
        <v>677960</v>
      </c>
      <c r="AT11" s="94"/>
      <c r="AU11" s="79">
        <v>0</v>
      </c>
      <c r="AV11" s="79"/>
      <c r="AW11" s="79">
        <v>0</v>
      </c>
      <c r="AX11" s="79"/>
      <c r="AY11" s="79">
        <f t="shared" si="5"/>
        <v>3777538</v>
      </c>
      <c r="AZ11" s="79"/>
      <c r="BA11" s="64" t="s">
        <v>14</v>
      </c>
      <c r="BC11" s="64" t="s">
        <v>15</v>
      </c>
      <c r="BD11" s="79"/>
      <c r="BE11" s="79">
        <v>2173540</v>
      </c>
      <c r="BF11" s="79"/>
      <c r="BG11" s="79">
        <v>0</v>
      </c>
      <c r="BH11" s="79"/>
      <c r="BI11" s="79">
        <v>354826</v>
      </c>
      <c r="BJ11" s="79"/>
      <c r="BK11" s="79">
        <v>297561</v>
      </c>
      <c r="BL11" s="79"/>
      <c r="BM11" s="79">
        <f t="shared" si="6"/>
        <v>2825927</v>
      </c>
      <c r="BN11" s="91" t="s">
        <v>347</v>
      </c>
      <c r="BR11" s="66"/>
      <c r="BS11" s="79"/>
      <c r="BT11" s="79"/>
      <c r="BU11" s="79"/>
      <c r="BV11" s="79"/>
      <c r="BW11" s="79"/>
      <c r="BX11" s="94"/>
      <c r="BY11" s="94"/>
      <c r="BZ11" s="79"/>
      <c r="CA11" s="79"/>
      <c r="CB11" s="79"/>
      <c r="CC11" s="79"/>
      <c r="CD11" s="79"/>
      <c r="CE11" s="79"/>
      <c r="CF11" s="64"/>
      <c r="CH11" s="64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91"/>
    </row>
    <row r="12" spans="1:97" s="55" customFormat="1" ht="12.75" customHeight="1">
      <c r="A12" s="35" t="s">
        <v>16</v>
      </c>
      <c r="B12" s="51"/>
      <c r="C12" s="35" t="s">
        <v>17</v>
      </c>
      <c r="D12" s="44"/>
      <c r="E12" s="53">
        <v>4205900</v>
      </c>
      <c r="F12" s="53"/>
      <c r="G12" s="53">
        <v>15811295</v>
      </c>
      <c r="H12" s="53"/>
      <c r="I12" s="53">
        <v>20017195</v>
      </c>
      <c r="J12" s="53"/>
      <c r="K12" s="53">
        <f t="shared" si="1"/>
        <v>541478</v>
      </c>
      <c r="L12" s="53"/>
      <c r="M12" s="53">
        <v>8554143</v>
      </c>
      <c r="N12" s="53"/>
      <c r="O12" s="53">
        <v>9095621</v>
      </c>
      <c r="P12" s="53"/>
      <c r="Q12" s="53">
        <v>6891146</v>
      </c>
      <c r="R12" s="53"/>
      <c r="S12" s="53">
        <v>0</v>
      </c>
      <c r="T12" s="53"/>
      <c r="U12" s="53">
        <v>4030428</v>
      </c>
      <c r="V12" s="53"/>
      <c r="W12" s="53">
        <f t="shared" si="2"/>
        <v>10921574</v>
      </c>
      <c r="X12" s="53"/>
      <c r="Y12" s="35" t="s">
        <v>16</v>
      </c>
      <c r="AA12" s="35" t="s">
        <v>17</v>
      </c>
      <c r="AB12" s="35"/>
      <c r="AC12" s="53">
        <v>2475990</v>
      </c>
      <c r="AD12" s="53"/>
      <c r="AE12" s="53">
        <f>1707569-640824</f>
        <v>1066745</v>
      </c>
      <c r="AF12" s="53"/>
      <c r="AG12" s="53">
        <v>640824</v>
      </c>
      <c r="AH12" s="53"/>
      <c r="AI12" s="45">
        <f t="shared" si="3"/>
        <v>768421</v>
      </c>
      <c r="AJ12" s="45"/>
      <c r="AK12" s="53">
        <v>-339878</v>
      </c>
      <c r="AL12" s="45"/>
      <c r="AM12" s="53">
        <v>0</v>
      </c>
      <c r="AN12" s="53"/>
      <c r="AO12" s="53">
        <v>0</v>
      </c>
      <c r="AP12" s="53"/>
      <c r="AQ12" s="53">
        <v>0</v>
      </c>
      <c r="AR12" s="53"/>
      <c r="AS12" s="45">
        <f t="shared" si="4"/>
        <v>428543</v>
      </c>
      <c r="AT12" s="45"/>
      <c r="AU12" s="53">
        <v>0</v>
      </c>
      <c r="AV12" s="53"/>
      <c r="AW12" s="53">
        <v>0</v>
      </c>
      <c r="AX12" s="53"/>
      <c r="AY12" s="53">
        <f t="shared" si="5"/>
        <v>3664422</v>
      </c>
      <c r="AZ12" s="53"/>
      <c r="BA12" s="35" t="s">
        <v>16</v>
      </c>
      <c r="BC12" s="35" t="s">
        <v>17</v>
      </c>
      <c r="BD12" s="53"/>
      <c r="BE12" s="53">
        <v>1096897</v>
      </c>
      <c r="BF12" s="53"/>
      <c r="BG12" s="53">
        <v>0</v>
      </c>
      <c r="BH12" s="53"/>
      <c r="BI12" s="53">
        <f>7349390+97192</f>
        <v>7446582</v>
      </c>
      <c r="BJ12" s="53"/>
      <c r="BK12" s="53">
        <v>10664</v>
      </c>
      <c r="BL12" s="53"/>
      <c r="BM12" s="53">
        <f t="shared" si="6"/>
        <v>8554143</v>
      </c>
      <c r="BN12" s="54" t="s">
        <v>347</v>
      </c>
      <c r="BR12" s="51"/>
      <c r="BS12" s="53"/>
      <c r="BT12" s="53"/>
      <c r="BU12" s="53"/>
      <c r="BV12" s="53"/>
      <c r="BW12" s="53"/>
      <c r="BX12" s="45"/>
      <c r="BY12" s="45"/>
      <c r="BZ12" s="53"/>
      <c r="CA12" s="53"/>
      <c r="CB12" s="53"/>
      <c r="CC12" s="53"/>
      <c r="CD12" s="53"/>
      <c r="CE12" s="53"/>
      <c r="CF12" s="35"/>
      <c r="CH12" s="35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4"/>
    </row>
    <row r="13" spans="1:97" s="55" customFormat="1" ht="12.75" customHeight="1">
      <c r="A13" s="35" t="s">
        <v>18</v>
      </c>
      <c r="B13" s="51"/>
      <c r="C13" s="35" t="s">
        <v>18</v>
      </c>
      <c r="D13" s="44"/>
      <c r="E13" s="53">
        <f t="shared" si="0"/>
        <v>1739145</v>
      </c>
      <c r="F13" s="53"/>
      <c r="G13" s="53">
        <v>21561369</v>
      </c>
      <c r="H13" s="53"/>
      <c r="I13" s="53">
        <v>23300514</v>
      </c>
      <c r="J13" s="53"/>
      <c r="K13" s="53">
        <f t="shared" si="1"/>
        <v>6303442</v>
      </c>
      <c r="L13" s="53"/>
      <c r="M13" s="53">
        <v>3651779</v>
      </c>
      <c r="N13" s="53"/>
      <c r="O13" s="53">
        <v>9955221</v>
      </c>
      <c r="P13" s="53"/>
      <c r="Q13" s="53">
        <v>12008463</v>
      </c>
      <c r="R13" s="53"/>
      <c r="S13" s="53">
        <v>0</v>
      </c>
      <c r="T13" s="53"/>
      <c r="U13" s="53">
        <v>1336830</v>
      </c>
      <c r="V13" s="53"/>
      <c r="W13" s="53">
        <f t="shared" si="2"/>
        <v>13345293</v>
      </c>
      <c r="X13" s="53"/>
      <c r="Y13" s="35" t="s">
        <v>18</v>
      </c>
      <c r="AA13" s="35" t="s">
        <v>18</v>
      </c>
      <c r="AB13" s="35"/>
      <c r="AC13" s="53">
        <v>3077761</v>
      </c>
      <c r="AD13" s="53"/>
      <c r="AE13" s="53">
        <f>2781127-545870</f>
        <v>2235257</v>
      </c>
      <c r="AF13" s="53"/>
      <c r="AG13" s="53">
        <v>545870</v>
      </c>
      <c r="AH13" s="53"/>
      <c r="AI13" s="45">
        <f t="shared" si="3"/>
        <v>296634</v>
      </c>
      <c r="AJ13" s="45"/>
      <c r="AK13" s="53">
        <v>-41234</v>
      </c>
      <c r="AL13" s="45"/>
      <c r="AM13" s="53">
        <v>0</v>
      </c>
      <c r="AN13" s="53"/>
      <c r="AO13" s="53">
        <v>0</v>
      </c>
      <c r="AP13" s="53"/>
      <c r="AQ13" s="53">
        <v>0</v>
      </c>
      <c r="AR13" s="53"/>
      <c r="AS13" s="45">
        <f t="shared" si="4"/>
        <v>255400</v>
      </c>
      <c r="AT13" s="45"/>
      <c r="AU13" s="53">
        <v>0</v>
      </c>
      <c r="AV13" s="53"/>
      <c r="AW13" s="53">
        <v>0</v>
      </c>
      <c r="AX13" s="53"/>
      <c r="AY13" s="53">
        <f t="shared" si="5"/>
        <v>-4564297</v>
      </c>
      <c r="AZ13" s="53"/>
      <c r="BA13" s="35" t="s">
        <v>18</v>
      </c>
      <c r="BC13" s="35" t="s">
        <v>18</v>
      </c>
      <c r="BD13" s="53"/>
      <c r="BE13" s="53">
        <v>2804000</v>
      </c>
      <c r="BF13" s="53"/>
      <c r="BG13" s="53">
        <v>0</v>
      </c>
      <c r="BH13" s="53"/>
      <c r="BI13" s="53">
        <v>775548</v>
      </c>
      <c r="BJ13" s="53"/>
      <c r="BK13" s="53">
        <v>72231</v>
      </c>
      <c r="BL13" s="53"/>
      <c r="BM13" s="53">
        <f t="shared" si="6"/>
        <v>3651779</v>
      </c>
      <c r="BN13" s="54" t="s">
        <v>347</v>
      </c>
      <c r="BR13" s="51"/>
      <c r="BS13" s="53"/>
      <c r="BT13" s="53"/>
      <c r="BU13" s="53"/>
      <c r="BV13" s="53"/>
      <c r="BW13" s="53"/>
      <c r="BX13" s="45"/>
      <c r="BY13" s="45"/>
      <c r="BZ13" s="53"/>
      <c r="CA13" s="53"/>
      <c r="CB13" s="53"/>
      <c r="CC13" s="53"/>
      <c r="CD13" s="53"/>
      <c r="CE13" s="53"/>
      <c r="CF13" s="35"/>
      <c r="CH13" s="35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4"/>
    </row>
    <row r="14" spans="1:97" s="55" customFormat="1" ht="12.75" customHeight="1">
      <c r="A14" s="35" t="s">
        <v>19</v>
      </c>
      <c r="B14" s="51"/>
      <c r="C14" s="35" t="s">
        <v>19</v>
      </c>
      <c r="D14" s="44"/>
      <c r="E14" s="53">
        <f t="shared" si="0"/>
        <v>4252340</v>
      </c>
      <c r="F14" s="53"/>
      <c r="G14" s="53">
        <v>12222332</v>
      </c>
      <c r="H14" s="53"/>
      <c r="I14" s="53">
        <v>16474672</v>
      </c>
      <c r="J14" s="53"/>
      <c r="K14" s="53">
        <f t="shared" si="1"/>
        <v>747509</v>
      </c>
      <c r="L14" s="53"/>
      <c r="M14" s="53">
        <v>3303603</v>
      </c>
      <c r="N14" s="53"/>
      <c r="O14" s="53">
        <v>4051112</v>
      </c>
      <c r="P14" s="53"/>
      <c r="Q14" s="53">
        <v>8792357</v>
      </c>
      <c r="R14" s="53"/>
      <c r="S14" s="53">
        <v>0</v>
      </c>
      <c r="T14" s="53"/>
      <c r="U14" s="53">
        <v>3632203</v>
      </c>
      <c r="V14" s="53"/>
      <c r="W14" s="53">
        <f t="shared" si="2"/>
        <v>12424560</v>
      </c>
      <c r="X14" s="53"/>
      <c r="Y14" s="35" t="s">
        <v>19</v>
      </c>
      <c r="AA14" s="35" t="s">
        <v>19</v>
      </c>
      <c r="AB14" s="35"/>
      <c r="AC14" s="53">
        <v>3855186</v>
      </c>
      <c r="AD14" s="53"/>
      <c r="AE14" s="53">
        <f>3045817-518760</f>
        <v>2527057</v>
      </c>
      <c r="AF14" s="53"/>
      <c r="AG14" s="53">
        <v>518760</v>
      </c>
      <c r="AH14" s="53"/>
      <c r="AI14" s="45">
        <f t="shared" si="3"/>
        <v>809369</v>
      </c>
      <c r="AJ14" s="45"/>
      <c r="AK14" s="53">
        <v>-114914</v>
      </c>
      <c r="AL14" s="45"/>
      <c r="AM14" s="53">
        <v>0</v>
      </c>
      <c r="AN14" s="53"/>
      <c r="AO14" s="53">
        <v>50000</v>
      </c>
      <c r="AP14" s="53"/>
      <c r="AQ14" s="53">
        <v>470322</v>
      </c>
      <c r="AR14" s="53"/>
      <c r="AS14" s="45">
        <f t="shared" si="4"/>
        <v>1114777</v>
      </c>
      <c r="AT14" s="45"/>
      <c r="AU14" s="53">
        <v>0</v>
      </c>
      <c r="AV14" s="53"/>
      <c r="AW14" s="53">
        <v>0</v>
      </c>
      <c r="AX14" s="53"/>
      <c r="AY14" s="53">
        <f t="shared" si="5"/>
        <v>3504831</v>
      </c>
      <c r="AZ14" s="53"/>
      <c r="BA14" s="35" t="s">
        <v>19</v>
      </c>
      <c r="BC14" s="35" t="s">
        <v>19</v>
      </c>
      <c r="BD14" s="53"/>
      <c r="BE14" s="53">
        <v>0</v>
      </c>
      <c r="BF14" s="53"/>
      <c r="BG14" s="53">
        <v>0</v>
      </c>
      <c r="BH14" s="53"/>
      <c r="BI14" s="53">
        <v>3102772</v>
      </c>
      <c r="BJ14" s="53"/>
      <c r="BK14" s="53">
        <v>200831</v>
      </c>
      <c r="BL14" s="53"/>
      <c r="BM14" s="53">
        <f t="shared" si="6"/>
        <v>3303603</v>
      </c>
      <c r="BN14" s="54" t="s">
        <v>347</v>
      </c>
      <c r="BR14" s="51"/>
      <c r="BS14" s="53"/>
      <c r="BT14" s="53"/>
      <c r="BU14" s="53"/>
      <c r="BV14" s="53"/>
      <c r="BW14" s="53"/>
      <c r="BX14" s="45"/>
      <c r="BY14" s="45"/>
      <c r="BZ14" s="53"/>
      <c r="CA14" s="53"/>
      <c r="CB14" s="53"/>
      <c r="CC14" s="53"/>
      <c r="CD14" s="53"/>
      <c r="CE14" s="53"/>
      <c r="CF14" s="35"/>
      <c r="CH14" s="35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4"/>
    </row>
    <row r="15" spans="1:97" s="55" customFormat="1" ht="12.75" customHeight="1">
      <c r="A15" s="35" t="s">
        <v>20</v>
      </c>
      <c r="B15" s="51"/>
      <c r="C15" s="35" t="s">
        <v>20</v>
      </c>
      <c r="D15" s="44"/>
      <c r="E15" s="53">
        <f t="shared" si="0"/>
        <v>727280</v>
      </c>
      <c r="F15" s="53"/>
      <c r="G15" s="53">
        <f>102510+10592378</f>
        <v>10694888</v>
      </c>
      <c r="H15" s="53"/>
      <c r="I15" s="53">
        <v>11422168</v>
      </c>
      <c r="J15" s="53"/>
      <c r="K15" s="53">
        <f t="shared" si="1"/>
        <v>1621280</v>
      </c>
      <c r="L15" s="53"/>
      <c r="M15" s="53">
        <f>37010+3945215</f>
        <v>3982225</v>
      </c>
      <c r="N15" s="53"/>
      <c r="O15" s="53">
        <v>5603505</v>
      </c>
      <c r="P15" s="53"/>
      <c r="Q15" s="53">
        <v>5501927</v>
      </c>
      <c r="R15" s="53"/>
      <c r="S15" s="53">
        <v>0</v>
      </c>
      <c r="T15" s="53"/>
      <c r="U15" s="53">
        <v>316736</v>
      </c>
      <c r="V15" s="53"/>
      <c r="W15" s="53">
        <f t="shared" si="2"/>
        <v>5818663</v>
      </c>
      <c r="X15" s="53"/>
      <c r="Y15" s="35" t="s">
        <v>20</v>
      </c>
      <c r="AA15" s="35" t="s">
        <v>20</v>
      </c>
      <c r="AB15" s="35"/>
      <c r="AC15" s="53">
        <v>2852598</v>
      </c>
      <c r="AD15" s="53"/>
      <c r="AE15" s="53">
        <f>2687690-376647</f>
        <v>2311043</v>
      </c>
      <c r="AF15" s="53"/>
      <c r="AG15" s="53">
        <v>376647</v>
      </c>
      <c r="AH15" s="53"/>
      <c r="AI15" s="45">
        <f t="shared" si="3"/>
        <v>164908</v>
      </c>
      <c r="AJ15" s="45"/>
      <c r="AK15" s="53">
        <v>-198099</v>
      </c>
      <c r="AL15" s="45"/>
      <c r="AM15" s="53">
        <v>584713</v>
      </c>
      <c r="AN15" s="53"/>
      <c r="AO15" s="53">
        <v>0</v>
      </c>
      <c r="AP15" s="53"/>
      <c r="AQ15" s="53">
        <v>0</v>
      </c>
      <c r="AR15" s="53"/>
      <c r="AS15" s="45">
        <f t="shared" si="4"/>
        <v>551522</v>
      </c>
      <c r="AT15" s="45"/>
      <c r="AU15" s="53">
        <v>0</v>
      </c>
      <c r="AV15" s="53"/>
      <c r="AW15" s="53">
        <v>0</v>
      </c>
      <c r="AX15" s="53"/>
      <c r="AY15" s="53">
        <f t="shared" si="5"/>
        <v>-894000</v>
      </c>
      <c r="AZ15" s="53"/>
      <c r="BA15" s="35" t="s">
        <v>20</v>
      </c>
      <c r="BC15" s="35" t="s">
        <v>20</v>
      </c>
      <c r="BD15" s="53"/>
      <c r="BE15" s="53">
        <v>0</v>
      </c>
      <c r="BF15" s="53"/>
      <c r="BG15" s="53">
        <v>0</v>
      </c>
      <c r="BH15" s="53"/>
      <c r="BI15" s="53">
        <v>3945215</v>
      </c>
      <c r="BJ15" s="53"/>
      <c r="BK15" s="53">
        <v>37010</v>
      </c>
      <c r="BL15" s="53"/>
      <c r="BM15" s="53">
        <f t="shared" si="6"/>
        <v>3982225</v>
      </c>
      <c r="BN15" s="54" t="s">
        <v>347</v>
      </c>
      <c r="BO15" s="55" t="s">
        <v>403</v>
      </c>
      <c r="BR15" s="51"/>
      <c r="BS15" s="53"/>
      <c r="BT15" s="53"/>
      <c r="BU15" s="53"/>
      <c r="BV15" s="53"/>
      <c r="BW15" s="53"/>
      <c r="BX15" s="45"/>
      <c r="BY15" s="45"/>
      <c r="BZ15" s="53"/>
      <c r="CA15" s="53"/>
      <c r="CB15" s="53"/>
      <c r="CC15" s="53"/>
      <c r="CD15" s="53"/>
      <c r="CE15" s="53"/>
      <c r="CF15" s="35"/>
      <c r="CH15" s="35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4"/>
    </row>
    <row r="16" spans="1:97" s="55" customFormat="1" ht="12.75" customHeight="1">
      <c r="A16" s="35" t="s">
        <v>21</v>
      </c>
      <c r="B16" s="51"/>
      <c r="C16" s="35" t="s">
        <v>22</v>
      </c>
      <c r="D16" s="44"/>
      <c r="E16" s="53">
        <f t="shared" si="0"/>
        <v>3328474</v>
      </c>
      <c r="F16" s="53"/>
      <c r="G16" s="53">
        <v>28767698</v>
      </c>
      <c r="H16" s="53"/>
      <c r="I16" s="53">
        <v>32096172</v>
      </c>
      <c r="J16" s="53"/>
      <c r="K16" s="53">
        <f t="shared" si="1"/>
        <v>764981</v>
      </c>
      <c r="L16" s="53"/>
      <c r="M16" s="53">
        <v>7227456</v>
      </c>
      <c r="N16" s="53"/>
      <c r="O16" s="53">
        <v>7992437</v>
      </c>
      <c r="P16" s="53"/>
      <c r="Q16" s="53">
        <v>20924055</v>
      </c>
      <c r="R16" s="53"/>
      <c r="S16" s="53">
        <v>0</v>
      </c>
      <c r="T16" s="53"/>
      <c r="U16" s="53">
        <v>3179680</v>
      </c>
      <c r="V16" s="53"/>
      <c r="W16" s="53">
        <f t="shared" si="2"/>
        <v>24103735</v>
      </c>
      <c r="X16" s="53"/>
      <c r="Y16" s="35" t="s">
        <v>21</v>
      </c>
      <c r="AA16" s="35" t="s">
        <v>22</v>
      </c>
      <c r="AB16" s="35"/>
      <c r="AC16" s="53">
        <v>1702248</v>
      </c>
      <c r="AD16" s="53"/>
      <c r="AE16" s="53">
        <f>2315333-721637</f>
        <v>1593696</v>
      </c>
      <c r="AF16" s="53"/>
      <c r="AG16" s="53">
        <v>721637</v>
      </c>
      <c r="AH16" s="53"/>
      <c r="AI16" s="45">
        <f t="shared" si="3"/>
        <v>-613085</v>
      </c>
      <c r="AJ16" s="45"/>
      <c r="AK16" s="53">
        <v>-166105</v>
      </c>
      <c r="AL16" s="45"/>
      <c r="AM16" s="53">
        <v>150000</v>
      </c>
      <c r="AN16" s="53"/>
      <c r="AO16" s="53">
        <v>0</v>
      </c>
      <c r="AP16" s="53"/>
      <c r="AQ16" s="53">
        <v>1997316</v>
      </c>
      <c r="AR16" s="53"/>
      <c r="AS16" s="45">
        <f t="shared" si="4"/>
        <v>1368126</v>
      </c>
      <c r="AT16" s="45"/>
      <c r="AU16" s="53">
        <v>0</v>
      </c>
      <c r="AV16" s="53"/>
      <c r="AW16" s="53">
        <v>0</v>
      </c>
      <c r="AX16" s="53"/>
      <c r="AY16" s="53">
        <f t="shared" si="5"/>
        <v>2563493</v>
      </c>
      <c r="AZ16" s="53"/>
      <c r="BA16" s="35" t="s">
        <v>21</v>
      </c>
      <c r="BC16" s="35" t="s">
        <v>22</v>
      </c>
      <c r="BD16" s="53"/>
      <c r="BE16" s="53">
        <v>466289</v>
      </c>
      <c r="BF16" s="53"/>
      <c r="BG16" s="53">
        <v>0</v>
      </c>
      <c r="BH16" s="53"/>
      <c r="BI16" s="53">
        <f>297500+6343602</f>
        <v>6641102</v>
      </c>
      <c r="BJ16" s="53"/>
      <c r="BK16" s="53">
        <f>10752+109313</f>
        <v>120065</v>
      </c>
      <c r="BL16" s="53"/>
      <c r="BM16" s="53">
        <f t="shared" si="6"/>
        <v>7227456</v>
      </c>
      <c r="BN16" s="54" t="s">
        <v>347</v>
      </c>
      <c r="BR16" s="51"/>
      <c r="BS16" s="53"/>
      <c r="BT16" s="53"/>
      <c r="BU16" s="53"/>
      <c r="BV16" s="53"/>
      <c r="BW16" s="53"/>
      <c r="BX16" s="45"/>
      <c r="BY16" s="45"/>
      <c r="BZ16" s="53"/>
      <c r="CA16" s="53"/>
      <c r="CB16" s="53"/>
      <c r="CC16" s="53"/>
      <c r="CD16" s="53"/>
      <c r="CE16" s="53"/>
      <c r="CF16" s="35"/>
      <c r="CH16" s="35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4"/>
    </row>
    <row r="17" spans="1:97" s="55" customFormat="1" ht="12.75" customHeight="1">
      <c r="A17" s="35" t="s">
        <v>23</v>
      </c>
      <c r="B17" s="51"/>
      <c r="C17" s="35" t="s">
        <v>17</v>
      </c>
      <c r="D17" s="44"/>
      <c r="E17" s="53">
        <f t="shared" si="0"/>
        <v>1196757</v>
      </c>
      <c r="F17" s="53"/>
      <c r="G17" s="53">
        <v>16846438</v>
      </c>
      <c r="H17" s="53"/>
      <c r="I17" s="53">
        <v>18043195</v>
      </c>
      <c r="J17" s="53"/>
      <c r="K17" s="53">
        <f t="shared" si="1"/>
        <v>1025693</v>
      </c>
      <c r="L17" s="53"/>
      <c r="M17" s="53">
        <v>1038672</v>
      </c>
      <c r="N17" s="53"/>
      <c r="O17" s="53">
        <v>2064365</v>
      </c>
      <c r="P17" s="53"/>
      <c r="Q17" s="53">
        <v>16042919</v>
      </c>
      <c r="R17" s="53"/>
      <c r="S17" s="53">
        <v>0</v>
      </c>
      <c r="T17" s="53"/>
      <c r="U17" s="53">
        <v>-64089</v>
      </c>
      <c r="V17" s="53"/>
      <c r="W17" s="53">
        <f t="shared" si="2"/>
        <v>15978830</v>
      </c>
      <c r="X17" s="53"/>
      <c r="Y17" s="35" t="s">
        <v>23</v>
      </c>
      <c r="AA17" s="35" t="s">
        <v>17</v>
      </c>
      <c r="AB17" s="35"/>
      <c r="AC17" s="53">
        <v>1268525</v>
      </c>
      <c r="AD17" s="53"/>
      <c r="AE17" s="53">
        <f>1911587-511641</f>
        <v>1399946</v>
      </c>
      <c r="AF17" s="53"/>
      <c r="AG17" s="53">
        <v>511641</v>
      </c>
      <c r="AH17" s="53"/>
      <c r="AI17" s="45">
        <f t="shared" si="3"/>
        <v>-643062</v>
      </c>
      <c r="AJ17" s="45"/>
      <c r="AK17" s="53">
        <v>40074</v>
      </c>
      <c r="AL17" s="45"/>
      <c r="AM17" s="53">
        <v>0</v>
      </c>
      <c r="AN17" s="53"/>
      <c r="AO17" s="53">
        <v>0</v>
      </c>
      <c r="AP17" s="53"/>
      <c r="AQ17" s="53">
        <v>242036</v>
      </c>
      <c r="AR17" s="53"/>
      <c r="AS17" s="45">
        <f t="shared" si="4"/>
        <v>-360952</v>
      </c>
      <c r="AT17" s="45"/>
      <c r="AU17" s="53">
        <v>0</v>
      </c>
      <c r="AV17" s="53"/>
      <c r="AW17" s="53">
        <v>0</v>
      </c>
      <c r="AX17" s="53"/>
      <c r="AY17" s="53">
        <f t="shared" si="5"/>
        <v>171064</v>
      </c>
      <c r="AZ17" s="53"/>
      <c r="BA17" s="35" t="s">
        <v>23</v>
      </c>
      <c r="BC17" s="35" t="s">
        <v>17</v>
      </c>
      <c r="BD17" s="53"/>
      <c r="BE17" s="53">
        <v>0</v>
      </c>
      <c r="BF17" s="53"/>
      <c r="BG17" s="53">
        <v>0</v>
      </c>
      <c r="BH17" s="53"/>
      <c r="BI17" s="53">
        <v>544006</v>
      </c>
      <c r="BJ17" s="53"/>
      <c r="BK17" s="53">
        <f>116289+330000+48377</f>
        <v>494666</v>
      </c>
      <c r="BL17" s="53"/>
      <c r="BM17" s="53">
        <f t="shared" si="6"/>
        <v>1038672</v>
      </c>
      <c r="BN17" s="54" t="s">
        <v>347</v>
      </c>
      <c r="BR17" s="51"/>
      <c r="BS17" s="53"/>
      <c r="BT17" s="53"/>
      <c r="BU17" s="53"/>
      <c r="BV17" s="53"/>
      <c r="BW17" s="53"/>
      <c r="BX17" s="45"/>
      <c r="BY17" s="45"/>
      <c r="BZ17" s="53"/>
      <c r="CA17" s="53"/>
      <c r="CB17" s="53"/>
      <c r="CC17" s="53"/>
      <c r="CD17" s="53"/>
      <c r="CE17" s="53"/>
      <c r="CF17" s="35"/>
      <c r="CH17" s="35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4"/>
    </row>
    <row r="18" spans="1:97" s="159" customFormat="1" ht="12.75" hidden="1" customHeight="1">
      <c r="A18" s="142" t="s">
        <v>24</v>
      </c>
      <c r="B18" s="140"/>
      <c r="C18" s="142" t="s">
        <v>17</v>
      </c>
      <c r="D18" s="137"/>
      <c r="E18" s="156">
        <f t="shared" si="0"/>
        <v>0</v>
      </c>
      <c r="F18" s="156"/>
      <c r="G18" s="156"/>
      <c r="H18" s="156"/>
      <c r="I18" s="156"/>
      <c r="J18" s="156"/>
      <c r="K18" s="156">
        <f t="shared" si="1"/>
        <v>0</v>
      </c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>
        <f t="shared" si="2"/>
        <v>0</v>
      </c>
      <c r="X18" s="156"/>
      <c r="Y18" s="142" t="s">
        <v>24</v>
      </c>
      <c r="AA18" s="142" t="s">
        <v>17</v>
      </c>
      <c r="AB18" s="142"/>
      <c r="AC18" s="156"/>
      <c r="AD18" s="156"/>
      <c r="AE18" s="156"/>
      <c r="AF18" s="156"/>
      <c r="AG18" s="156"/>
      <c r="AH18" s="156"/>
      <c r="AI18" s="143">
        <f t="shared" si="3"/>
        <v>0</v>
      </c>
      <c r="AJ18" s="143"/>
      <c r="AK18" s="156"/>
      <c r="AL18" s="143"/>
      <c r="AM18" s="156"/>
      <c r="AN18" s="156"/>
      <c r="AO18" s="156"/>
      <c r="AP18" s="156"/>
      <c r="AQ18" s="156"/>
      <c r="AR18" s="156"/>
      <c r="AS18" s="143">
        <f t="shared" si="4"/>
        <v>0</v>
      </c>
      <c r="AT18" s="143"/>
      <c r="AU18" s="156">
        <v>0</v>
      </c>
      <c r="AV18" s="156"/>
      <c r="AW18" s="156">
        <v>0</v>
      </c>
      <c r="AX18" s="156"/>
      <c r="AY18" s="156">
        <f t="shared" si="5"/>
        <v>0</v>
      </c>
      <c r="AZ18" s="156"/>
      <c r="BA18" s="142" t="s">
        <v>24</v>
      </c>
      <c r="BC18" s="142" t="s">
        <v>17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>
        <f t="shared" si="6"/>
        <v>0</v>
      </c>
      <c r="BN18" s="158" t="s">
        <v>347</v>
      </c>
      <c r="BR18" s="140"/>
      <c r="BS18" s="156"/>
      <c r="BT18" s="156"/>
      <c r="BU18" s="156"/>
      <c r="BV18" s="156"/>
      <c r="BW18" s="156"/>
      <c r="BX18" s="143"/>
      <c r="BY18" s="143"/>
      <c r="BZ18" s="156"/>
      <c r="CA18" s="156"/>
      <c r="CB18" s="156"/>
      <c r="CC18" s="156"/>
      <c r="CD18" s="156"/>
      <c r="CE18" s="156"/>
      <c r="CF18" s="142"/>
      <c r="CH18" s="142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8"/>
    </row>
    <row r="19" spans="1:97" s="55" customFormat="1" ht="12.75" customHeight="1">
      <c r="A19" s="35" t="s">
        <v>25</v>
      </c>
      <c r="C19" s="35" t="s">
        <v>13</v>
      </c>
      <c r="D19" s="44"/>
      <c r="E19" s="53">
        <f t="shared" si="0"/>
        <v>2535005</v>
      </c>
      <c r="F19" s="53"/>
      <c r="G19" s="53">
        <v>23032352</v>
      </c>
      <c r="H19" s="53"/>
      <c r="I19" s="53">
        <v>25567357</v>
      </c>
      <c r="J19" s="53"/>
      <c r="K19" s="53">
        <f t="shared" si="1"/>
        <v>563057</v>
      </c>
      <c r="L19" s="53"/>
      <c r="M19" s="53">
        <v>1552666</v>
      </c>
      <c r="N19" s="53"/>
      <c r="O19" s="53">
        <v>2115723</v>
      </c>
      <c r="P19" s="53"/>
      <c r="Q19" s="53">
        <v>20321548</v>
      </c>
      <c r="R19" s="53"/>
      <c r="S19" s="53">
        <v>1008948</v>
      </c>
      <c r="T19" s="53"/>
      <c r="U19" s="53">
        <v>2121138</v>
      </c>
      <c r="V19" s="53"/>
      <c r="W19" s="53">
        <f t="shared" si="2"/>
        <v>23451634</v>
      </c>
      <c r="X19" s="53"/>
      <c r="Y19" s="35" t="s">
        <v>25</v>
      </c>
      <c r="AA19" s="35" t="s">
        <v>13</v>
      </c>
      <c r="AB19" s="35"/>
      <c r="AC19" s="53">
        <v>4366033</v>
      </c>
      <c r="AD19" s="53"/>
      <c r="AE19" s="53">
        <f>4111001-1036098</f>
        <v>3074903</v>
      </c>
      <c r="AF19" s="53"/>
      <c r="AG19" s="53">
        <v>1036098</v>
      </c>
      <c r="AH19" s="53"/>
      <c r="AI19" s="45">
        <f t="shared" si="3"/>
        <v>255032</v>
      </c>
      <c r="AJ19" s="45"/>
      <c r="AK19" s="53">
        <v>-8769</v>
      </c>
      <c r="AL19" s="45"/>
      <c r="AM19" s="53">
        <v>0</v>
      </c>
      <c r="AN19" s="53"/>
      <c r="AO19" s="53">
        <v>0</v>
      </c>
      <c r="AP19" s="53"/>
      <c r="AQ19" s="53">
        <v>0</v>
      </c>
      <c r="AR19" s="53"/>
      <c r="AS19" s="45">
        <f t="shared" si="4"/>
        <v>246263</v>
      </c>
      <c r="AT19" s="45"/>
      <c r="AU19" s="53">
        <v>0</v>
      </c>
      <c r="AV19" s="53"/>
      <c r="AW19" s="53">
        <v>0</v>
      </c>
      <c r="AX19" s="53"/>
      <c r="AY19" s="53">
        <f t="shared" si="5"/>
        <v>1971948</v>
      </c>
      <c r="AZ19" s="53"/>
      <c r="BA19" s="35" t="s">
        <v>25</v>
      </c>
      <c r="BC19" s="35" t="s">
        <v>13</v>
      </c>
      <c r="BD19" s="53"/>
      <c r="BE19" s="53">
        <v>1133831</v>
      </c>
      <c r="BF19" s="53"/>
      <c r="BG19" s="53">
        <v>0</v>
      </c>
      <c r="BH19" s="53"/>
      <c r="BI19" s="53">
        <v>0</v>
      </c>
      <c r="BJ19" s="53"/>
      <c r="BK19" s="53">
        <f>200000+9606+209229</f>
        <v>418835</v>
      </c>
      <c r="BL19" s="53"/>
      <c r="BM19" s="53">
        <f t="shared" si="6"/>
        <v>1552666</v>
      </c>
      <c r="BN19" s="54" t="s">
        <v>347</v>
      </c>
      <c r="BR19" s="51"/>
      <c r="BS19" s="53"/>
      <c r="BT19" s="53"/>
      <c r="BU19" s="53"/>
      <c r="BV19" s="53"/>
      <c r="BW19" s="53"/>
      <c r="BX19" s="45"/>
      <c r="BY19" s="45"/>
      <c r="BZ19" s="53"/>
      <c r="CA19" s="53"/>
      <c r="CB19" s="53"/>
      <c r="CC19" s="53"/>
      <c r="CD19" s="53"/>
      <c r="CE19" s="53"/>
      <c r="CF19" s="35"/>
      <c r="CH19" s="35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4"/>
    </row>
    <row r="20" spans="1:97" s="55" customFormat="1" ht="12.75" customHeight="1">
      <c r="A20" s="35" t="s">
        <v>26</v>
      </c>
      <c r="B20" s="51"/>
      <c r="C20" s="35" t="s">
        <v>27</v>
      </c>
      <c r="D20" s="44"/>
      <c r="E20" s="53">
        <f t="shared" si="0"/>
        <v>1346684</v>
      </c>
      <c r="F20" s="53"/>
      <c r="G20" s="53">
        <v>8580136</v>
      </c>
      <c r="H20" s="53"/>
      <c r="I20" s="53">
        <v>9926820</v>
      </c>
      <c r="J20" s="53"/>
      <c r="K20" s="53">
        <f t="shared" si="1"/>
        <v>166006</v>
      </c>
      <c r="L20" s="53"/>
      <c r="M20" s="53">
        <v>746399</v>
      </c>
      <c r="N20" s="53"/>
      <c r="O20" s="53">
        <v>912405</v>
      </c>
      <c r="P20" s="53"/>
      <c r="Q20" s="53">
        <v>2971371</v>
      </c>
      <c r="R20" s="53"/>
      <c r="S20" s="53">
        <v>0</v>
      </c>
      <c r="T20" s="53"/>
      <c r="U20" s="53">
        <v>6043044</v>
      </c>
      <c r="V20" s="53"/>
      <c r="W20" s="53">
        <f t="shared" si="2"/>
        <v>9014415</v>
      </c>
      <c r="X20" s="53"/>
      <c r="Y20" s="35" t="s">
        <v>26</v>
      </c>
      <c r="AA20" s="35" t="s">
        <v>27</v>
      </c>
      <c r="AB20" s="35"/>
      <c r="AC20" s="53">
        <v>1447354</v>
      </c>
      <c r="AD20" s="53"/>
      <c r="AE20" s="53">
        <f>1448192-143830</f>
        <v>1304362</v>
      </c>
      <c r="AF20" s="53"/>
      <c r="AG20" s="53">
        <v>143830</v>
      </c>
      <c r="AH20" s="53"/>
      <c r="AI20" s="45">
        <f t="shared" si="3"/>
        <v>-838</v>
      </c>
      <c r="AJ20" s="45"/>
      <c r="AK20" s="53">
        <v>-174648</v>
      </c>
      <c r="AL20" s="45"/>
      <c r="AM20" s="53">
        <v>62875</v>
      </c>
      <c r="AN20" s="53"/>
      <c r="AO20" s="53">
        <v>0</v>
      </c>
      <c r="AP20" s="53"/>
      <c r="AQ20" s="53">
        <v>0</v>
      </c>
      <c r="AR20" s="53"/>
      <c r="AS20" s="45">
        <f t="shared" si="4"/>
        <v>-112611</v>
      </c>
      <c r="AT20" s="45"/>
      <c r="AU20" s="53">
        <v>0</v>
      </c>
      <c r="AV20" s="53"/>
      <c r="AW20" s="53">
        <v>0</v>
      </c>
      <c r="AX20" s="53"/>
      <c r="AY20" s="53">
        <f t="shared" si="5"/>
        <v>1180678</v>
      </c>
      <c r="AZ20" s="53"/>
      <c r="BA20" s="35" t="s">
        <v>26</v>
      </c>
      <c r="BC20" s="35" t="s">
        <v>27</v>
      </c>
      <c r="BD20" s="53"/>
      <c r="BE20" s="53">
        <v>250000</v>
      </c>
      <c r="BF20" s="53"/>
      <c r="BG20" s="53">
        <v>0</v>
      </c>
      <c r="BH20" s="53"/>
      <c r="BI20" s="53">
        <v>408082</v>
      </c>
      <c r="BJ20" s="53"/>
      <c r="BK20" s="53">
        <v>88317</v>
      </c>
      <c r="BL20" s="53"/>
      <c r="BM20" s="53">
        <f t="shared" si="6"/>
        <v>746399</v>
      </c>
      <c r="BN20" s="54" t="s">
        <v>347</v>
      </c>
      <c r="BR20" s="51"/>
      <c r="BS20" s="53"/>
      <c r="BT20" s="53"/>
      <c r="BU20" s="53"/>
      <c r="BV20" s="53"/>
      <c r="BW20" s="53"/>
      <c r="BX20" s="45"/>
      <c r="BY20" s="45"/>
      <c r="BZ20" s="53"/>
      <c r="CA20" s="53"/>
      <c r="CB20" s="53"/>
      <c r="CC20" s="53"/>
      <c r="CD20" s="53"/>
      <c r="CE20" s="53"/>
      <c r="CF20" s="35"/>
      <c r="CH20" s="35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4"/>
    </row>
    <row r="21" spans="1:97" s="159" customFormat="1" ht="12.75" hidden="1" customHeight="1">
      <c r="A21" s="142" t="s">
        <v>28</v>
      </c>
      <c r="B21" s="140"/>
      <c r="C21" s="142" t="s">
        <v>27</v>
      </c>
      <c r="D21" s="137"/>
      <c r="E21" s="156">
        <f t="shared" si="0"/>
        <v>0</v>
      </c>
      <c r="F21" s="156"/>
      <c r="G21" s="156">
        <v>0</v>
      </c>
      <c r="H21" s="156"/>
      <c r="I21" s="156">
        <v>0</v>
      </c>
      <c r="J21" s="156"/>
      <c r="K21" s="156">
        <f t="shared" si="1"/>
        <v>0</v>
      </c>
      <c r="L21" s="156"/>
      <c r="M21" s="156">
        <v>0</v>
      </c>
      <c r="N21" s="156"/>
      <c r="O21" s="156">
        <v>0</v>
      </c>
      <c r="P21" s="156"/>
      <c r="Q21" s="156">
        <v>0</v>
      </c>
      <c r="R21" s="156"/>
      <c r="S21" s="156">
        <v>0</v>
      </c>
      <c r="T21" s="156"/>
      <c r="U21" s="156">
        <v>0</v>
      </c>
      <c r="V21" s="156"/>
      <c r="W21" s="156">
        <f t="shared" si="2"/>
        <v>0</v>
      </c>
      <c r="X21" s="156"/>
      <c r="Y21" s="142" t="s">
        <v>28</v>
      </c>
      <c r="AA21" s="142" t="s">
        <v>27</v>
      </c>
      <c r="AB21" s="142"/>
      <c r="AC21" s="156">
        <v>0</v>
      </c>
      <c r="AD21" s="156"/>
      <c r="AE21" s="156">
        <v>0</v>
      </c>
      <c r="AF21" s="156"/>
      <c r="AG21" s="156">
        <v>0</v>
      </c>
      <c r="AH21" s="156"/>
      <c r="AI21" s="143">
        <f t="shared" si="3"/>
        <v>0</v>
      </c>
      <c r="AJ21" s="143"/>
      <c r="AK21" s="156">
        <v>0</v>
      </c>
      <c r="AL21" s="143"/>
      <c r="AM21" s="156">
        <v>0</v>
      </c>
      <c r="AN21" s="156"/>
      <c r="AO21" s="156">
        <v>0</v>
      </c>
      <c r="AP21" s="156"/>
      <c r="AQ21" s="156">
        <v>0</v>
      </c>
      <c r="AR21" s="156"/>
      <c r="AS21" s="143">
        <f t="shared" si="4"/>
        <v>0</v>
      </c>
      <c r="AT21" s="143"/>
      <c r="AU21" s="156">
        <v>0</v>
      </c>
      <c r="AV21" s="156"/>
      <c r="AW21" s="156">
        <v>0</v>
      </c>
      <c r="AX21" s="156"/>
      <c r="AY21" s="156">
        <f t="shared" si="5"/>
        <v>0</v>
      </c>
      <c r="AZ21" s="156"/>
      <c r="BA21" s="142" t="s">
        <v>28</v>
      </c>
      <c r="BC21" s="142" t="s">
        <v>27</v>
      </c>
      <c r="BD21" s="156"/>
      <c r="BE21" s="156">
        <v>0</v>
      </c>
      <c r="BF21" s="156"/>
      <c r="BG21" s="156">
        <v>0</v>
      </c>
      <c r="BH21" s="156"/>
      <c r="BI21" s="156">
        <v>0</v>
      </c>
      <c r="BJ21" s="156"/>
      <c r="BK21" s="156">
        <v>0</v>
      </c>
      <c r="BL21" s="156"/>
      <c r="BM21" s="156">
        <f t="shared" si="6"/>
        <v>0</v>
      </c>
      <c r="BN21" s="158" t="s">
        <v>347</v>
      </c>
      <c r="BR21" s="140"/>
      <c r="BS21" s="156"/>
      <c r="BT21" s="156"/>
      <c r="BU21" s="156"/>
      <c r="BV21" s="156"/>
      <c r="BW21" s="156"/>
      <c r="BX21" s="143"/>
      <c r="BY21" s="143"/>
      <c r="BZ21" s="156"/>
      <c r="CA21" s="156"/>
      <c r="CB21" s="156"/>
      <c r="CC21" s="156"/>
      <c r="CD21" s="156"/>
      <c r="CE21" s="156"/>
      <c r="CF21" s="142"/>
      <c r="CH21" s="142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8"/>
    </row>
    <row r="22" spans="1:97" s="159" customFormat="1" ht="12.75" hidden="1" customHeight="1">
      <c r="A22" s="142" t="s">
        <v>29</v>
      </c>
      <c r="B22" s="140"/>
      <c r="C22" s="142" t="s">
        <v>30</v>
      </c>
      <c r="D22" s="137"/>
      <c r="E22" s="156">
        <f t="shared" si="0"/>
        <v>0</v>
      </c>
      <c r="F22" s="156"/>
      <c r="G22" s="156"/>
      <c r="H22" s="156"/>
      <c r="I22" s="156"/>
      <c r="J22" s="156"/>
      <c r="K22" s="156">
        <f t="shared" si="1"/>
        <v>0</v>
      </c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>
        <f t="shared" si="2"/>
        <v>0</v>
      </c>
      <c r="X22" s="156"/>
      <c r="Y22" s="142" t="s">
        <v>29</v>
      </c>
      <c r="AA22" s="142" t="s">
        <v>30</v>
      </c>
      <c r="AB22" s="142"/>
      <c r="AC22" s="156"/>
      <c r="AD22" s="156"/>
      <c r="AE22" s="156"/>
      <c r="AF22" s="156"/>
      <c r="AG22" s="156"/>
      <c r="AH22" s="156"/>
      <c r="AI22" s="143">
        <f t="shared" si="3"/>
        <v>0</v>
      </c>
      <c r="AJ22" s="143"/>
      <c r="AK22" s="156"/>
      <c r="AL22" s="143"/>
      <c r="AM22" s="156"/>
      <c r="AN22" s="156"/>
      <c r="AO22" s="156"/>
      <c r="AP22" s="156"/>
      <c r="AQ22" s="156"/>
      <c r="AR22" s="156"/>
      <c r="AS22" s="143">
        <f t="shared" si="4"/>
        <v>0</v>
      </c>
      <c r="AT22" s="143"/>
      <c r="AU22" s="156">
        <v>0</v>
      </c>
      <c r="AV22" s="156"/>
      <c r="AW22" s="156">
        <v>0</v>
      </c>
      <c r="AX22" s="156"/>
      <c r="AY22" s="156">
        <f t="shared" si="5"/>
        <v>0</v>
      </c>
      <c r="AZ22" s="156"/>
      <c r="BA22" s="142" t="s">
        <v>29</v>
      </c>
      <c r="BC22" s="142" t="s">
        <v>30</v>
      </c>
      <c r="BD22" s="156"/>
      <c r="BE22" s="156"/>
      <c r="BF22" s="156"/>
      <c r="BG22" s="156"/>
      <c r="BH22" s="156"/>
      <c r="BI22" s="156"/>
      <c r="BJ22" s="156"/>
      <c r="BK22" s="156"/>
      <c r="BL22" s="156"/>
      <c r="BM22" s="156">
        <f t="shared" si="6"/>
        <v>0</v>
      </c>
      <c r="BN22" s="158" t="s">
        <v>347</v>
      </c>
      <c r="BR22" s="140"/>
      <c r="BS22" s="156"/>
      <c r="BT22" s="156"/>
      <c r="BU22" s="156"/>
      <c r="BV22" s="156"/>
      <c r="BW22" s="156"/>
      <c r="BX22" s="143"/>
      <c r="BY22" s="143"/>
      <c r="BZ22" s="156"/>
      <c r="CA22" s="156"/>
      <c r="CB22" s="156"/>
      <c r="CC22" s="156"/>
      <c r="CD22" s="156"/>
      <c r="CE22" s="156"/>
      <c r="CF22" s="142"/>
      <c r="CH22" s="142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8"/>
    </row>
    <row r="23" spans="1:97" s="55" customFormat="1" ht="12.75" customHeight="1">
      <c r="A23" s="35" t="s">
        <v>31</v>
      </c>
      <c r="B23" s="51"/>
      <c r="C23" s="35" t="s">
        <v>27</v>
      </c>
      <c r="D23" s="44"/>
      <c r="E23" s="53">
        <f t="shared" si="0"/>
        <v>2494182</v>
      </c>
      <c r="F23" s="53"/>
      <c r="G23" s="53">
        <v>9847168</v>
      </c>
      <c r="H23" s="53"/>
      <c r="I23" s="53">
        <v>12341350</v>
      </c>
      <c r="J23" s="53"/>
      <c r="K23" s="53">
        <f t="shared" si="1"/>
        <v>1285394</v>
      </c>
      <c r="L23" s="53"/>
      <c r="M23" s="53">
        <v>6714507</v>
      </c>
      <c r="N23" s="53"/>
      <c r="O23" s="53">
        <v>7999901</v>
      </c>
      <c r="P23" s="53"/>
      <c r="Q23" s="53">
        <v>2384894</v>
      </c>
      <c r="R23" s="53"/>
      <c r="S23" s="53">
        <v>0</v>
      </c>
      <c r="T23" s="53"/>
      <c r="U23" s="53">
        <v>1956555</v>
      </c>
      <c r="V23" s="53"/>
      <c r="W23" s="53">
        <f t="shared" si="2"/>
        <v>4341449</v>
      </c>
      <c r="X23" s="53"/>
      <c r="Y23" s="35" t="s">
        <v>31</v>
      </c>
      <c r="AA23" s="35" t="s">
        <v>27</v>
      </c>
      <c r="AB23" s="35"/>
      <c r="AC23" s="53">
        <v>2058890</v>
      </c>
      <c r="AD23" s="53"/>
      <c r="AE23" s="53">
        <f>1933889-435029</f>
        <v>1498860</v>
      </c>
      <c r="AF23" s="53"/>
      <c r="AG23" s="53">
        <v>435029</v>
      </c>
      <c r="AH23" s="53"/>
      <c r="AI23" s="45">
        <f t="shared" si="3"/>
        <v>125001</v>
      </c>
      <c r="AJ23" s="45"/>
      <c r="AK23" s="53">
        <v>13981</v>
      </c>
      <c r="AL23" s="45"/>
      <c r="AM23" s="53">
        <v>0</v>
      </c>
      <c r="AN23" s="53"/>
      <c r="AO23" s="53">
        <v>0</v>
      </c>
      <c r="AP23" s="53"/>
      <c r="AQ23" s="53">
        <v>222469</v>
      </c>
      <c r="AR23" s="53"/>
      <c r="AS23" s="45">
        <f t="shared" si="4"/>
        <v>361451</v>
      </c>
      <c r="AT23" s="45"/>
      <c r="AU23" s="53">
        <v>0</v>
      </c>
      <c r="AV23" s="53"/>
      <c r="AW23" s="53">
        <v>0</v>
      </c>
      <c r="AX23" s="53"/>
      <c r="AY23" s="53">
        <f t="shared" si="5"/>
        <v>1208788</v>
      </c>
      <c r="AZ23" s="53"/>
      <c r="BA23" s="35" t="s">
        <v>31</v>
      </c>
      <c r="BC23" s="35" t="s">
        <v>27</v>
      </c>
      <c r="BD23" s="53"/>
      <c r="BE23" s="53">
        <v>577672</v>
      </c>
      <c r="BF23" s="53"/>
      <c r="BG23" s="53">
        <v>0</v>
      </c>
      <c r="BH23" s="53"/>
      <c r="BI23" s="53">
        <f>703367+5369148</f>
        <v>6072515</v>
      </c>
      <c r="BJ23" s="53"/>
      <c r="BK23" s="53">
        <v>64320</v>
      </c>
      <c r="BL23" s="53"/>
      <c r="BM23" s="53">
        <f t="shared" si="6"/>
        <v>6714507</v>
      </c>
      <c r="BN23" s="54" t="s">
        <v>347</v>
      </c>
      <c r="BO23" s="55" t="s">
        <v>404</v>
      </c>
      <c r="BR23" s="51"/>
      <c r="BS23" s="53"/>
      <c r="BT23" s="53"/>
      <c r="BU23" s="53"/>
      <c r="BV23" s="53"/>
      <c r="BW23" s="53"/>
      <c r="BX23" s="45"/>
      <c r="BY23" s="45"/>
      <c r="BZ23" s="53"/>
      <c r="CA23" s="53"/>
      <c r="CB23" s="53"/>
      <c r="CC23" s="53"/>
      <c r="CD23" s="53"/>
      <c r="CE23" s="53"/>
      <c r="CF23" s="44"/>
      <c r="CH23" s="35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4"/>
    </row>
    <row r="24" spans="1:97" s="55" customFormat="1" ht="12.75" customHeight="1">
      <c r="A24" s="35" t="s">
        <v>32</v>
      </c>
      <c r="B24" s="51"/>
      <c r="C24" s="35" t="s">
        <v>27</v>
      </c>
      <c r="D24" s="44"/>
      <c r="E24" s="53">
        <f t="shared" si="0"/>
        <v>1287295</v>
      </c>
      <c r="F24" s="53"/>
      <c r="G24" s="53">
        <v>7533354</v>
      </c>
      <c r="H24" s="53"/>
      <c r="I24" s="53">
        <v>8820649</v>
      </c>
      <c r="J24" s="53"/>
      <c r="K24" s="53">
        <f t="shared" si="1"/>
        <v>538553</v>
      </c>
      <c r="L24" s="53"/>
      <c r="M24" s="53">
        <v>692506</v>
      </c>
      <c r="N24" s="53"/>
      <c r="O24" s="53">
        <v>1231059</v>
      </c>
      <c r="P24" s="53"/>
      <c r="Q24" s="53">
        <v>6987345</v>
      </c>
      <c r="R24" s="53"/>
      <c r="S24" s="53">
        <v>0</v>
      </c>
      <c r="T24" s="53"/>
      <c r="U24" s="53">
        <v>602245</v>
      </c>
      <c r="V24" s="53"/>
      <c r="W24" s="53">
        <f t="shared" si="2"/>
        <v>7589590</v>
      </c>
      <c r="X24" s="53"/>
      <c r="Y24" s="35" t="s">
        <v>32</v>
      </c>
      <c r="AA24" s="35" t="s">
        <v>27</v>
      </c>
      <c r="AB24" s="35"/>
      <c r="AC24" s="53">
        <v>3048468</v>
      </c>
      <c r="AD24" s="53"/>
      <c r="AE24" s="53">
        <f>3467687-432237</f>
        <v>3035450</v>
      </c>
      <c r="AF24" s="53"/>
      <c r="AG24" s="53">
        <v>432237</v>
      </c>
      <c r="AH24" s="53"/>
      <c r="AI24" s="45">
        <f t="shared" si="3"/>
        <v>-419219</v>
      </c>
      <c r="AJ24" s="45"/>
      <c r="AK24" s="53">
        <v>-14686</v>
      </c>
      <c r="AL24" s="45"/>
      <c r="AM24" s="53">
        <v>0</v>
      </c>
      <c r="AN24" s="53"/>
      <c r="AO24" s="53">
        <v>62400</v>
      </c>
      <c r="AP24" s="53"/>
      <c r="AQ24" s="53">
        <v>448732</v>
      </c>
      <c r="AR24" s="53"/>
      <c r="AS24" s="45">
        <f t="shared" si="4"/>
        <v>-47573</v>
      </c>
      <c r="AT24" s="45"/>
      <c r="AU24" s="53">
        <v>0</v>
      </c>
      <c r="AV24" s="53"/>
      <c r="AW24" s="53">
        <v>0</v>
      </c>
      <c r="AX24" s="53"/>
      <c r="AY24" s="53">
        <f t="shared" si="5"/>
        <v>748742</v>
      </c>
      <c r="AZ24" s="53"/>
      <c r="BA24" s="35" t="s">
        <v>32</v>
      </c>
      <c r="BC24" s="35" t="s">
        <v>27</v>
      </c>
      <c r="BD24" s="53"/>
      <c r="BE24" s="53">
        <v>0</v>
      </c>
      <c r="BF24" s="53"/>
      <c r="BG24" s="53">
        <v>0</v>
      </c>
      <c r="BH24" s="53"/>
      <c r="BI24" s="53">
        <v>0</v>
      </c>
      <c r="BJ24" s="53"/>
      <c r="BK24" s="53">
        <f>6987345+602245</f>
        <v>7589590</v>
      </c>
      <c r="BL24" s="53"/>
      <c r="BM24" s="53">
        <f t="shared" si="6"/>
        <v>7589590</v>
      </c>
      <c r="BN24" s="54" t="s">
        <v>347</v>
      </c>
      <c r="BR24" s="51"/>
      <c r="BS24" s="53"/>
      <c r="BT24" s="53"/>
      <c r="BU24" s="53"/>
      <c r="BV24" s="53"/>
      <c r="BW24" s="53"/>
      <c r="BX24" s="45"/>
      <c r="BY24" s="45"/>
      <c r="BZ24" s="53"/>
      <c r="CA24" s="53"/>
      <c r="CB24" s="53"/>
      <c r="CC24" s="53"/>
      <c r="CD24" s="53"/>
      <c r="CE24" s="53"/>
      <c r="CF24" s="35"/>
      <c r="CH24" s="35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4"/>
    </row>
    <row r="25" spans="1:97" s="135" customFormat="1" ht="12.75" hidden="1" customHeight="1">
      <c r="A25" s="121" t="s">
        <v>34</v>
      </c>
      <c r="B25" s="126"/>
      <c r="C25" s="121" t="s">
        <v>30</v>
      </c>
      <c r="D25" s="122"/>
      <c r="E25" s="133">
        <f t="shared" si="0"/>
        <v>0</v>
      </c>
      <c r="F25" s="133"/>
      <c r="G25" s="133">
        <v>0</v>
      </c>
      <c r="H25" s="133"/>
      <c r="I25" s="133">
        <v>0</v>
      </c>
      <c r="J25" s="133"/>
      <c r="K25" s="133">
        <f t="shared" si="1"/>
        <v>0</v>
      </c>
      <c r="L25" s="133"/>
      <c r="M25" s="133">
        <v>0</v>
      </c>
      <c r="N25" s="133"/>
      <c r="O25" s="133">
        <v>0</v>
      </c>
      <c r="P25" s="133"/>
      <c r="Q25" s="133">
        <v>0</v>
      </c>
      <c r="R25" s="133"/>
      <c r="S25" s="133">
        <v>0</v>
      </c>
      <c r="T25" s="133"/>
      <c r="U25" s="133">
        <v>0</v>
      </c>
      <c r="V25" s="133"/>
      <c r="W25" s="133">
        <f t="shared" si="2"/>
        <v>0</v>
      </c>
      <c r="X25" s="133"/>
      <c r="Y25" s="121" t="s">
        <v>34</v>
      </c>
      <c r="AA25" s="121" t="s">
        <v>30</v>
      </c>
      <c r="AB25" s="121"/>
      <c r="AC25" s="133">
        <v>0</v>
      </c>
      <c r="AD25" s="133"/>
      <c r="AE25" s="133">
        <v>0</v>
      </c>
      <c r="AF25" s="133"/>
      <c r="AG25" s="133">
        <v>0</v>
      </c>
      <c r="AH25" s="133"/>
      <c r="AI25" s="125">
        <f t="shared" si="3"/>
        <v>0</v>
      </c>
      <c r="AJ25" s="125"/>
      <c r="AK25" s="133">
        <v>0</v>
      </c>
      <c r="AL25" s="125"/>
      <c r="AM25" s="133">
        <v>0</v>
      </c>
      <c r="AN25" s="133"/>
      <c r="AO25" s="133">
        <v>0</v>
      </c>
      <c r="AP25" s="133"/>
      <c r="AQ25" s="133">
        <v>0</v>
      </c>
      <c r="AR25" s="133"/>
      <c r="AS25" s="125">
        <f t="shared" si="4"/>
        <v>0</v>
      </c>
      <c r="AT25" s="125"/>
      <c r="AU25" s="133">
        <v>0</v>
      </c>
      <c r="AV25" s="133"/>
      <c r="AW25" s="133">
        <v>0</v>
      </c>
      <c r="AX25" s="133"/>
      <c r="AY25" s="133">
        <f t="shared" si="5"/>
        <v>0</v>
      </c>
      <c r="AZ25" s="133"/>
      <c r="BA25" s="121" t="s">
        <v>34</v>
      </c>
      <c r="BC25" s="121" t="s">
        <v>30</v>
      </c>
      <c r="BD25" s="133"/>
      <c r="BE25" s="133">
        <v>0</v>
      </c>
      <c r="BF25" s="133"/>
      <c r="BG25" s="133">
        <v>0</v>
      </c>
      <c r="BH25" s="133"/>
      <c r="BI25" s="133">
        <v>0</v>
      </c>
      <c r="BJ25" s="133"/>
      <c r="BK25" s="133">
        <v>0</v>
      </c>
      <c r="BL25" s="133"/>
      <c r="BM25" s="133">
        <f t="shared" si="6"/>
        <v>0</v>
      </c>
      <c r="BN25" s="134" t="s">
        <v>347</v>
      </c>
      <c r="BR25" s="126"/>
      <c r="BS25" s="133"/>
      <c r="BT25" s="133"/>
      <c r="BU25" s="133"/>
      <c r="BV25" s="133"/>
      <c r="BW25" s="133"/>
      <c r="BX25" s="125"/>
      <c r="BY25" s="125"/>
      <c r="BZ25" s="133"/>
      <c r="CA25" s="133"/>
      <c r="CB25" s="133"/>
      <c r="CC25" s="133"/>
      <c r="CD25" s="133"/>
      <c r="CE25" s="133"/>
      <c r="CF25" s="121"/>
      <c r="CH25" s="121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4"/>
    </row>
    <row r="26" spans="1:97" s="55" customFormat="1" ht="12.75" customHeight="1">
      <c r="A26" s="35" t="s">
        <v>35</v>
      </c>
      <c r="B26" s="51"/>
      <c r="C26" s="35" t="s">
        <v>36</v>
      </c>
      <c r="D26" s="44"/>
      <c r="E26" s="53">
        <f t="shared" si="0"/>
        <v>3480622</v>
      </c>
      <c r="F26" s="53"/>
      <c r="G26" s="53">
        <f>8148311+136197</f>
        <v>8284508</v>
      </c>
      <c r="H26" s="53"/>
      <c r="I26" s="53">
        <v>11765130</v>
      </c>
      <c r="J26" s="53"/>
      <c r="K26" s="53">
        <f t="shared" si="1"/>
        <v>695504</v>
      </c>
      <c r="L26" s="53"/>
      <c r="M26" s="53">
        <f>200886+1955000+25471</f>
        <v>2181357</v>
      </c>
      <c r="N26" s="53"/>
      <c r="O26" s="53">
        <v>2876861</v>
      </c>
      <c r="P26" s="53"/>
      <c r="Q26" s="53">
        <v>5672706</v>
      </c>
      <c r="R26" s="53"/>
      <c r="S26" s="53">
        <v>528848</v>
      </c>
      <c r="T26" s="53"/>
      <c r="U26" s="53">
        <v>2686715</v>
      </c>
      <c r="V26" s="53"/>
      <c r="W26" s="53">
        <f t="shared" si="2"/>
        <v>8888269</v>
      </c>
      <c r="X26" s="53"/>
      <c r="Y26" s="35" t="s">
        <v>35</v>
      </c>
      <c r="AA26" s="35" t="s">
        <v>36</v>
      </c>
      <c r="AB26" s="35"/>
      <c r="AC26" s="53">
        <v>2876609</v>
      </c>
      <c r="AD26" s="53"/>
      <c r="AE26" s="53">
        <f>1656109-239312</f>
        <v>1416797</v>
      </c>
      <c r="AF26" s="53"/>
      <c r="AG26" s="53">
        <v>239312</v>
      </c>
      <c r="AH26" s="53"/>
      <c r="AI26" s="45">
        <f t="shared" si="3"/>
        <v>1220500</v>
      </c>
      <c r="AJ26" s="45"/>
      <c r="AK26" s="53">
        <v>-6136</v>
      </c>
      <c r="AL26" s="45"/>
      <c r="AM26" s="53">
        <v>0</v>
      </c>
      <c r="AN26" s="53"/>
      <c r="AO26" s="53">
        <v>0</v>
      </c>
      <c r="AP26" s="53"/>
      <c r="AQ26" s="53">
        <v>0</v>
      </c>
      <c r="AR26" s="53"/>
      <c r="AS26" s="45">
        <f t="shared" si="4"/>
        <v>1214364</v>
      </c>
      <c r="AT26" s="45"/>
      <c r="AU26" s="53">
        <v>0</v>
      </c>
      <c r="AV26" s="53"/>
      <c r="AW26" s="53">
        <v>0</v>
      </c>
      <c r="AX26" s="53"/>
      <c r="AY26" s="53">
        <f t="shared" si="5"/>
        <v>2785118</v>
      </c>
      <c r="AZ26" s="53"/>
      <c r="BA26" s="35" t="s">
        <v>35</v>
      </c>
      <c r="BC26" s="35" t="s">
        <v>36</v>
      </c>
      <c r="BD26" s="53"/>
      <c r="BE26" s="53">
        <v>1955000</v>
      </c>
      <c r="BF26" s="53"/>
      <c r="BG26" s="53">
        <v>0</v>
      </c>
      <c r="BH26" s="53"/>
      <c r="BI26" s="53">
        <v>0</v>
      </c>
      <c r="BJ26" s="53"/>
      <c r="BK26" s="53">
        <f>200886+25471</f>
        <v>226357</v>
      </c>
      <c r="BL26" s="53"/>
      <c r="BM26" s="53">
        <f t="shared" si="6"/>
        <v>2181357</v>
      </c>
      <c r="BN26" s="54" t="s">
        <v>347</v>
      </c>
      <c r="BR26" s="51"/>
      <c r="BS26" s="53"/>
      <c r="BT26" s="53"/>
      <c r="BU26" s="53"/>
      <c r="BV26" s="53"/>
      <c r="BW26" s="53"/>
      <c r="BX26" s="45"/>
      <c r="BY26" s="45"/>
      <c r="BZ26" s="53"/>
      <c r="CA26" s="53"/>
      <c r="CB26" s="53"/>
      <c r="CC26" s="53"/>
      <c r="CD26" s="53"/>
      <c r="CE26" s="53"/>
      <c r="CF26" s="35"/>
      <c r="CH26" s="35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4"/>
    </row>
    <row r="27" spans="1:97" s="55" customFormat="1" ht="12.75" customHeight="1">
      <c r="A27" s="35" t="s">
        <v>37</v>
      </c>
      <c r="B27" s="51"/>
      <c r="C27" s="35" t="s">
        <v>38</v>
      </c>
      <c r="D27" s="44"/>
      <c r="E27" s="53">
        <f t="shared" si="0"/>
        <v>2540808</v>
      </c>
      <c r="F27" s="53"/>
      <c r="G27" s="53">
        <f>58060+10269204</f>
        <v>10327264</v>
      </c>
      <c r="H27" s="53"/>
      <c r="I27" s="53">
        <v>12868072</v>
      </c>
      <c r="J27" s="53"/>
      <c r="K27" s="53">
        <f t="shared" si="1"/>
        <v>816541</v>
      </c>
      <c r="L27" s="53"/>
      <c r="M27" s="53">
        <v>8566764</v>
      </c>
      <c r="N27" s="53"/>
      <c r="O27" s="53">
        <v>9383305</v>
      </c>
      <c r="P27" s="53"/>
      <c r="Q27" s="53">
        <v>934858</v>
      </c>
      <c r="R27" s="53"/>
      <c r="S27" s="53">
        <v>0</v>
      </c>
      <c r="T27" s="53"/>
      <c r="U27" s="53">
        <v>2549909</v>
      </c>
      <c r="V27" s="53"/>
      <c r="W27" s="53">
        <f t="shared" si="2"/>
        <v>3484767</v>
      </c>
      <c r="X27" s="53"/>
      <c r="Y27" s="35" t="s">
        <v>37</v>
      </c>
      <c r="AA27" s="35" t="s">
        <v>38</v>
      </c>
      <c r="AB27" s="35"/>
      <c r="AC27" s="53">
        <v>1752193</v>
      </c>
      <c r="AD27" s="53"/>
      <c r="AE27" s="53">
        <f>1868709-661952</f>
        <v>1206757</v>
      </c>
      <c r="AF27" s="53"/>
      <c r="AG27" s="53">
        <v>661952</v>
      </c>
      <c r="AH27" s="53"/>
      <c r="AI27" s="45">
        <f t="shared" si="3"/>
        <v>-116516</v>
      </c>
      <c r="AJ27" s="45"/>
      <c r="AK27" s="53">
        <v>-79417</v>
      </c>
      <c r="AL27" s="45"/>
      <c r="AM27" s="53">
        <v>0</v>
      </c>
      <c r="AN27" s="53"/>
      <c r="AO27" s="53">
        <v>0</v>
      </c>
      <c r="AP27" s="53"/>
      <c r="AQ27" s="53">
        <v>0</v>
      </c>
      <c r="AR27" s="53"/>
      <c r="AS27" s="45">
        <f t="shared" si="4"/>
        <v>-195933</v>
      </c>
      <c r="AT27" s="45"/>
      <c r="AU27" s="53">
        <v>0</v>
      </c>
      <c r="AV27" s="53"/>
      <c r="AW27" s="53">
        <v>0</v>
      </c>
      <c r="AX27" s="53"/>
      <c r="AY27" s="53">
        <f t="shared" si="5"/>
        <v>1724267</v>
      </c>
      <c r="AZ27" s="53"/>
      <c r="BA27" s="35" t="s">
        <v>37</v>
      </c>
      <c r="BC27" s="35" t="s">
        <v>38</v>
      </c>
      <c r="BD27" s="53"/>
      <c r="BE27" s="53">
        <v>0</v>
      </c>
      <c r="BF27" s="53"/>
      <c r="BG27" s="53">
        <v>0</v>
      </c>
      <c r="BH27" s="53"/>
      <c r="BI27" s="53">
        <v>8515483</v>
      </c>
      <c r="BJ27" s="53"/>
      <c r="BK27" s="53">
        <v>51281</v>
      </c>
      <c r="BL27" s="53"/>
      <c r="BM27" s="53">
        <f t="shared" si="6"/>
        <v>8566764</v>
      </c>
      <c r="BN27" s="54" t="s">
        <v>347</v>
      </c>
      <c r="BR27" s="51"/>
      <c r="BS27" s="53"/>
      <c r="BT27" s="53"/>
      <c r="BU27" s="53"/>
      <c r="BV27" s="53"/>
      <c r="BW27" s="53"/>
      <c r="BX27" s="45"/>
      <c r="BY27" s="45"/>
      <c r="BZ27" s="53"/>
      <c r="CA27" s="53"/>
      <c r="CB27" s="53"/>
      <c r="CC27" s="53"/>
      <c r="CD27" s="53"/>
      <c r="CE27" s="53"/>
      <c r="CF27" s="35"/>
      <c r="CH27" s="35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4"/>
    </row>
    <row r="28" spans="1:97" s="35" customFormat="1" ht="12.75" customHeight="1">
      <c r="A28" s="35" t="s">
        <v>39</v>
      </c>
      <c r="B28" s="51"/>
      <c r="C28" s="35" t="s">
        <v>40</v>
      </c>
      <c r="D28" s="44"/>
      <c r="E28" s="53">
        <f t="shared" si="0"/>
        <v>1077420</v>
      </c>
      <c r="F28" s="53"/>
      <c r="G28" s="53">
        <v>7740946</v>
      </c>
      <c r="H28" s="53"/>
      <c r="I28" s="53">
        <v>8818366</v>
      </c>
      <c r="J28" s="53"/>
      <c r="K28" s="53">
        <f t="shared" si="1"/>
        <v>788056</v>
      </c>
      <c r="L28" s="53"/>
      <c r="M28" s="53">
        <v>3771913</v>
      </c>
      <c r="N28" s="53"/>
      <c r="O28" s="53">
        <v>4559969</v>
      </c>
      <c r="P28" s="53"/>
      <c r="Q28" s="53">
        <v>3886691</v>
      </c>
      <c r="R28" s="53"/>
      <c r="S28" s="53">
        <v>0</v>
      </c>
      <c r="T28" s="53"/>
      <c r="U28" s="53">
        <v>371706</v>
      </c>
      <c r="V28" s="53"/>
      <c r="W28" s="53">
        <f>SUM(Q28:U28)</f>
        <v>4258397</v>
      </c>
      <c r="X28" s="51"/>
      <c r="Y28" s="35" t="s">
        <v>39</v>
      </c>
      <c r="Z28" s="53"/>
      <c r="AA28" s="35" t="s">
        <v>40</v>
      </c>
      <c r="AB28" s="51"/>
      <c r="AC28" s="53">
        <v>1392978</v>
      </c>
      <c r="AD28" s="53"/>
      <c r="AE28" s="53">
        <f>1062780-159332</f>
        <v>903448</v>
      </c>
      <c r="AF28" s="53"/>
      <c r="AG28" s="53">
        <v>159332</v>
      </c>
      <c r="AH28" s="53"/>
      <c r="AI28" s="45">
        <f>+AC28-AE28-AG28</f>
        <v>330198</v>
      </c>
      <c r="AJ28" s="45"/>
      <c r="AK28" s="53">
        <v>-5650</v>
      </c>
      <c r="AL28" s="45"/>
      <c r="AM28" s="53">
        <v>0</v>
      </c>
      <c r="AN28" s="53"/>
      <c r="AO28" s="53">
        <v>0</v>
      </c>
      <c r="AP28" s="53"/>
      <c r="AQ28" s="53">
        <v>0</v>
      </c>
      <c r="AR28" s="53"/>
      <c r="AS28" s="45">
        <f>+AI28+AK28+AM28-AO28+AQ28</f>
        <v>324548</v>
      </c>
      <c r="AT28" s="45"/>
      <c r="AU28" s="53">
        <v>0</v>
      </c>
      <c r="AV28" s="53"/>
      <c r="AW28" s="53">
        <v>0</v>
      </c>
      <c r="AX28" s="53"/>
      <c r="AY28" s="53">
        <f>+E28-K28</f>
        <v>289364</v>
      </c>
      <c r="AZ28" s="51"/>
      <c r="BA28" s="35" t="s">
        <v>39</v>
      </c>
      <c r="BC28" s="35" t="s">
        <v>40</v>
      </c>
      <c r="BD28" s="53"/>
      <c r="BE28" s="53">
        <v>0</v>
      </c>
      <c r="BF28" s="53"/>
      <c r="BG28" s="53">
        <v>0</v>
      </c>
      <c r="BH28" s="53"/>
      <c r="BI28" s="53">
        <v>167330</v>
      </c>
      <c r="BJ28" s="53"/>
      <c r="BK28" s="53">
        <f>3594666+9917</f>
        <v>3604583</v>
      </c>
      <c r="BL28" s="53"/>
      <c r="BM28" s="53">
        <f>SUM(BE28:BK28)</f>
        <v>3771913</v>
      </c>
      <c r="BN28" s="54"/>
      <c r="BR28" s="55"/>
      <c r="BS28" s="55"/>
      <c r="BT28" s="84"/>
      <c r="BU28" s="55"/>
      <c r="BV28" s="55"/>
      <c r="BW28" s="55"/>
      <c r="BX28" s="55"/>
      <c r="BY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</row>
    <row r="29" spans="1:97" s="55" customFormat="1" ht="12.75" customHeight="1">
      <c r="A29" s="35" t="s">
        <v>41</v>
      </c>
      <c r="B29" s="51"/>
      <c r="C29" s="35" t="s">
        <v>27</v>
      </c>
      <c r="D29" s="44"/>
      <c r="E29" s="53">
        <f t="shared" si="0"/>
        <v>496472</v>
      </c>
      <c r="F29" s="53"/>
      <c r="G29" s="53">
        <v>10567083</v>
      </c>
      <c r="H29" s="53"/>
      <c r="I29" s="53">
        <v>11063555</v>
      </c>
      <c r="J29" s="53"/>
      <c r="K29" s="53">
        <f t="shared" si="1"/>
        <v>358000</v>
      </c>
      <c r="L29" s="53"/>
      <c r="M29" s="53">
        <v>3910112</v>
      </c>
      <c r="N29" s="53"/>
      <c r="O29" s="53">
        <v>4268112</v>
      </c>
      <c r="P29" s="53"/>
      <c r="Q29" s="53">
        <v>6442156</v>
      </c>
      <c r="R29" s="53"/>
      <c r="S29" s="53">
        <v>0</v>
      </c>
      <c r="T29" s="53"/>
      <c r="U29" s="53">
        <v>353287</v>
      </c>
      <c r="V29" s="53"/>
      <c r="W29" s="53">
        <f>SUM(Q29:U29)</f>
        <v>6795443</v>
      </c>
      <c r="X29" s="53"/>
      <c r="Y29" s="35" t="s">
        <v>41</v>
      </c>
      <c r="AA29" s="35" t="s">
        <v>27</v>
      </c>
      <c r="AB29" s="35"/>
      <c r="AC29" s="53">
        <v>818542</v>
      </c>
      <c r="AD29" s="53"/>
      <c r="AE29" s="53">
        <f>672362-252710</f>
        <v>419652</v>
      </c>
      <c r="AF29" s="53"/>
      <c r="AG29" s="53">
        <v>252710</v>
      </c>
      <c r="AH29" s="53"/>
      <c r="AI29" s="45">
        <f>+AC29-AE29-AG29</f>
        <v>146180</v>
      </c>
      <c r="AJ29" s="45"/>
      <c r="AK29" s="53">
        <v>-222226</v>
      </c>
      <c r="AL29" s="45"/>
      <c r="AM29" s="53">
        <v>65000</v>
      </c>
      <c r="AN29" s="53"/>
      <c r="AO29" s="53">
        <v>0</v>
      </c>
      <c r="AP29" s="53"/>
      <c r="AQ29" s="53">
        <v>306210</v>
      </c>
      <c r="AR29" s="53"/>
      <c r="AS29" s="45">
        <f>+AI29+AK29+AM29-AO29+AQ29</f>
        <v>295164</v>
      </c>
      <c r="AT29" s="45"/>
      <c r="AU29" s="53">
        <v>0</v>
      </c>
      <c r="AV29" s="53"/>
      <c r="AW29" s="53">
        <v>0</v>
      </c>
      <c r="AX29" s="53"/>
      <c r="AY29" s="53">
        <f>+E29-K29</f>
        <v>138472</v>
      </c>
      <c r="AZ29" s="53"/>
      <c r="BA29" s="35" t="s">
        <v>41</v>
      </c>
      <c r="BC29" s="35" t="s">
        <v>27</v>
      </c>
      <c r="BD29" s="53"/>
      <c r="BE29" s="53">
        <v>0</v>
      </c>
      <c r="BF29" s="53"/>
      <c r="BG29" s="53">
        <v>0</v>
      </c>
      <c r="BH29" s="53"/>
      <c r="BI29" s="53">
        <f>2963807+834574</f>
        <v>3798381</v>
      </c>
      <c r="BJ29" s="53"/>
      <c r="BK29" s="53">
        <v>111731</v>
      </c>
      <c r="BL29" s="53"/>
      <c r="BM29" s="53">
        <f>SUM(BE29:BK29)</f>
        <v>3910112</v>
      </c>
      <c r="BN29" s="54" t="s">
        <v>347</v>
      </c>
      <c r="BR29" s="51"/>
      <c r="BS29" s="53"/>
      <c r="BT29" s="53"/>
      <c r="BU29" s="53"/>
      <c r="BV29" s="53"/>
      <c r="BW29" s="53"/>
      <c r="BX29" s="45"/>
      <c r="BY29" s="45"/>
      <c r="BZ29" s="53"/>
      <c r="CA29" s="53"/>
      <c r="CB29" s="53"/>
      <c r="CC29" s="53"/>
      <c r="CD29" s="53"/>
      <c r="CE29" s="53"/>
      <c r="CF29" s="35"/>
      <c r="CH29" s="35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4"/>
    </row>
    <row r="30" spans="1:97" s="55" customFormat="1" ht="12.75" customHeight="1">
      <c r="A30" s="35" t="s">
        <v>42</v>
      </c>
      <c r="B30" s="51"/>
      <c r="C30" s="35" t="s">
        <v>43</v>
      </c>
      <c r="D30" s="44"/>
      <c r="E30" s="53">
        <f t="shared" si="0"/>
        <v>1826082</v>
      </c>
      <c r="F30" s="53"/>
      <c r="G30" s="53">
        <v>2226767</v>
      </c>
      <c r="H30" s="53"/>
      <c r="I30" s="53">
        <v>4052849</v>
      </c>
      <c r="J30" s="53"/>
      <c r="K30" s="53">
        <f t="shared" si="1"/>
        <v>1449016</v>
      </c>
      <c r="L30" s="53"/>
      <c r="M30" s="53">
        <v>461146</v>
      </c>
      <c r="N30" s="53"/>
      <c r="O30" s="53">
        <v>1910162</v>
      </c>
      <c r="P30" s="53"/>
      <c r="Q30" s="53">
        <v>827267</v>
      </c>
      <c r="R30" s="53"/>
      <c r="S30" s="53">
        <v>0</v>
      </c>
      <c r="T30" s="53"/>
      <c r="U30" s="53">
        <v>1315420</v>
      </c>
      <c r="V30" s="53"/>
      <c r="W30" s="53">
        <f t="shared" si="2"/>
        <v>2142687</v>
      </c>
      <c r="X30" s="53"/>
      <c r="Y30" s="35" t="s">
        <v>42</v>
      </c>
      <c r="AA30" s="35" t="s">
        <v>43</v>
      </c>
      <c r="AB30" s="35"/>
      <c r="AC30" s="53">
        <v>1920757</v>
      </c>
      <c r="AD30" s="53"/>
      <c r="AE30" s="53">
        <f>1525619-98855</f>
        <v>1426764</v>
      </c>
      <c r="AF30" s="53"/>
      <c r="AG30" s="53">
        <v>98855</v>
      </c>
      <c r="AH30" s="53"/>
      <c r="AI30" s="45">
        <f t="shared" si="3"/>
        <v>395138</v>
      </c>
      <c r="AJ30" s="45"/>
      <c r="AK30" s="53">
        <v>471773</v>
      </c>
      <c r="AL30" s="45"/>
      <c r="AM30" s="53">
        <v>0</v>
      </c>
      <c r="AN30" s="53"/>
      <c r="AO30" s="53">
        <v>0</v>
      </c>
      <c r="AP30" s="53"/>
      <c r="AQ30" s="53">
        <v>0</v>
      </c>
      <c r="AR30" s="53"/>
      <c r="AS30" s="45">
        <f t="shared" si="4"/>
        <v>866911</v>
      </c>
      <c r="AT30" s="45"/>
      <c r="AU30" s="53">
        <v>0</v>
      </c>
      <c r="AV30" s="53"/>
      <c r="AW30" s="53">
        <v>0</v>
      </c>
      <c r="AX30" s="53"/>
      <c r="AY30" s="53">
        <f t="shared" si="5"/>
        <v>377066</v>
      </c>
      <c r="AZ30" s="53"/>
      <c r="BA30" s="35" t="s">
        <v>42</v>
      </c>
      <c r="BC30" s="35" t="s">
        <v>43</v>
      </c>
      <c r="BD30" s="53"/>
      <c r="BE30" s="53">
        <v>790000</v>
      </c>
      <c r="BF30" s="53"/>
      <c r="BG30" s="53"/>
      <c r="BH30" s="53"/>
      <c r="BI30" s="53">
        <v>474500</v>
      </c>
      <c r="BJ30" s="53"/>
      <c r="BK30" s="53">
        <v>45444</v>
      </c>
      <c r="BL30" s="53"/>
      <c r="BM30" s="53">
        <f t="shared" si="6"/>
        <v>1309944</v>
      </c>
      <c r="BN30" s="54" t="s">
        <v>347</v>
      </c>
      <c r="BR30" s="51"/>
      <c r="BS30" s="53"/>
      <c r="BT30" s="53"/>
      <c r="BU30" s="53"/>
      <c r="BV30" s="53"/>
      <c r="BW30" s="53"/>
      <c r="BX30" s="45"/>
      <c r="BY30" s="45"/>
      <c r="BZ30" s="53"/>
      <c r="CA30" s="53"/>
      <c r="CB30" s="53"/>
      <c r="CC30" s="53"/>
      <c r="CD30" s="53"/>
      <c r="CE30" s="53"/>
      <c r="CF30" s="35"/>
      <c r="CH30" s="35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4"/>
    </row>
    <row r="31" spans="1:97" s="159" customFormat="1" ht="12.75" hidden="1" customHeight="1">
      <c r="A31" s="142" t="s">
        <v>44</v>
      </c>
      <c r="B31" s="140"/>
      <c r="C31" s="142" t="s">
        <v>45</v>
      </c>
      <c r="D31" s="137"/>
      <c r="E31" s="156">
        <f t="shared" si="0"/>
        <v>0</v>
      </c>
      <c r="F31" s="156"/>
      <c r="G31" s="156">
        <v>0</v>
      </c>
      <c r="H31" s="156"/>
      <c r="I31" s="156">
        <v>0</v>
      </c>
      <c r="J31" s="156"/>
      <c r="K31" s="156">
        <f t="shared" si="1"/>
        <v>0</v>
      </c>
      <c r="L31" s="156"/>
      <c r="M31" s="156">
        <v>0</v>
      </c>
      <c r="N31" s="156"/>
      <c r="O31" s="156">
        <v>0</v>
      </c>
      <c r="P31" s="156"/>
      <c r="Q31" s="156">
        <v>0</v>
      </c>
      <c r="R31" s="156"/>
      <c r="S31" s="156">
        <v>0</v>
      </c>
      <c r="T31" s="156"/>
      <c r="U31" s="156">
        <v>0</v>
      </c>
      <c r="V31" s="156"/>
      <c r="W31" s="156">
        <v>0</v>
      </c>
      <c r="X31" s="156"/>
      <c r="Y31" s="142" t="s">
        <v>44</v>
      </c>
      <c r="AA31" s="142" t="s">
        <v>45</v>
      </c>
      <c r="AB31" s="142"/>
      <c r="AC31" s="156">
        <v>0</v>
      </c>
      <c r="AD31" s="156"/>
      <c r="AE31" s="156">
        <v>0</v>
      </c>
      <c r="AF31" s="156"/>
      <c r="AG31" s="156">
        <v>0</v>
      </c>
      <c r="AH31" s="156"/>
      <c r="AI31" s="143">
        <f t="shared" si="3"/>
        <v>0</v>
      </c>
      <c r="AJ31" s="143"/>
      <c r="AK31" s="156">
        <v>0</v>
      </c>
      <c r="AL31" s="143"/>
      <c r="AM31" s="156">
        <v>0</v>
      </c>
      <c r="AN31" s="156"/>
      <c r="AO31" s="156">
        <v>0</v>
      </c>
      <c r="AP31" s="156"/>
      <c r="AQ31" s="156">
        <v>0</v>
      </c>
      <c r="AR31" s="156"/>
      <c r="AS31" s="143">
        <f t="shared" si="4"/>
        <v>0</v>
      </c>
      <c r="AT31" s="143"/>
      <c r="AU31" s="156">
        <v>0</v>
      </c>
      <c r="AV31" s="156"/>
      <c r="AW31" s="156">
        <v>0</v>
      </c>
      <c r="AX31" s="156"/>
      <c r="AY31" s="156">
        <f t="shared" si="5"/>
        <v>0</v>
      </c>
      <c r="AZ31" s="156"/>
      <c r="BA31" s="142" t="s">
        <v>44</v>
      </c>
      <c r="BC31" s="142" t="s">
        <v>45</v>
      </c>
      <c r="BD31" s="156"/>
      <c r="BE31" s="156">
        <v>0</v>
      </c>
      <c r="BF31" s="156"/>
      <c r="BG31" s="156">
        <v>0</v>
      </c>
      <c r="BH31" s="156"/>
      <c r="BI31" s="156">
        <v>0</v>
      </c>
      <c r="BJ31" s="156"/>
      <c r="BK31" s="156">
        <v>0</v>
      </c>
      <c r="BL31" s="156"/>
      <c r="BM31" s="156">
        <f t="shared" si="6"/>
        <v>0</v>
      </c>
      <c r="BN31" s="158" t="s">
        <v>347</v>
      </c>
      <c r="BR31" s="140"/>
      <c r="BS31" s="156"/>
      <c r="BT31" s="156"/>
      <c r="BU31" s="156"/>
      <c r="BV31" s="156"/>
      <c r="BW31" s="156"/>
      <c r="BX31" s="143"/>
      <c r="BY31" s="143"/>
      <c r="BZ31" s="156"/>
      <c r="CA31" s="156"/>
      <c r="CB31" s="156"/>
      <c r="CC31" s="156"/>
      <c r="CD31" s="156"/>
      <c r="CE31" s="156"/>
      <c r="CF31" s="142"/>
      <c r="CH31" s="142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8"/>
    </row>
    <row r="32" spans="1:97" s="55" customFormat="1" ht="12.75" customHeight="1">
      <c r="A32" s="35" t="s">
        <v>46</v>
      </c>
      <c r="B32" s="51"/>
      <c r="C32" s="35" t="s">
        <v>47</v>
      </c>
      <c r="D32" s="44"/>
      <c r="E32" s="53">
        <f t="shared" si="0"/>
        <v>4356538</v>
      </c>
      <c r="F32" s="53"/>
      <c r="G32" s="53">
        <v>41075748</v>
      </c>
      <c r="H32" s="53"/>
      <c r="I32" s="53">
        <v>45432286</v>
      </c>
      <c r="J32" s="53"/>
      <c r="K32" s="53">
        <f t="shared" si="1"/>
        <v>3626265</v>
      </c>
      <c r="L32" s="53"/>
      <c r="M32" s="53">
        <v>566979</v>
      </c>
      <c r="N32" s="53"/>
      <c r="O32" s="53">
        <v>4193244</v>
      </c>
      <c r="P32" s="53"/>
      <c r="Q32" s="53">
        <v>37367905</v>
      </c>
      <c r="R32" s="53"/>
      <c r="S32" s="53">
        <v>0</v>
      </c>
      <c r="T32" s="53"/>
      <c r="U32" s="53">
        <v>3871137</v>
      </c>
      <c r="V32" s="53"/>
      <c r="W32" s="53">
        <f>SUM(Q32:U32)</f>
        <v>41239042</v>
      </c>
      <c r="X32" s="53"/>
      <c r="Y32" s="35" t="s">
        <v>46</v>
      </c>
      <c r="AA32" s="35" t="s">
        <v>47</v>
      </c>
      <c r="AB32" s="35"/>
      <c r="AC32" s="53">
        <v>3978272</v>
      </c>
      <c r="AD32" s="53"/>
      <c r="AE32" s="53">
        <f>4493499-1201610</f>
        <v>3291889</v>
      </c>
      <c r="AF32" s="53"/>
      <c r="AG32" s="53">
        <v>1201610</v>
      </c>
      <c r="AH32" s="53"/>
      <c r="AI32" s="45">
        <f t="shared" si="3"/>
        <v>-515227</v>
      </c>
      <c r="AJ32" s="45"/>
      <c r="AK32" s="53">
        <v>1718</v>
      </c>
      <c r="AL32" s="45"/>
      <c r="AM32" s="53">
        <v>0</v>
      </c>
      <c r="AN32" s="53"/>
      <c r="AO32" s="53">
        <v>0</v>
      </c>
      <c r="AP32" s="53"/>
      <c r="AQ32" s="53">
        <v>1265453</v>
      </c>
      <c r="AR32" s="53"/>
      <c r="AS32" s="45">
        <f t="shared" si="4"/>
        <v>751944</v>
      </c>
      <c r="AT32" s="45"/>
      <c r="AU32" s="53">
        <v>0</v>
      </c>
      <c r="AV32" s="53"/>
      <c r="AW32" s="53">
        <v>0</v>
      </c>
      <c r="AX32" s="53"/>
      <c r="AY32" s="53">
        <f t="shared" si="5"/>
        <v>730273</v>
      </c>
      <c r="AZ32" s="53"/>
      <c r="BA32" s="35" t="s">
        <v>46</v>
      </c>
      <c r="BC32" s="35" t="s">
        <v>47</v>
      </c>
      <c r="BD32" s="53"/>
      <c r="BE32" s="53">
        <v>3424552</v>
      </c>
      <c r="BF32" s="53"/>
      <c r="BG32" s="53">
        <v>0</v>
      </c>
      <c r="BH32" s="53"/>
      <c r="BI32" s="53">
        <v>0</v>
      </c>
      <c r="BJ32" s="53"/>
      <c r="BK32" s="53">
        <f>60293+141420</f>
        <v>201713</v>
      </c>
      <c r="BL32" s="53"/>
      <c r="BM32" s="53">
        <f t="shared" si="6"/>
        <v>3626265</v>
      </c>
      <c r="BN32" s="54" t="s">
        <v>347</v>
      </c>
      <c r="BR32" s="51"/>
      <c r="BS32" s="53"/>
      <c r="BT32" s="53"/>
      <c r="BU32" s="53"/>
      <c r="BV32" s="53"/>
      <c r="BW32" s="53"/>
      <c r="BX32" s="45"/>
      <c r="BY32" s="45"/>
      <c r="BZ32" s="53"/>
      <c r="CA32" s="53"/>
      <c r="CB32" s="53"/>
      <c r="CC32" s="53"/>
      <c r="CD32" s="53"/>
      <c r="CE32" s="53"/>
      <c r="CF32" s="35"/>
      <c r="CH32" s="35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4"/>
    </row>
    <row r="33" spans="1:97" s="159" customFormat="1" ht="12.75" hidden="1" customHeight="1">
      <c r="A33" s="142" t="s">
        <v>48</v>
      </c>
      <c r="B33" s="140"/>
      <c r="C33" s="142" t="s">
        <v>27</v>
      </c>
      <c r="D33" s="137"/>
      <c r="E33" s="156">
        <f t="shared" si="0"/>
        <v>0</v>
      </c>
      <c r="F33" s="156"/>
      <c r="G33" s="156">
        <v>0</v>
      </c>
      <c r="H33" s="156"/>
      <c r="I33" s="156">
        <v>0</v>
      </c>
      <c r="J33" s="156"/>
      <c r="K33" s="156">
        <f t="shared" si="1"/>
        <v>0</v>
      </c>
      <c r="L33" s="156"/>
      <c r="M33" s="156">
        <v>0</v>
      </c>
      <c r="N33" s="156"/>
      <c r="O33" s="156">
        <v>0</v>
      </c>
      <c r="P33" s="156"/>
      <c r="Q33" s="156">
        <v>0</v>
      </c>
      <c r="R33" s="156"/>
      <c r="S33" s="156">
        <v>0</v>
      </c>
      <c r="T33" s="156"/>
      <c r="U33" s="156">
        <v>0</v>
      </c>
      <c r="V33" s="156"/>
      <c r="W33" s="156">
        <f t="shared" si="2"/>
        <v>0</v>
      </c>
      <c r="X33" s="156"/>
      <c r="Y33" s="142" t="s">
        <v>48</v>
      </c>
      <c r="AA33" s="142" t="s">
        <v>27</v>
      </c>
      <c r="AB33" s="142"/>
      <c r="AC33" s="156">
        <v>0</v>
      </c>
      <c r="AD33" s="156"/>
      <c r="AE33" s="156">
        <v>0</v>
      </c>
      <c r="AF33" s="156"/>
      <c r="AG33" s="156">
        <v>0</v>
      </c>
      <c r="AH33" s="156"/>
      <c r="AI33" s="143">
        <f t="shared" si="3"/>
        <v>0</v>
      </c>
      <c r="AJ33" s="143"/>
      <c r="AK33" s="156">
        <v>0</v>
      </c>
      <c r="AL33" s="143"/>
      <c r="AM33" s="156">
        <v>0</v>
      </c>
      <c r="AN33" s="156"/>
      <c r="AO33" s="156">
        <v>0</v>
      </c>
      <c r="AP33" s="156"/>
      <c r="AQ33" s="156">
        <v>0</v>
      </c>
      <c r="AR33" s="156"/>
      <c r="AS33" s="143">
        <f t="shared" si="4"/>
        <v>0</v>
      </c>
      <c r="AT33" s="143"/>
      <c r="AU33" s="156">
        <v>0</v>
      </c>
      <c r="AV33" s="156"/>
      <c r="AW33" s="156">
        <v>0</v>
      </c>
      <c r="AX33" s="156"/>
      <c r="AY33" s="156">
        <f t="shared" si="5"/>
        <v>0</v>
      </c>
      <c r="AZ33" s="156"/>
      <c r="BA33" s="142" t="s">
        <v>48</v>
      </c>
      <c r="BC33" s="142" t="s">
        <v>27</v>
      </c>
      <c r="BD33" s="156"/>
      <c r="BE33" s="156">
        <v>0</v>
      </c>
      <c r="BF33" s="156"/>
      <c r="BG33" s="156">
        <v>0</v>
      </c>
      <c r="BH33" s="156"/>
      <c r="BI33" s="156">
        <v>0</v>
      </c>
      <c r="BJ33" s="156"/>
      <c r="BK33" s="156">
        <v>0</v>
      </c>
      <c r="BL33" s="156"/>
      <c r="BM33" s="156">
        <f t="shared" si="6"/>
        <v>0</v>
      </c>
      <c r="BN33" s="158" t="s">
        <v>347</v>
      </c>
      <c r="BR33" s="140"/>
      <c r="BS33" s="156"/>
      <c r="BT33" s="156"/>
      <c r="BU33" s="156"/>
      <c r="BV33" s="156"/>
      <c r="BW33" s="156"/>
      <c r="BX33" s="143"/>
      <c r="BY33" s="143"/>
      <c r="BZ33" s="156"/>
      <c r="CA33" s="156"/>
      <c r="CB33" s="156"/>
      <c r="CC33" s="156"/>
      <c r="CD33" s="156"/>
      <c r="CE33" s="156"/>
      <c r="CF33" s="142"/>
      <c r="CH33" s="142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8"/>
    </row>
    <row r="34" spans="1:97" s="55" customFormat="1" ht="12.75" customHeight="1">
      <c r="A34" s="35" t="s">
        <v>49</v>
      </c>
      <c r="B34" s="51"/>
      <c r="C34" s="35" t="s">
        <v>27</v>
      </c>
      <c r="D34" s="44"/>
      <c r="E34" s="53">
        <f t="shared" si="0"/>
        <v>513548</v>
      </c>
      <c r="F34" s="53"/>
      <c r="G34" s="53">
        <v>5211778</v>
      </c>
      <c r="H34" s="53"/>
      <c r="I34" s="53">
        <v>5725326</v>
      </c>
      <c r="J34" s="53"/>
      <c r="K34" s="53">
        <f t="shared" si="1"/>
        <v>52141</v>
      </c>
      <c r="L34" s="53"/>
      <c r="M34" s="53">
        <v>21857</v>
      </c>
      <c r="N34" s="53"/>
      <c r="O34" s="53">
        <v>73998</v>
      </c>
      <c r="P34" s="53"/>
      <c r="Q34" s="53">
        <v>5211778</v>
      </c>
      <c r="R34" s="53"/>
      <c r="S34" s="53">
        <v>0</v>
      </c>
      <c r="T34" s="53"/>
      <c r="U34" s="53">
        <v>439550</v>
      </c>
      <c r="V34" s="53"/>
      <c r="W34" s="53">
        <f t="shared" si="2"/>
        <v>5651328</v>
      </c>
      <c r="X34" s="53"/>
      <c r="Y34" s="35" t="s">
        <v>49</v>
      </c>
      <c r="AA34" s="35" t="s">
        <v>27</v>
      </c>
      <c r="AB34" s="35"/>
      <c r="AC34" s="53">
        <v>1133929</v>
      </c>
      <c r="AD34" s="53"/>
      <c r="AE34" s="53">
        <f>1803118-596695</f>
        <v>1206423</v>
      </c>
      <c r="AF34" s="53"/>
      <c r="AG34" s="53">
        <v>596695</v>
      </c>
      <c r="AH34" s="53"/>
      <c r="AI34" s="45">
        <f t="shared" si="3"/>
        <v>-669189</v>
      </c>
      <c r="AJ34" s="45"/>
      <c r="AK34" s="53">
        <v>16333</v>
      </c>
      <c r="AL34" s="45"/>
      <c r="AM34" s="53">
        <v>0</v>
      </c>
      <c r="AN34" s="53"/>
      <c r="AO34" s="53">
        <v>0</v>
      </c>
      <c r="AP34" s="53"/>
      <c r="AQ34" s="53">
        <v>0</v>
      </c>
      <c r="AR34" s="53"/>
      <c r="AS34" s="45">
        <f t="shared" si="4"/>
        <v>-652856</v>
      </c>
      <c r="AT34" s="45"/>
      <c r="AU34" s="53">
        <v>0</v>
      </c>
      <c r="AV34" s="53"/>
      <c r="AW34" s="53">
        <v>0</v>
      </c>
      <c r="AX34" s="53"/>
      <c r="AY34" s="53">
        <f t="shared" si="5"/>
        <v>461407</v>
      </c>
      <c r="AZ34" s="53"/>
      <c r="BA34" s="35" t="s">
        <v>49</v>
      </c>
      <c r="BC34" s="35" t="s">
        <v>27</v>
      </c>
      <c r="BD34" s="53"/>
      <c r="BE34" s="53">
        <v>0</v>
      </c>
      <c r="BF34" s="53"/>
      <c r="BG34" s="53">
        <v>0</v>
      </c>
      <c r="BH34" s="53"/>
      <c r="BI34" s="53">
        <v>0</v>
      </c>
      <c r="BJ34" s="53"/>
      <c r="BK34" s="53">
        <v>21857</v>
      </c>
      <c r="BL34" s="53"/>
      <c r="BM34" s="53">
        <f t="shared" si="6"/>
        <v>21857</v>
      </c>
      <c r="BN34" s="54" t="s">
        <v>347</v>
      </c>
      <c r="BR34" s="51"/>
      <c r="BS34" s="53"/>
      <c r="BT34" s="53"/>
      <c r="BU34" s="53"/>
      <c r="BV34" s="53"/>
      <c r="BW34" s="53"/>
      <c r="BX34" s="45"/>
      <c r="BY34" s="45"/>
      <c r="BZ34" s="53"/>
      <c r="CA34" s="53"/>
      <c r="CB34" s="53"/>
      <c r="CC34" s="53"/>
      <c r="CD34" s="53"/>
      <c r="CE34" s="53"/>
      <c r="CF34" s="35"/>
      <c r="CH34" s="35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4"/>
    </row>
    <row r="35" spans="1:97" s="159" customFormat="1" ht="12.75" hidden="1" customHeight="1">
      <c r="A35" s="142" t="s">
        <v>50</v>
      </c>
      <c r="B35" s="140"/>
      <c r="C35" s="142" t="s">
        <v>27</v>
      </c>
      <c r="D35" s="137"/>
      <c r="E35" s="156">
        <f t="shared" si="0"/>
        <v>0</v>
      </c>
      <c r="F35" s="156"/>
      <c r="G35" s="156">
        <v>0</v>
      </c>
      <c r="H35" s="156"/>
      <c r="I35" s="156">
        <v>0</v>
      </c>
      <c r="J35" s="156"/>
      <c r="K35" s="156">
        <f t="shared" si="1"/>
        <v>0</v>
      </c>
      <c r="L35" s="156"/>
      <c r="M35" s="156">
        <v>0</v>
      </c>
      <c r="N35" s="156"/>
      <c r="O35" s="156">
        <v>0</v>
      </c>
      <c r="P35" s="156"/>
      <c r="Q35" s="156">
        <v>0</v>
      </c>
      <c r="R35" s="156"/>
      <c r="S35" s="156">
        <v>0</v>
      </c>
      <c r="T35" s="156"/>
      <c r="U35" s="156">
        <v>0</v>
      </c>
      <c r="V35" s="156"/>
      <c r="W35" s="156">
        <f t="shared" si="2"/>
        <v>0</v>
      </c>
      <c r="X35" s="156"/>
      <c r="Y35" s="142" t="s">
        <v>50</v>
      </c>
      <c r="AA35" s="142" t="s">
        <v>27</v>
      </c>
      <c r="AB35" s="142"/>
      <c r="AC35" s="156">
        <v>0</v>
      </c>
      <c r="AD35" s="156"/>
      <c r="AE35" s="156">
        <v>0</v>
      </c>
      <c r="AF35" s="156"/>
      <c r="AG35" s="156">
        <v>0</v>
      </c>
      <c r="AH35" s="156"/>
      <c r="AI35" s="143">
        <f t="shared" si="3"/>
        <v>0</v>
      </c>
      <c r="AJ35" s="143"/>
      <c r="AK35" s="156">
        <v>0</v>
      </c>
      <c r="AL35" s="143"/>
      <c r="AM35" s="156">
        <v>0</v>
      </c>
      <c r="AN35" s="156"/>
      <c r="AO35" s="156">
        <v>0</v>
      </c>
      <c r="AP35" s="156"/>
      <c r="AQ35" s="156">
        <v>0</v>
      </c>
      <c r="AR35" s="156"/>
      <c r="AS35" s="143">
        <f t="shared" si="4"/>
        <v>0</v>
      </c>
      <c r="AT35" s="143"/>
      <c r="AU35" s="156">
        <v>0</v>
      </c>
      <c r="AV35" s="156"/>
      <c r="AW35" s="156">
        <v>0</v>
      </c>
      <c r="AX35" s="156"/>
      <c r="AY35" s="156">
        <f t="shared" si="5"/>
        <v>0</v>
      </c>
      <c r="AZ35" s="156"/>
      <c r="BA35" s="142" t="s">
        <v>50</v>
      </c>
      <c r="BC35" s="142" t="s">
        <v>27</v>
      </c>
      <c r="BD35" s="156"/>
      <c r="BE35" s="156">
        <v>0</v>
      </c>
      <c r="BF35" s="156"/>
      <c r="BG35" s="156">
        <v>0</v>
      </c>
      <c r="BH35" s="156"/>
      <c r="BI35" s="156">
        <v>0</v>
      </c>
      <c r="BJ35" s="156"/>
      <c r="BK35" s="156">
        <v>0</v>
      </c>
      <c r="BL35" s="156"/>
      <c r="BM35" s="156">
        <f t="shared" si="6"/>
        <v>0</v>
      </c>
      <c r="BN35" s="158" t="s">
        <v>347</v>
      </c>
      <c r="BR35" s="140"/>
      <c r="BS35" s="156"/>
      <c r="BT35" s="156"/>
      <c r="BU35" s="156"/>
      <c r="BV35" s="156"/>
      <c r="BW35" s="156"/>
      <c r="BX35" s="143"/>
      <c r="BY35" s="143"/>
      <c r="BZ35" s="156"/>
      <c r="CA35" s="156"/>
      <c r="CB35" s="156"/>
      <c r="CC35" s="156"/>
      <c r="CD35" s="156"/>
      <c r="CE35" s="156"/>
      <c r="CF35" s="142"/>
      <c r="CH35" s="142"/>
      <c r="CI35" s="156"/>
      <c r="CJ35" s="156"/>
      <c r="CK35" s="156"/>
      <c r="CL35" s="156"/>
      <c r="CM35" s="156"/>
      <c r="CN35" s="156"/>
      <c r="CO35" s="156"/>
      <c r="CP35" s="156"/>
      <c r="CQ35" s="156"/>
      <c r="CR35" s="156"/>
      <c r="CS35" s="158"/>
    </row>
    <row r="36" spans="1:97" s="159" customFormat="1" ht="12.75" hidden="1" customHeight="1">
      <c r="A36" s="142" t="s">
        <v>51</v>
      </c>
      <c r="B36" s="140"/>
      <c r="C36" s="142" t="s">
        <v>27</v>
      </c>
      <c r="D36" s="137"/>
      <c r="E36" s="156">
        <f t="shared" si="0"/>
        <v>0</v>
      </c>
      <c r="F36" s="156"/>
      <c r="G36" s="156">
        <v>0</v>
      </c>
      <c r="H36" s="156"/>
      <c r="I36" s="156">
        <v>0</v>
      </c>
      <c r="J36" s="156"/>
      <c r="K36" s="156">
        <f t="shared" si="1"/>
        <v>0</v>
      </c>
      <c r="L36" s="156"/>
      <c r="M36" s="156">
        <v>0</v>
      </c>
      <c r="N36" s="156"/>
      <c r="O36" s="156">
        <v>0</v>
      </c>
      <c r="P36" s="156"/>
      <c r="Q36" s="156">
        <v>0</v>
      </c>
      <c r="R36" s="156"/>
      <c r="S36" s="156">
        <v>0</v>
      </c>
      <c r="T36" s="156"/>
      <c r="U36" s="156">
        <v>0</v>
      </c>
      <c r="V36" s="156"/>
      <c r="W36" s="156">
        <f t="shared" si="2"/>
        <v>0</v>
      </c>
      <c r="X36" s="156"/>
      <c r="Y36" s="142" t="s">
        <v>51</v>
      </c>
      <c r="AA36" s="142" t="s">
        <v>27</v>
      </c>
      <c r="AB36" s="142"/>
      <c r="AC36" s="156">
        <v>0</v>
      </c>
      <c r="AD36" s="156"/>
      <c r="AE36" s="156">
        <v>0</v>
      </c>
      <c r="AF36" s="156"/>
      <c r="AG36" s="156">
        <v>0</v>
      </c>
      <c r="AH36" s="156"/>
      <c r="AI36" s="143">
        <f t="shared" si="3"/>
        <v>0</v>
      </c>
      <c r="AJ36" s="143"/>
      <c r="AK36" s="156">
        <v>0</v>
      </c>
      <c r="AL36" s="143"/>
      <c r="AM36" s="156">
        <v>0</v>
      </c>
      <c r="AN36" s="156"/>
      <c r="AO36" s="156">
        <v>0</v>
      </c>
      <c r="AP36" s="156"/>
      <c r="AQ36" s="156">
        <v>0</v>
      </c>
      <c r="AR36" s="156"/>
      <c r="AS36" s="143">
        <f t="shared" si="4"/>
        <v>0</v>
      </c>
      <c r="AT36" s="143"/>
      <c r="AU36" s="156">
        <v>0</v>
      </c>
      <c r="AV36" s="156"/>
      <c r="AW36" s="156">
        <v>0</v>
      </c>
      <c r="AX36" s="156"/>
      <c r="AY36" s="156">
        <f t="shared" si="5"/>
        <v>0</v>
      </c>
      <c r="AZ36" s="156"/>
      <c r="BA36" s="142" t="s">
        <v>51</v>
      </c>
      <c r="BC36" s="142" t="s">
        <v>27</v>
      </c>
      <c r="BD36" s="156"/>
      <c r="BE36" s="156">
        <v>0</v>
      </c>
      <c r="BF36" s="156"/>
      <c r="BG36" s="156">
        <v>0</v>
      </c>
      <c r="BH36" s="156"/>
      <c r="BI36" s="156">
        <v>0</v>
      </c>
      <c r="BJ36" s="156"/>
      <c r="BK36" s="156">
        <v>0</v>
      </c>
      <c r="BL36" s="156"/>
      <c r="BM36" s="156">
        <f t="shared" si="6"/>
        <v>0</v>
      </c>
      <c r="BN36" s="158" t="s">
        <v>347</v>
      </c>
      <c r="BO36" s="159" t="s">
        <v>404</v>
      </c>
      <c r="BR36" s="140"/>
      <c r="BS36" s="156"/>
      <c r="BT36" s="156"/>
      <c r="BU36" s="156"/>
      <c r="BV36" s="156"/>
      <c r="BW36" s="156"/>
      <c r="BX36" s="143"/>
      <c r="BY36" s="143"/>
      <c r="BZ36" s="156"/>
      <c r="CA36" s="156"/>
      <c r="CB36" s="156"/>
      <c r="CC36" s="156"/>
      <c r="CD36" s="156"/>
      <c r="CE36" s="156"/>
      <c r="CF36" s="142"/>
      <c r="CH36" s="142"/>
      <c r="CI36" s="156"/>
      <c r="CJ36" s="156"/>
      <c r="CK36" s="156"/>
      <c r="CL36" s="156"/>
      <c r="CM36" s="156"/>
      <c r="CN36" s="156"/>
      <c r="CO36" s="156"/>
      <c r="CP36" s="156"/>
      <c r="CQ36" s="156"/>
      <c r="CR36" s="156"/>
      <c r="CS36" s="158"/>
    </row>
    <row r="37" spans="1:97" s="55" customFormat="1" ht="12.75" customHeight="1">
      <c r="A37" s="35" t="s">
        <v>463</v>
      </c>
      <c r="B37" s="51"/>
      <c r="C37" s="35" t="s">
        <v>66</v>
      </c>
      <c r="D37" s="44"/>
      <c r="E37" s="53">
        <f t="shared" si="0"/>
        <v>404445</v>
      </c>
      <c r="F37" s="53"/>
      <c r="G37" s="53">
        <v>3821445</v>
      </c>
      <c r="H37" s="53"/>
      <c r="I37" s="53">
        <v>4225890</v>
      </c>
      <c r="J37" s="53"/>
      <c r="K37" s="53">
        <f t="shared" si="1"/>
        <v>153800</v>
      </c>
      <c r="L37" s="53"/>
      <c r="M37" s="53">
        <v>559285</v>
      </c>
      <c r="N37" s="53"/>
      <c r="O37" s="53">
        <v>713085</v>
      </c>
      <c r="P37" s="53"/>
      <c r="Q37" s="53">
        <v>3137813</v>
      </c>
      <c r="R37" s="53"/>
      <c r="S37" s="53">
        <v>0</v>
      </c>
      <c r="T37" s="53"/>
      <c r="U37" s="53">
        <v>374992</v>
      </c>
      <c r="V37" s="53"/>
      <c r="W37" s="53">
        <f t="shared" si="2"/>
        <v>3512805</v>
      </c>
      <c r="X37" s="53"/>
      <c r="Y37" s="35" t="s">
        <v>463</v>
      </c>
      <c r="AA37" s="35" t="s">
        <v>66</v>
      </c>
      <c r="AB37" s="35"/>
      <c r="AC37" s="53">
        <v>480920</v>
      </c>
      <c r="AD37" s="53"/>
      <c r="AE37" s="53">
        <f>678360-344933</f>
        <v>333427</v>
      </c>
      <c r="AF37" s="53"/>
      <c r="AG37" s="53">
        <v>344933</v>
      </c>
      <c r="AH37" s="53"/>
      <c r="AI37" s="45">
        <f t="shared" si="3"/>
        <v>-197440</v>
      </c>
      <c r="AJ37" s="45"/>
      <c r="AK37" s="53">
        <v>-13581</v>
      </c>
      <c r="AL37" s="45"/>
      <c r="AM37" s="53">
        <v>0</v>
      </c>
      <c r="AN37" s="53"/>
      <c r="AO37" s="53">
        <v>0</v>
      </c>
      <c r="AP37" s="53"/>
      <c r="AQ37" s="53">
        <v>0</v>
      </c>
      <c r="AR37" s="53"/>
      <c r="AS37" s="45">
        <f t="shared" si="4"/>
        <v>-211021</v>
      </c>
      <c r="AT37" s="45"/>
      <c r="AU37" s="53">
        <v>0</v>
      </c>
      <c r="AV37" s="53"/>
      <c r="AW37" s="53">
        <v>0</v>
      </c>
      <c r="AX37" s="53"/>
      <c r="AY37" s="53">
        <f t="shared" si="5"/>
        <v>250645</v>
      </c>
      <c r="AZ37" s="53"/>
      <c r="BA37" s="35" t="s">
        <v>463</v>
      </c>
      <c r="BC37" s="35" t="s">
        <v>66</v>
      </c>
      <c r="BD37" s="53"/>
      <c r="BE37" s="53">
        <v>0</v>
      </c>
      <c r="BF37" s="53"/>
      <c r="BG37" s="53">
        <v>0</v>
      </c>
      <c r="BH37" s="53"/>
      <c r="BI37" s="53">
        <f>423090+130855</f>
        <v>553945</v>
      </c>
      <c r="BJ37" s="53"/>
      <c r="BK37" s="53">
        <v>5340</v>
      </c>
      <c r="BL37" s="53"/>
      <c r="BM37" s="53">
        <f t="shared" si="6"/>
        <v>559285</v>
      </c>
      <c r="BN37" s="53">
        <f>SUM(BF37:BL37)</f>
        <v>559285</v>
      </c>
      <c r="BR37" s="51"/>
      <c r="BS37" s="53"/>
      <c r="BT37" s="53"/>
      <c r="BU37" s="53"/>
      <c r="BV37" s="53"/>
      <c r="BW37" s="53"/>
      <c r="BX37" s="45"/>
      <c r="BY37" s="45"/>
      <c r="BZ37" s="53"/>
      <c r="CA37" s="53"/>
      <c r="CB37" s="53"/>
      <c r="CC37" s="53"/>
      <c r="CD37" s="53"/>
      <c r="CE37" s="53"/>
      <c r="CF37" s="35"/>
      <c r="CH37" s="35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4"/>
    </row>
    <row r="38" spans="1:97" s="159" customFormat="1" ht="12.75" hidden="1" customHeight="1">
      <c r="A38" s="142" t="s">
        <v>52</v>
      </c>
      <c r="B38" s="140"/>
      <c r="C38" s="142" t="s">
        <v>53</v>
      </c>
      <c r="D38" s="137"/>
      <c r="E38" s="156">
        <f t="shared" si="0"/>
        <v>0</v>
      </c>
      <c r="F38" s="156"/>
      <c r="G38" s="156">
        <v>0</v>
      </c>
      <c r="H38" s="156"/>
      <c r="I38" s="156">
        <v>0</v>
      </c>
      <c r="J38" s="156"/>
      <c r="K38" s="156">
        <f t="shared" si="1"/>
        <v>0</v>
      </c>
      <c r="L38" s="156"/>
      <c r="M38" s="156">
        <v>0</v>
      </c>
      <c r="N38" s="156"/>
      <c r="O38" s="156">
        <v>0</v>
      </c>
      <c r="P38" s="156"/>
      <c r="Q38" s="156">
        <v>0</v>
      </c>
      <c r="R38" s="156"/>
      <c r="S38" s="156">
        <v>0</v>
      </c>
      <c r="T38" s="156"/>
      <c r="U38" s="156">
        <v>0</v>
      </c>
      <c r="V38" s="156"/>
      <c r="W38" s="156">
        <f t="shared" si="2"/>
        <v>0</v>
      </c>
      <c r="X38" s="156"/>
      <c r="Y38" s="142" t="s">
        <v>52</v>
      </c>
      <c r="AA38" s="142" t="s">
        <v>53</v>
      </c>
      <c r="AB38" s="142"/>
      <c r="AC38" s="156">
        <v>0</v>
      </c>
      <c r="AD38" s="156"/>
      <c r="AE38" s="156">
        <v>0</v>
      </c>
      <c r="AF38" s="156"/>
      <c r="AG38" s="156">
        <v>0</v>
      </c>
      <c r="AH38" s="156"/>
      <c r="AI38" s="143">
        <f t="shared" si="3"/>
        <v>0</v>
      </c>
      <c r="AJ38" s="143"/>
      <c r="AK38" s="156">
        <v>0</v>
      </c>
      <c r="AL38" s="143"/>
      <c r="AM38" s="156">
        <v>0</v>
      </c>
      <c r="AN38" s="156"/>
      <c r="AO38" s="156">
        <v>0</v>
      </c>
      <c r="AP38" s="156"/>
      <c r="AQ38" s="156">
        <v>0</v>
      </c>
      <c r="AR38" s="156"/>
      <c r="AS38" s="143">
        <f t="shared" si="4"/>
        <v>0</v>
      </c>
      <c r="AT38" s="143"/>
      <c r="AU38" s="156">
        <v>0</v>
      </c>
      <c r="AV38" s="156"/>
      <c r="AW38" s="156">
        <v>0</v>
      </c>
      <c r="AX38" s="156"/>
      <c r="AY38" s="156">
        <f t="shared" si="5"/>
        <v>0</v>
      </c>
      <c r="AZ38" s="156"/>
      <c r="BA38" s="142" t="s">
        <v>52</v>
      </c>
      <c r="BC38" s="142" t="s">
        <v>53</v>
      </c>
      <c r="BD38" s="156"/>
      <c r="BE38" s="156">
        <v>0</v>
      </c>
      <c r="BF38" s="156"/>
      <c r="BG38" s="156">
        <v>0</v>
      </c>
      <c r="BH38" s="156"/>
      <c r="BI38" s="156">
        <v>0</v>
      </c>
      <c r="BJ38" s="156"/>
      <c r="BK38" s="156">
        <v>0</v>
      </c>
      <c r="BL38" s="156"/>
      <c r="BM38" s="156">
        <f t="shared" si="6"/>
        <v>0</v>
      </c>
      <c r="BN38" s="158" t="s">
        <v>347</v>
      </c>
      <c r="BR38" s="140"/>
      <c r="BS38" s="156"/>
      <c r="BT38" s="156"/>
      <c r="BU38" s="156"/>
      <c r="BV38" s="156"/>
      <c r="BW38" s="156"/>
      <c r="BX38" s="143"/>
      <c r="BY38" s="143"/>
      <c r="BZ38" s="156"/>
      <c r="CA38" s="156"/>
      <c r="CB38" s="156"/>
      <c r="CC38" s="156"/>
      <c r="CD38" s="156"/>
      <c r="CE38" s="156"/>
      <c r="CF38" s="142"/>
      <c r="CH38" s="142"/>
      <c r="CI38" s="156"/>
      <c r="CJ38" s="156"/>
      <c r="CK38" s="156"/>
      <c r="CL38" s="156"/>
      <c r="CM38" s="156"/>
      <c r="CN38" s="156"/>
      <c r="CO38" s="156"/>
      <c r="CP38" s="156"/>
      <c r="CQ38" s="156"/>
      <c r="CR38" s="156"/>
      <c r="CS38" s="158"/>
    </row>
    <row r="39" spans="1:97" s="55" customFormat="1" ht="12.75" customHeight="1">
      <c r="A39" s="35" t="s">
        <v>54</v>
      </c>
      <c r="B39" s="51"/>
      <c r="C39" s="35" t="s">
        <v>55</v>
      </c>
      <c r="D39" s="44"/>
      <c r="E39" s="53">
        <f t="shared" si="0"/>
        <v>1190609</v>
      </c>
      <c r="F39" s="53"/>
      <c r="G39" s="53">
        <v>11338937</v>
      </c>
      <c r="H39" s="53"/>
      <c r="I39" s="53">
        <v>12529546</v>
      </c>
      <c r="J39" s="53"/>
      <c r="K39" s="53">
        <f t="shared" si="1"/>
        <v>168729</v>
      </c>
      <c r="L39" s="53"/>
      <c r="M39" s="53">
        <v>803189</v>
      </c>
      <c r="N39" s="53"/>
      <c r="O39" s="53">
        <v>971918</v>
      </c>
      <c r="P39" s="53"/>
      <c r="Q39" s="53">
        <v>10487094</v>
      </c>
      <c r="R39" s="53"/>
      <c r="S39" s="53">
        <v>0</v>
      </c>
      <c r="T39" s="53"/>
      <c r="U39" s="53">
        <v>1070534</v>
      </c>
      <c r="V39" s="53"/>
      <c r="W39" s="53">
        <f t="shared" si="2"/>
        <v>11557628</v>
      </c>
      <c r="X39" s="53"/>
      <c r="Y39" s="35" t="s">
        <v>54</v>
      </c>
      <c r="AA39" s="35" t="s">
        <v>55</v>
      </c>
      <c r="AB39" s="35"/>
      <c r="AC39" s="53">
        <v>847190</v>
      </c>
      <c r="AD39" s="53"/>
      <c r="AE39" s="53">
        <f>1193746-459880</f>
        <v>733866</v>
      </c>
      <c r="AF39" s="53"/>
      <c r="AG39" s="53">
        <v>459880</v>
      </c>
      <c r="AH39" s="53"/>
      <c r="AI39" s="45">
        <f t="shared" si="3"/>
        <v>-346556</v>
      </c>
      <c r="AJ39" s="45"/>
      <c r="AK39" s="53">
        <v>37438</v>
      </c>
      <c r="AL39" s="45"/>
      <c r="AM39" s="53">
        <v>300000</v>
      </c>
      <c r="AN39" s="53"/>
      <c r="AO39" s="53">
        <v>0</v>
      </c>
      <c r="AP39" s="53"/>
      <c r="AQ39" s="53">
        <v>397290</v>
      </c>
      <c r="AR39" s="53"/>
      <c r="AS39" s="45">
        <f t="shared" si="4"/>
        <v>388172</v>
      </c>
      <c r="AT39" s="45"/>
      <c r="AU39" s="53">
        <v>0</v>
      </c>
      <c r="AV39" s="53"/>
      <c r="AW39" s="53">
        <v>0</v>
      </c>
      <c r="AX39" s="53"/>
      <c r="AY39" s="53">
        <f t="shared" si="5"/>
        <v>1021880</v>
      </c>
      <c r="AZ39" s="53"/>
      <c r="BA39" s="35" t="s">
        <v>54</v>
      </c>
      <c r="BC39" s="35" t="s">
        <v>55</v>
      </c>
      <c r="BD39" s="53"/>
      <c r="BE39" s="53">
        <v>1750</v>
      </c>
      <c r="BF39" s="53"/>
      <c r="BG39" s="53">
        <v>0</v>
      </c>
      <c r="BH39" s="53"/>
      <c r="BI39" s="53">
        <v>731541</v>
      </c>
      <c r="BJ39" s="53"/>
      <c r="BK39" s="53">
        <v>69898</v>
      </c>
      <c r="BL39" s="53"/>
      <c r="BM39" s="53">
        <f t="shared" si="6"/>
        <v>803189</v>
      </c>
      <c r="BN39" s="54" t="s">
        <v>347</v>
      </c>
      <c r="BR39" s="51"/>
      <c r="BS39" s="53"/>
      <c r="BT39" s="53"/>
      <c r="BU39" s="53"/>
      <c r="BV39" s="53"/>
      <c r="BW39" s="53"/>
      <c r="BX39" s="45"/>
      <c r="BY39" s="45"/>
      <c r="BZ39" s="53"/>
      <c r="CA39" s="53"/>
      <c r="CB39" s="53"/>
      <c r="CC39" s="53"/>
      <c r="CD39" s="53"/>
      <c r="CE39" s="53"/>
      <c r="CF39" s="35"/>
      <c r="CH39" s="35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4"/>
    </row>
    <row r="40" spans="1:97" s="55" customFormat="1" ht="12.75" customHeight="1">
      <c r="A40" s="35" t="s">
        <v>56</v>
      </c>
      <c r="B40" s="51"/>
      <c r="C40" s="35" t="s">
        <v>57</v>
      </c>
      <c r="D40" s="44"/>
      <c r="E40" s="53">
        <f t="shared" si="0"/>
        <v>583180</v>
      </c>
      <c r="F40" s="53"/>
      <c r="G40" s="53">
        <v>6565100</v>
      </c>
      <c r="H40" s="53"/>
      <c r="I40" s="53">
        <v>7148280</v>
      </c>
      <c r="J40" s="53"/>
      <c r="K40" s="53">
        <f t="shared" si="1"/>
        <v>898010</v>
      </c>
      <c r="L40" s="53"/>
      <c r="M40" s="53">
        <v>4837636</v>
      </c>
      <c r="N40" s="53"/>
      <c r="O40" s="53">
        <v>5735646</v>
      </c>
      <c r="P40" s="53"/>
      <c r="Q40" s="53">
        <v>1139741</v>
      </c>
      <c r="R40" s="53"/>
      <c r="S40" s="53">
        <v>0</v>
      </c>
      <c r="T40" s="53"/>
      <c r="U40" s="53">
        <v>272893</v>
      </c>
      <c r="V40" s="53"/>
      <c r="W40" s="53">
        <f t="shared" si="2"/>
        <v>1412634</v>
      </c>
      <c r="X40" s="53"/>
      <c r="Y40" s="35" t="s">
        <v>56</v>
      </c>
      <c r="AA40" s="35" t="s">
        <v>57</v>
      </c>
      <c r="AB40" s="35"/>
      <c r="AC40" s="53">
        <v>1714509</v>
      </c>
      <c r="AD40" s="53"/>
      <c r="AE40" s="53">
        <f>1355555-413079</f>
        <v>942476</v>
      </c>
      <c r="AF40" s="53"/>
      <c r="AG40" s="53">
        <v>413079</v>
      </c>
      <c r="AH40" s="53"/>
      <c r="AI40" s="45">
        <f t="shared" si="3"/>
        <v>358954</v>
      </c>
      <c r="AJ40" s="45"/>
      <c r="AK40" s="53">
        <v>-326374</v>
      </c>
      <c r="AL40" s="45"/>
      <c r="AM40" s="53">
        <v>0</v>
      </c>
      <c r="AN40" s="53"/>
      <c r="AO40" s="53">
        <v>3100</v>
      </c>
      <c r="AP40" s="53"/>
      <c r="AQ40" s="53">
        <v>0</v>
      </c>
      <c r="AR40" s="53"/>
      <c r="AS40" s="45">
        <f t="shared" si="4"/>
        <v>29480</v>
      </c>
      <c r="AT40" s="45"/>
      <c r="AU40" s="53">
        <v>0</v>
      </c>
      <c r="AV40" s="53"/>
      <c r="AW40" s="53">
        <v>0</v>
      </c>
      <c r="AX40" s="53"/>
      <c r="AY40" s="53">
        <f t="shared" si="5"/>
        <v>-314830</v>
      </c>
      <c r="AZ40" s="53"/>
      <c r="BA40" s="35" t="s">
        <v>56</v>
      </c>
      <c r="BC40" s="35" t="s">
        <v>57</v>
      </c>
      <c r="BD40" s="53"/>
      <c r="BE40" s="53">
        <v>1581039</v>
      </c>
      <c r="BF40" s="53"/>
      <c r="BG40" s="53">
        <v>0</v>
      </c>
      <c r="BH40" s="53"/>
      <c r="BI40" s="53">
        <f>6491+3999917</f>
        <v>4006408</v>
      </c>
      <c r="BJ40" s="53"/>
      <c r="BK40" s="53">
        <f>133295+152297</f>
        <v>285592</v>
      </c>
      <c r="BL40" s="53"/>
      <c r="BM40" s="53">
        <f t="shared" si="6"/>
        <v>5873039</v>
      </c>
      <c r="BN40" s="54" t="s">
        <v>347</v>
      </c>
      <c r="BO40" s="55" t="s">
        <v>404</v>
      </c>
      <c r="BR40" s="51"/>
      <c r="BS40" s="53"/>
      <c r="BT40" s="53"/>
      <c r="BU40" s="53"/>
      <c r="BV40" s="53"/>
      <c r="BW40" s="53"/>
      <c r="BX40" s="45"/>
      <c r="BY40" s="45"/>
      <c r="BZ40" s="53"/>
      <c r="CA40" s="53"/>
      <c r="CB40" s="53"/>
      <c r="CC40" s="53"/>
      <c r="CD40" s="53"/>
      <c r="CE40" s="53"/>
      <c r="CF40" s="35"/>
      <c r="CH40" s="35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4"/>
    </row>
    <row r="41" spans="1:97" s="55" customFormat="1" ht="12.75" customHeight="1">
      <c r="A41" s="35" t="s">
        <v>58</v>
      </c>
      <c r="B41" s="51"/>
      <c r="C41" s="35" t="s">
        <v>59</v>
      </c>
      <c r="D41" s="44"/>
      <c r="E41" s="53">
        <f t="shared" si="0"/>
        <v>3316264</v>
      </c>
      <c r="F41" s="53"/>
      <c r="G41" s="53">
        <v>9228910</v>
      </c>
      <c r="H41" s="53"/>
      <c r="I41" s="53">
        <v>12545174</v>
      </c>
      <c r="J41" s="53"/>
      <c r="K41" s="53">
        <f t="shared" si="1"/>
        <v>586758</v>
      </c>
      <c r="L41" s="53"/>
      <c r="M41" s="53">
        <v>1241767</v>
      </c>
      <c r="N41" s="53"/>
      <c r="O41" s="53">
        <v>1828525</v>
      </c>
      <c r="P41" s="53"/>
      <c r="Q41" s="53">
        <v>7598687</v>
      </c>
      <c r="R41" s="53"/>
      <c r="S41" s="53">
        <v>0</v>
      </c>
      <c r="T41" s="53"/>
      <c r="U41" s="53">
        <v>3117962</v>
      </c>
      <c r="V41" s="53"/>
      <c r="W41" s="53">
        <f t="shared" si="2"/>
        <v>10716649</v>
      </c>
      <c r="X41" s="53"/>
      <c r="Y41" s="35" t="s">
        <v>58</v>
      </c>
      <c r="AA41" s="35" t="s">
        <v>59</v>
      </c>
      <c r="AB41" s="35"/>
      <c r="AC41" s="53">
        <v>2618525</v>
      </c>
      <c r="AD41" s="53"/>
      <c r="AE41" s="53">
        <f>1851255-310993</f>
        <v>1540262</v>
      </c>
      <c r="AF41" s="53"/>
      <c r="AG41" s="53">
        <v>310993</v>
      </c>
      <c r="AH41" s="53"/>
      <c r="AI41" s="45">
        <f t="shared" si="3"/>
        <v>767270</v>
      </c>
      <c r="AJ41" s="45"/>
      <c r="AK41" s="53">
        <v>-82229</v>
      </c>
      <c r="AL41" s="45"/>
      <c r="AM41" s="53">
        <v>0</v>
      </c>
      <c r="AN41" s="53"/>
      <c r="AO41" s="53">
        <v>0</v>
      </c>
      <c r="AP41" s="53"/>
      <c r="AQ41" s="53">
        <v>0</v>
      </c>
      <c r="AR41" s="53"/>
      <c r="AS41" s="45">
        <f t="shared" si="4"/>
        <v>685041</v>
      </c>
      <c r="AT41" s="45"/>
      <c r="AU41" s="53">
        <v>0</v>
      </c>
      <c r="AV41" s="53"/>
      <c r="AW41" s="53">
        <v>0</v>
      </c>
      <c r="AX41" s="53"/>
      <c r="AY41" s="53">
        <f t="shared" si="5"/>
        <v>2729506</v>
      </c>
      <c r="AZ41" s="53"/>
      <c r="BA41" s="35" t="s">
        <v>58</v>
      </c>
      <c r="BC41" s="35" t="s">
        <v>59</v>
      </c>
      <c r="BD41" s="53"/>
      <c r="BE41" s="53">
        <v>0</v>
      </c>
      <c r="BF41" s="53"/>
      <c r="BG41" s="53">
        <v>0</v>
      </c>
      <c r="BH41" s="53"/>
      <c r="BI41" s="53">
        <v>1175838</v>
      </c>
      <c r="BJ41" s="53"/>
      <c r="BK41" s="53">
        <f>50377+15552</f>
        <v>65929</v>
      </c>
      <c r="BL41" s="53"/>
      <c r="BM41" s="53">
        <f t="shared" si="6"/>
        <v>1241767</v>
      </c>
      <c r="BN41" s="54" t="s">
        <v>347</v>
      </c>
      <c r="BR41" s="51"/>
      <c r="BS41" s="53"/>
      <c r="BT41" s="53"/>
      <c r="BU41" s="53"/>
      <c r="BV41" s="53"/>
      <c r="BW41" s="53"/>
      <c r="BX41" s="45"/>
      <c r="BY41" s="45"/>
      <c r="BZ41" s="53"/>
      <c r="CA41" s="53"/>
      <c r="CB41" s="53"/>
      <c r="CC41" s="53"/>
      <c r="CD41" s="53"/>
      <c r="CE41" s="53"/>
      <c r="CF41" s="35"/>
      <c r="CH41" s="35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4"/>
    </row>
    <row r="42" spans="1:97" s="159" customFormat="1" ht="12.75" hidden="1" customHeight="1">
      <c r="A42" s="137" t="s">
        <v>477</v>
      </c>
      <c r="B42" s="140"/>
      <c r="C42" s="142" t="s">
        <v>15</v>
      </c>
      <c r="D42" s="137"/>
      <c r="E42" s="156">
        <f>I42-G42</f>
        <v>0</v>
      </c>
      <c r="F42" s="156"/>
      <c r="G42" s="156"/>
      <c r="H42" s="156"/>
      <c r="I42" s="156"/>
      <c r="J42" s="156"/>
      <c r="K42" s="156">
        <f>O42-M42</f>
        <v>0</v>
      </c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>
        <f t="shared" si="2"/>
        <v>0</v>
      </c>
      <c r="X42" s="156"/>
      <c r="Y42" s="137" t="s">
        <v>62</v>
      </c>
      <c r="AA42" s="142" t="s">
        <v>15</v>
      </c>
      <c r="AB42" s="142"/>
      <c r="AC42" s="156"/>
      <c r="AD42" s="156"/>
      <c r="AE42" s="156"/>
      <c r="AF42" s="156"/>
      <c r="AG42" s="156"/>
      <c r="AH42" s="156"/>
      <c r="AI42" s="143">
        <f>+AC42-AE42-AG42</f>
        <v>0</v>
      </c>
      <c r="AJ42" s="143"/>
      <c r="AK42" s="156"/>
      <c r="AL42" s="143"/>
      <c r="AM42" s="156"/>
      <c r="AN42" s="156"/>
      <c r="AO42" s="156"/>
      <c r="AP42" s="156"/>
      <c r="AQ42" s="156"/>
      <c r="AR42" s="156"/>
      <c r="AS42" s="143">
        <f>+AI42+AK42+AM42-AO42+AQ42</f>
        <v>0</v>
      </c>
      <c r="AT42" s="143"/>
      <c r="AU42" s="156">
        <v>0</v>
      </c>
      <c r="AV42" s="156"/>
      <c r="AW42" s="156">
        <v>0</v>
      </c>
      <c r="AX42" s="156"/>
      <c r="AY42" s="156">
        <f>+E42-K42</f>
        <v>0</v>
      </c>
      <c r="AZ42" s="156"/>
      <c r="BA42" s="137" t="s">
        <v>62</v>
      </c>
      <c r="BC42" s="142" t="s">
        <v>15</v>
      </c>
      <c r="BD42" s="156"/>
      <c r="BE42" s="156"/>
      <c r="BF42" s="156"/>
      <c r="BG42" s="156"/>
      <c r="BH42" s="156"/>
      <c r="BI42" s="156"/>
      <c r="BJ42" s="156"/>
      <c r="BK42" s="156"/>
      <c r="BL42" s="156"/>
      <c r="BM42" s="156">
        <f>SUM(BE42:BK42)</f>
        <v>0</v>
      </c>
      <c r="BN42" s="158" t="s">
        <v>347</v>
      </c>
      <c r="BR42" s="140"/>
      <c r="BS42" s="156"/>
      <c r="BT42" s="156"/>
      <c r="BU42" s="156"/>
      <c r="BV42" s="156"/>
      <c r="BW42" s="143"/>
      <c r="BX42" s="143"/>
      <c r="BY42" s="156"/>
      <c r="BZ42" s="156"/>
      <c r="CA42" s="156"/>
      <c r="CB42" s="156"/>
      <c r="CC42" s="156"/>
      <c r="CD42" s="156"/>
      <c r="CE42" s="156"/>
      <c r="CF42" s="142"/>
      <c r="CH42" s="142"/>
      <c r="CI42" s="156"/>
      <c r="CJ42" s="156"/>
      <c r="CK42" s="156"/>
      <c r="CL42" s="156"/>
      <c r="CM42" s="156"/>
      <c r="CN42" s="156"/>
      <c r="CO42" s="156"/>
      <c r="CP42" s="156"/>
      <c r="CQ42" s="156"/>
      <c r="CR42" s="156"/>
      <c r="CS42" s="158"/>
    </row>
    <row r="43" spans="1:97" s="159" customFormat="1" ht="12.75" hidden="1" customHeight="1">
      <c r="A43" s="142" t="s">
        <v>60</v>
      </c>
      <c r="C43" s="142" t="s">
        <v>61</v>
      </c>
      <c r="D43" s="137"/>
      <c r="E43" s="156">
        <f t="shared" si="0"/>
        <v>0</v>
      </c>
      <c r="F43" s="156"/>
      <c r="G43" s="156"/>
      <c r="H43" s="156"/>
      <c r="I43" s="156"/>
      <c r="J43" s="156"/>
      <c r="K43" s="156">
        <f t="shared" si="1"/>
        <v>0</v>
      </c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>
        <f t="shared" ref="W43:W71" si="7">SUM(Q43:U43)</f>
        <v>0</v>
      </c>
      <c r="X43" s="156"/>
      <c r="Y43" s="142" t="s">
        <v>60</v>
      </c>
      <c r="AA43" s="142" t="s">
        <v>61</v>
      </c>
      <c r="AB43" s="142"/>
      <c r="AC43" s="156"/>
      <c r="AD43" s="156"/>
      <c r="AE43" s="156"/>
      <c r="AF43" s="156"/>
      <c r="AG43" s="156"/>
      <c r="AH43" s="156"/>
      <c r="AI43" s="143">
        <f t="shared" si="3"/>
        <v>0</v>
      </c>
      <c r="AJ43" s="143"/>
      <c r="AK43" s="156"/>
      <c r="AL43" s="143"/>
      <c r="AM43" s="156"/>
      <c r="AN43" s="156"/>
      <c r="AO43" s="156"/>
      <c r="AP43" s="156"/>
      <c r="AQ43" s="156"/>
      <c r="AR43" s="156"/>
      <c r="AS43" s="143">
        <f t="shared" si="4"/>
        <v>0</v>
      </c>
      <c r="AT43" s="143"/>
      <c r="AU43" s="156">
        <v>0</v>
      </c>
      <c r="AV43" s="156"/>
      <c r="AW43" s="156">
        <v>0</v>
      </c>
      <c r="AX43" s="156"/>
      <c r="AY43" s="156">
        <f t="shared" si="5"/>
        <v>0</v>
      </c>
      <c r="AZ43" s="156"/>
      <c r="BA43" s="142" t="s">
        <v>60</v>
      </c>
      <c r="BC43" s="142" t="s">
        <v>61</v>
      </c>
      <c r="BD43" s="156"/>
      <c r="BE43" s="156"/>
      <c r="BF43" s="156"/>
      <c r="BG43" s="156"/>
      <c r="BH43" s="156"/>
      <c r="BI43" s="156"/>
      <c r="BJ43" s="156"/>
      <c r="BK43" s="156"/>
      <c r="BL43" s="156"/>
      <c r="BM43" s="156">
        <f t="shared" si="6"/>
        <v>0</v>
      </c>
      <c r="BN43" s="158" t="s">
        <v>347</v>
      </c>
      <c r="BR43" s="140"/>
      <c r="BS43" s="156"/>
      <c r="BT43" s="156"/>
      <c r="BU43" s="156"/>
      <c r="BV43" s="156"/>
      <c r="BW43" s="156"/>
      <c r="BX43" s="143"/>
      <c r="BY43" s="143"/>
      <c r="BZ43" s="156"/>
      <c r="CA43" s="156"/>
      <c r="CB43" s="156"/>
      <c r="CC43" s="156"/>
      <c r="CD43" s="156"/>
      <c r="CE43" s="156"/>
      <c r="CF43" s="142"/>
      <c r="CH43" s="142"/>
      <c r="CI43" s="156"/>
      <c r="CJ43" s="156"/>
      <c r="CK43" s="156"/>
      <c r="CL43" s="156"/>
      <c r="CM43" s="156"/>
      <c r="CN43" s="156"/>
      <c r="CO43" s="156"/>
      <c r="CP43" s="156"/>
      <c r="CQ43" s="156"/>
      <c r="CR43" s="156"/>
      <c r="CS43" s="158"/>
    </row>
    <row r="44" spans="1:97" s="55" customFormat="1" ht="12.75" customHeight="1">
      <c r="A44" s="44" t="s">
        <v>62</v>
      </c>
      <c r="B44" s="51"/>
      <c r="C44" s="35" t="s">
        <v>15</v>
      </c>
      <c r="D44" s="44"/>
      <c r="E44" s="53">
        <f t="shared" si="0"/>
        <v>11126948</v>
      </c>
      <c r="F44" s="53"/>
      <c r="G44" s="53">
        <v>46698395</v>
      </c>
      <c r="H44" s="53"/>
      <c r="I44" s="53">
        <v>57825343</v>
      </c>
      <c r="J44" s="53"/>
      <c r="K44" s="53">
        <f t="shared" si="1"/>
        <v>2899673</v>
      </c>
      <c r="L44" s="53"/>
      <c r="M44" s="53">
        <v>11214554</v>
      </c>
      <c r="N44" s="53"/>
      <c r="O44" s="53">
        <v>14114227</v>
      </c>
      <c r="P44" s="53"/>
      <c r="Q44" s="53">
        <v>35713388</v>
      </c>
      <c r="R44" s="53"/>
      <c r="S44" s="53">
        <v>0</v>
      </c>
      <c r="T44" s="53"/>
      <c r="U44" s="53">
        <v>7997728</v>
      </c>
      <c r="V44" s="53"/>
      <c r="W44" s="53">
        <f t="shared" si="7"/>
        <v>43711116</v>
      </c>
      <c r="X44" s="53"/>
      <c r="Y44" s="44" t="s">
        <v>62</v>
      </c>
      <c r="AA44" s="35" t="s">
        <v>15</v>
      </c>
      <c r="AB44" s="35"/>
      <c r="AC44" s="53">
        <v>10603629</v>
      </c>
      <c r="AD44" s="53"/>
      <c r="AE44" s="53">
        <f>11152243-2383862</f>
        <v>8768381</v>
      </c>
      <c r="AF44" s="53"/>
      <c r="AG44" s="53">
        <v>2383862</v>
      </c>
      <c r="AH44" s="53"/>
      <c r="AI44" s="45">
        <f t="shared" si="3"/>
        <v>-548614</v>
      </c>
      <c r="AJ44" s="45"/>
      <c r="AK44" s="53">
        <v>-337725</v>
      </c>
      <c r="AL44" s="45"/>
      <c r="AM44" s="53">
        <v>0</v>
      </c>
      <c r="AN44" s="53"/>
      <c r="AO44" s="53">
        <v>0</v>
      </c>
      <c r="AP44" s="53"/>
      <c r="AQ44" s="53">
        <v>130981</v>
      </c>
      <c r="AR44" s="53"/>
      <c r="AS44" s="45">
        <f t="shared" si="4"/>
        <v>-755358</v>
      </c>
      <c r="AT44" s="45"/>
      <c r="AU44" s="53">
        <v>0</v>
      </c>
      <c r="AV44" s="53"/>
      <c r="AW44" s="53">
        <v>0</v>
      </c>
      <c r="AX44" s="53"/>
      <c r="AY44" s="53">
        <f t="shared" si="5"/>
        <v>8227275</v>
      </c>
      <c r="AZ44" s="53"/>
      <c r="BA44" s="44" t="s">
        <v>62</v>
      </c>
      <c r="BC44" s="35" t="s">
        <v>15</v>
      </c>
      <c r="BD44" s="53"/>
      <c r="BE44" s="53">
        <v>0</v>
      </c>
      <c r="BF44" s="53"/>
      <c r="BG44" s="53">
        <v>0</v>
      </c>
      <c r="BH44" s="53"/>
      <c r="BI44" s="53">
        <v>0</v>
      </c>
      <c r="BJ44" s="53"/>
      <c r="BK44" s="53">
        <v>11214554</v>
      </c>
      <c r="BL44" s="53"/>
      <c r="BM44" s="53">
        <f t="shared" si="6"/>
        <v>11214554</v>
      </c>
      <c r="BN44" s="54" t="s">
        <v>347</v>
      </c>
      <c r="BR44" s="51"/>
      <c r="BS44" s="53"/>
      <c r="BT44" s="53"/>
      <c r="BU44" s="53"/>
      <c r="BV44" s="53"/>
      <c r="BW44" s="45"/>
      <c r="BX44" s="45"/>
      <c r="BY44" s="53"/>
      <c r="BZ44" s="53"/>
      <c r="CA44" s="53"/>
      <c r="CB44" s="53"/>
      <c r="CC44" s="53"/>
      <c r="CD44" s="53"/>
      <c r="CE44" s="53"/>
      <c r="CF44" s="35"/>
      <c r="CH44" s="35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4"/>
    </row>
    <row r="45" spans="1:97" s="159" customFormat="1" ht="12.75" hidden="1" customHeight="1">
      <c r="A45" s="142" t="s">
        <v>486</v>
      </c>
      <c r="B45" s="140"/>
      <c r="C45" s="142" t="s">
        <v>111</v>
      </c>
      <c r="D45" s="137"/>
      <c r="E45" s="156">
        <f>I45-G45</f>
        <v>0</v>
      </c>
      <c r="F45" s="156"/>
      <c r="G45" s="156">
        <v>0</v>
      </c>
      <c r="H45" s="156"/>
      <c r="I45" s="156">
        <v>0</v>
      </c>
      <c r="J45" s="156"/>
      <c r="K45" s="156">
        <f>O45-M45</f>
        <v>0</v>
      </c>
      <c r="L45" s="156"/>
      <c r="M45" s="156">
        <v>0</v>
      </c>
      <c r="N45" s="156"/>
      <c r="O45" s="156">
        <v>0</v>
      </c>
      <c r="P45" s="156"/>
      <c r="Q45" s="156">
        <v>0</v>
      </c>
      <c r="R45" s="156"/>
      <c r="S45" s="156">
        <v>0</v>
      </c>
      <c r="T45" s="156"/>
      <c r="U45" s="156">
        <v>0</v>
      </c>
      <c r="V45" s="156"/>
      <c r="W45" s="156">
        <f>SUM(Q45:U45)</f>
        <v>0</v>
      </c>
      <c r="X45" s="156"/>
      <c r="Y45" s="142" t="s">
        <v>63</v>
      </c>
      <c r="AA45" s="142" t="s">
        <v>64</v>
      </c>
      <c r="AB45" s="142"/>
      <c r="AC45" s="156">
        <v>0</v>
      </c>
      <c r="AD45" s="156"/>
      <c r="AE45" s="156">
        <v>0</v>
      </c>
      <c r="AF45" s="156"/>
      <c r="AG45" s="156">
        <v>0</v>
      </c>
      <c r="AH45" s="156"/>
      <c r="AI45" s="143">
        <f>+AC45-AE45-AG45</f>
        <v>0</v>
      </c>
      <c r="AJ45" s="143"/>
      <c r="AK45" s="156">
        <v>0</v>
      </c>
      <c r="AL45" s="143"/>
      <c r="AM45" s="156">
        <v>0</v>
      </c>
      <c r="AN45" s="156"/>
      <c r="AO45" s="156">
        <v>0</v>
      </c>
      <c r="AP45" s="156"/>
      <c r="AQ45" s="156">
        <v>0</v>
      </c>
      <c r="AR45" s="156"/>
      <c r="AS45" s="143">
        <f>+AI45+AK45+AM45-AO45+AQ45</f>
        <v>0</v>
      </c>
      <c r="AT45" s="143"/>
      <c r="AU45" s="156">
        <v>0</v>
      </c>
      <c r="AV45" s="156"/>
      <c r="AW45" s="156">
        <v>0</v>
      </c>
      <c r="AX45" s="156"/>
      <c r="AY45" s="156">
        <f>+E45-K45</f>
        <v>0</v>
      </c>
      <c r="AZ45" s="156"/>
      <c r="BA45" s="142" t="s">
        <v>63</v>
      </c>
      <c r="BC45" s="142" t="s">
        <v>64</v>
      </c>
      <c r="BD45" s="156"/>
      <c r="BE45" s="156">
        <v>0</v>
      </c>
      <c r="BF45" s="156"/>
      <c r="BG45" s="156">
        <v>0</v>
      </c>
      <c r="BH45" s="156"/>
      <c r="BI45" s="156">
        <v>0</v>
      </c>
      <c r="BJ45" s="156"/>
      <c r="BK45" s="156">
        <v>0</v>
      </c>
      <c r="BL45" s="156"/>
      <c r="BM45" s="156">
        <f>SUM(BE45:BK45)</f>
        <v>0</v>
      </c>
      <c r="BN45" s="158" t="s">
        <v>347</v>
      </c>
      <c r="BO45" s="159" t="s">
        <v>405</v>
      </c>
      <c r="BR45" s="140"/>
      <c r="BS45" s="156"/>
      <c r="BT45" s="156"/>
      <c r="BU45" s="156"/>
      <c r="BV45" s="156"/>
      <c r="BW45" s="143"/>
      <c r="BX45" s="143"/>
      <c r="BY45" s="156"/>
      <c r="BZ45" s="156"/>
      <c r="CA45" s="156"/>
      <c r="CB45" s="156"/>
      <c r="CC45" s="156"/>
      <c r="CD45" s="156"/>
      <c r="CE45" s="156"/>
      <c r="CF45" s="142"/>
      <c r="CH45" s="142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8"/>
    </row>
    <row r="46" spans="1:97" s="55" customFormat="1" ht="12.75" customHeight="1">
      <c r="A46" s="35" t="s">
        <v>63</v>
      </c>
      <c r="B46" s="51"/>
      <c r="C46" s="35" t="s">
        <v>64</v>
      </c>
      <c r="D46" s="44"/>
      <c r="E46" s="53">
        <f t="shared" si="0"/>
        <v>1755308</v>
      </c>
      <c r="F46" s="53"/>
      <c r="G46" s="53">
        <v>5379126</v>
      </c>
      <c r="H46" s="53"/>
      <c r="I46" s="53">
        <v>7134434</v>
      </c>
      <c r="J46" s="53"/>
      <c r="K46" s="53">
        <f t="shared" si="1"/>
        <v>590849</v>
      </c>
      <c r="L46" s="53"/>
      <c r="M46" s="53">
        <v>3558255</v>
      </c>
      <c r="N46" s="53"/>
      <c r="O46" s="53">
        <v>4149104</v>
      </c>
      <c r="P46" s="53"/>
      <c r="Q46" s="53">
        <v>1470715</v>
      </c>
      <c r="R46" s="53"/>
      <c r="S46" s="53">
        <v>936097</v>
      </c>
      <c r="T46" s="53"/>
      <c r="U46" s="53">
        <v>578518</v>
      </c>
      <c r="V46" s="53"/>
      <c r="W46" s="53">
        <f t="shared" si="7"/>
        <v>2985330</v>
      </c>
      <c r="X46" s="53"/>
      <c r="Y46" s="35" t="s">
        <v>63</v>
      </c>
      <c r="AA46" s="35" t="s">
        <v>64</v>
      </c>
      <c r="AB46" s="35"/>
      <c r="AC46" s="53">
        <v>1678553</v>
      </c>
      <c r="AD46" s="53"/>
      <c r="AE46" s="53">
        <v>1021646</v>
      </c>
      <c r="AF46" s="53"/>
      <c r="AG46" s="53">
        <v>284492</v>
      </c>
      <c r="AH46" s="53"/>
      <c r="AI46" s="45">
        <f t="shared" si="3"/>
        <v>372415</v>
      </c>
      <c r="AJ46" s="45"/>
      <c r="AK46" s="53">
        <v>-141484</v>
      </c>
      <c r="AL46" s="45"/>
      <c r="AM46" s="53">
        <v>8721</v>
      </c>
      <c r="AN46" s="53"/>
      <c r="AO46" s="53">
        <v>7030</v>
      </c>
      <c r="AP46" s="53"/>
      <c r="AQ46" s="53">
        <v>37118</v>
      </c>
      <c r="AR46" s="53"/>
      <c r="AS46" s="45">
        <f t="shared" si="4"/>
        <v>269740</v>
      </c>
      <c r="AT46" s="45"/>
      <c r="AU46" s="53">
        <v>0</v>
      </c>
      <c r="AV46" s="53"/>
      <c r="AW46" s="53">
        <v>0</v>
      </c>
      <c r="AX46" s="53"/>
      <c r="AY46" s="53">
        <f t="shared" si="5"/>
        <v>1164459</v>
      </c>
      <c r="AZ46" s="53"/>
      <c r="BA46" s="35" t="s">
        <v>63</v>
      </c>
      <c r="BC46" s="35" t="s">
        <v>64</v>
      </c>
      <c r="BD46" s="53"/>
      <c r="BE46" s="53">
        <v>1114222</v>
      </c>
      <c r="BF46" s="53"/>
      <c r="BG46" s="53">
        <v>2429189</v>
      </c>
      <c r="BH46" s="53"/>
      <c r="BI46" s="53">
        <v>0</v>
      </c>
      <c r="BJ46" s="53"/>
      <c r="BK46" s="53">
        <v>14844</v>
      </c>
      <c r="BL46" s="53"/>
      <c r="BM46" s="53">
        <f t="shared" si="6"/>
        <v>3558255</v>
      </c>
      <c r="BN46" s="54" t="s">
        <v>347</v>
      </c>
      <c r="BO46" s="55" t="s">
        <v>405</v>
      </c>
      <c r="BR46" s="51"/>
      <c r="BS46" s="53"/>
      <c r="BT46" s="53"/>
      <c r="BU46" s="53"/>
      <c r="BV46" s="53"/>
      <c r="BW46" s="45"/>
      <c r="BX46" s="45"/>
      <c r="BY46" s="53"/>
      <c r="BZ46" s="53"/>
      <c r="CA46" s="53"/>
      <c r="CB46" s="53"/>
      <c r="CC46" s="53"/>
      <c r="CD46" s="53"/>
      <c r="CE46" s="53"/>
      <c r="CF46" s="35"/>
      <c r="CH46" s="35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4"/>
    </row>
    <row r="47" spans="1:97" s="55" customFormat="1" ht="12.75" customHeight="1">
      <c r="A47" s="35" t="s">
        <v>65</v>
      </c>
      <c r="B47" s="51"/>
      <c r="C47" s="35" t="s">
        <v>66</v>
      </c>
      <c r="D47" s="44"/>
      <c r="E47" s="53">
        <f t="shared" si="0"/>
        <v>638673</v>
      </c>
      <c r="F47" s="53"/>
      <c r="G47" s="53">
        <f>65779+2439+5227+7970</f>
        <v>81415</v>
      </c>
      <c r="H47" s="53"/>
      <c r="I47" s="53">
        <v>720088</v>
      </c>
      <c r="J47" s="53"/>
      <c r="K47" s="53">
        <f t="shared" si="1"/>
        <v>375805</v>
      </c>
      <c r="L47" s="53"/>
      <c r="M47" s="53">
        <v>1538</v>
      </c>
      <c r="N47" s="53"/>
      <c r="O47" s="53">
        <v>377343</v>
      </c>
      <c r="P47" s="53"/>
      <c r="Q47" s="53">
        <v>0</v>
      </c>
      <c r="R47" s="53"/>
      <c r="S47" s="53">
        <v>0</v>
      </c>
      <c r="T47" s="53"/>
      <c r="U47" s="53">
        <v>342745</v>
      </c>
      <c r="V47" s="53"/>
      <c r="W47" s="53">
        <f t="shared" si="7"/>
        <v>342745</v>
      </c>
      <c r="X47" s="53"/>
      <c r="Y47" s="35" t="s">
        <v>65</v>
      </c>
      <c r="AA47" s="35" t="s">
        <v>66</v>
      </c>
      <c r="AB47" s="35"/>
      <c r="AC47" s="53">
        <v>1336419</v>
      </c>
      <c r="AD47" s="53"/>
      <c r="AE47" s="53">
        <f>1246915-206</f>
        <v>1246709</v>
      </c>
      <c r="AF47" s="53"/>
      <c r="AG47" s="53">
        <v>206</v>
      </c>
      <c r="AH47" s="53"/>
      <c r="AI47" s="45">
        <f t="shared" si="3"/>
        <v>89504</v>
      </c>
      <c r="AJ47" s="45"/>
      <c r="AK47" s="53">
        <v>34056</v>
      </c>
      <c r="AL47" s="45"/>
      <c r="AM47" s="53">
        <v>0</v>
      </c>
      <c r="AN47" s="53"/>
      <c r="AO47" s="53">
        <v>0</v>
      </c>
      <c r="AP47" s="53"/>
      <c r="AQ47" s="53">
        <v>0</v>
      </c>
      <c r="AR47" s="53"/>
      <c r="AS47" s="45">
        <f t="shared" si="4"/>
        <v>123560</v>
      </c>
      <c r="AT47" s="45"/>
      <c r="AU47" s="53">
        <v>0</v>
      </c>
      <c r="AV47" s="53"/>
      <c r="AW47" s="53">
        <v>0</v>
      </c>
      <c r="AX47" s="53"/>
      <c r="AY47" s="53">
        <f t="shared" si="5"/>
        <v>262868</v>
      </c>
      <c r="AZ47" s="53"/>
      <c r="BA47" s="35" t="s">
        <v>65</v>
      </c>
      <c r="BC47" s="35" t="s">
        <v>66</v>
      </c>
      <c r="BD47" s="53"/>
      <c r="BE47" s="53">
        <v>0</v>
      </c>
      <c r="BF47" s="53"/>
      <c r="BG47" s="53">
        <v>0</v>
      </c>
      <c r="BH47" s="53"/>
      <c r="BI47" s="53">
        <v>0</v>
      </c>
      <c r="BJ47" s="53"/>
      <c r="BK47" s="53">
        <v>15238</v>
      </c>
      <c r="BL47" s="53"/>
      <c r="BM47" s="53">
        <f>SUM(BE47:BL47)</f>
        <v>15238</v>
      </c>
      <c r="BN47" s="54" t="s">
        <v>347</v>
      </c>
      <c r="BR47" s="51"/>
      <c r="BS47" s="53"/>
      <c r="BT47" s="53"/>
      <c r="BU47" s="53"/>
      <c r="BV47" s="53"/>
      <c r="BW47" s="45"/>
      <c r="BX47" s="45"/>
      <c r="BY47" s="53"/>
      <c r="BZ47" s="53"/>
      <c r="CA47" s="53"/>
      <c r="CB47" s="53"/>
      <c r="CC47" s="53"/>
      <c r="CD47" s="53"/>
      <c r="CE47" s="53"/>
      <c r="CF47" s="35"/>
      <c r="CH47" s="35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4"/>
    </row>
    <row r="48" spans="1:97" s="55" customFormat="1" ht="12.75" customHeight="1">
      <c r="A48" s="35" t="s">
        <v>67</v>
      </c>
      <c r="B48" s="51"/>
      <c r="C48" s="35" t="s">
        <v>375</v>
      </c>
      <c r="D48" s="44"/>
      <c r="E48" s="53">
        <f t="shared" si="0"/>
        <v>1343330</v>
      </c>
      <c r="F48" s="53"/>
      <c r="G48" s="53">
        <v>19269797</v>
      </c>
      <c r="H48" s="53"/>
      <c r="I48" s="53">
        <v>20613127</v>
      </c>
      <c r="J48" s="53"/>
      <c r="K48" s="53">
        <f t="shared" si="1"/>
        <v>648405</v>
      </c>
      <c r="L48" s="53"/>
      <c r="M48" s="53">
        <v>11833919</v>
      </c>
      <c r="N48" s="53"/>
      <c r="O48" s="53">
        <v>12482324</v>
      </c>
      <c r="P48" s="53"/>
      <c r="Q48" s="53">
        <v>6888641</v>
      </c>
      <c r="R48" s="53"/>
      <c r="S48" s="53">
        <v>0</v>
      </c>
      <c r="T48" s="53"/>
      <c r="U48" s="53">
        <v>1242162</v>
      </c>
      <c r="V48" s="53"/>
      <c r="W48" s="53">
        <f t="shared" si="7"/>
        <v>8130803</v>
      </c>
      <c r="X48" s="53"/>
      <c r="Y48" s="35" t="s">
        <v>67</v>
      </c>
      <c r="AA48" s="35" t="s">
        <v>375</v>
      </c>
      <c r="AB48" s="35"/>
      <c r="AC48" s="53">
        <v>1382367</v>
      </c>
      <c r="AD48" s="53"/>
      <c r="AE48" s="53">
        <f>1592344-507904</f>
        <v>1084440</v>
      </c>
      <c r="AF48" s="53"/>
      <c r="AG48" s="53">
        <v>507904</v>
      </c>
      <c r="AH48" s="53"/>
      <c r="AI48" s="45">
        <f t="shared" si="3"/>
        <v>-209977</v>
      </c>
      <c r="AJ48" s="45"/>
      <c r="AK48" s="53">
        <v>-338839</v>
      </c>
      <c r="AL48" s="45"/>
      <c r="AM48" s="53">
        <v>762470</v>
      </c>
      <c r="AN48" s="53"/>
      <c r="AO48" s="53">
        <v>0</v>
      </c>
      <c r="AP48" s="53"/>
      <c r="AQ48" s="53">
        <v>1113115</v>
      </c>
      <c r="AR48" s="53"/>
      <c r="AS48" s="45">
        <f t="shared" si="4"/>
        <v>1326769</v>
      </c>
      <c r="AT48" s="45"/>
      <c r="AU48" s="53">
        <v>0</v>
      </c>
      <c r="AV48" s="53"/>
      <c r="AW48" s="53">
        <v>0</v>
      </c>
      <c r="AX48" s="53"/>
      <c r="AY48" s="53">
        <f t="shared" si="5"/>
        <v>694925</v>
      </c>
      <c r="AZ48" s="53"/>
      <c r="BA48" s="35" t="s">
        <v>67</v>
      </c>
      <c r="BC48" s="35" t="s">
        <v>375</v>
      </c>
      <c r="BD48" s="53"/>
      <c r="BE48" s="53">
        <v>0</v>
      </c>
      <c r="BF48" s="53"/>
      <c r="BG48" s="53">
        <v>0</v>
      </c>
      <c r="BH48" s="53"/>
      <c r="BI48" s="53">
        <v>11799772</v>
      </c>
      <c r="BJ48" s="53"/>
      <c r="BK48" s="53">
        <v>34147</v>
      </c>
      <c r="BL48" s="53"/>
      <c r="BM48" s="53">
        <f>SUM(BE48:BK48)</f>
        <v>11833919</v>
      </c>
      <c r="BN48" s="54" t="s">
        <v>347</v>
      </c>
      <c r="BR48" s="51"/>
      <c r="BS48" s="53"/>
      <c r="BT48" s="53"/>
      <c r="BU48" s="53"/>
      <c r="BV48" s="53"/>
      <c r="BW48" s="45"/>
      <c r="BX48" s="45"/>
      <c r="BY48" s="53"/>
      <c r="BZ48" s="53"/>
      <c r="CA48" s="53"/>
      <c r="CB48" s="53"/>
      <c r="CC48" s="53"/>
      <c r="CD48" s="53"/>
      <c r="CE48" s="53"/>
      <c r="CF48" s="35"/>
      <c r="CH48" s="35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4"/>
    </row>
    <row r="49" spans="1:98" s="159" customFormat="1" ht="12.75" hidden="1" customHeight="1">
      <c r="A49" s="142" t="s">
        <v>68</v>
      </c>
      <c r="B49" s="140"/>
      <c r="C49" s="142" t="s">
        <v>45</v>
      </c>
      <c r="D49" s="137"/>
      <c r="E49" s="156">
        <f t="shared" si="0"/>
        <v>0</v>
      </c>
      <c r="F49" s="156"/>
      <c r="G49" s="156">
        <v>0</v>
      </c>
      <c r="H49" s="156"/>
      <c r="I49" s="156">
        <v>0</v>
      </c>
      <c r="J49" s="156"/>
      <c r="K49" s="156">
        <f t="shared" si="1"/>
        <v>0</v>
      </c>
      <c r="L49" s="156"/>
      <c r="M49" s="156">
        <v>0</v>
      </c>
      <c r="N49" s="156"/>
      <c r="O49" s="156">
        <v>0</v>
      </c>
      <c r="P49" s="156"/>
      <c r="Q49" s="156">
        <v>0</v>
      </c>
      <c r="R49" s="156"/>
      <c r="S49" s="156">
        <v>0</v>
      </c>
      <c r="T49" s="156"/>
      <c r="U49" s="156">
        <v>0</v>
      </c>
      <c r="V49" s="156"/>
      <c r="W49" s="156">
        <f t="shared" si="7"/>
        <v>0</v>
      </c>
      <c r="X49" s="156"/>
      <c r="Y49" s="142" t="s">
        <v>68</v>
      </c>
      <c r="AA49" s="142" t="s">
        <v>45</v>
      </c>
      <c r="AB49" s="142"/>
      <c r="AC49" s="156">
        <v>0</v>
      </c>
      <c r="AD49" s="156"/>
      <c r="AE49" s="156">
        <v>0</v>
      </c>
      <c r="AF49" s="156"/>
      <c r="AG49" s="156">
        <v>0</v>
      </c>
      <c r="AH49" s="156"/>
      <c r="AI49" s="143">
        <f t="shared" si="3"/>
        <v>0</v>
      </c>
      <c r="AJ49" s="143"/>
      <c r="AK49" s="156">
        <v>0</v>
      </c>
      <c r="AL49" s="143"/>
      <c r="AM49" s="156">
        <v>0</v>
      </c>
      <c r="AN49" s="156"/>
      <c r="AO49" s="156">
        <v>0</v>
      </c>
      <c r="AP49" s="156"/>
      <c r="AQ49" s="156">
        <v>0</v>
      </c>
      <c r="AR49" s="156"/>
      <c r="AS49" s="143">
        <f t="shared" si="4"/>
        <v>0</v>
      </c>
      <c r="AT49" s="143"/>
      <c r="AU49" s="156">
        <v>0</v>
      </c>
      <c r="AV49" s="156"/>
      <c r="AW49" s="156">
        <v>0</v>
      </c>
      <c r="AX49" s="156"/>
      <c r="AY49" s="156">
        <f t="shared" si="5"/>
        <v>0</v>
      </c>
      <c r="AZ49" s="156"/>
      <c r="BA49" s="142" t="s">
        <v>68</v>
      </c>
      <c r="BC49" s="142" t="s">
        <v>45</v>
      </c>
      <c r="BD49" s="156"/>
      <c r="BE49" s="156">
        <v>0</v>
      </c>
      <c r="BF49" s="156"/>
      <c r="BG49" s="156">
        <v>0</v>
      </c>
      <c r="BH49" s="156"/>
      <c r="BI49" s="156">
        <v>0</v>
      </c>
      <c r="BJ49" s="156"/>
      <c r="BK49" s="156">
        <v>0</v>
      </c>
      <c r="BL49" s="156"/>
      <c r="BM49" s="156">
        <f t="shared" si="6"/>
        <v>0</v>
      </c>
      <c r="BN49" s="158" t="s">
        <v>347</v>
      </c>
      <c r="BR49" s="140"/>
      <c r="BS49" s="156"/>
      <c r="BT49" s="156"/>
      <c r="BU49" s="156"/>
      <c r="BV49" s="156"/>
      <c r="BW49" s="156"/>
      <c r="BX49" s="143"/>
      <c r="BY49" s="143"/>
      <c r="BZ49" s="156"/>
      <c r="CA49" s="156"/>
      <c r="CB49" s="156"/>
      <c r="CC49" s="156"/>
      <c r="CD49" s="156"/>
      <c r="CE49" s="156"/>
      <c r="CF49" s="142"/>
      <c r="CH49" s="142"/>
      <c r="CI49" s="156"/>
      <c r="CJ49" s="156"/>
      <c r="CK49" s="156"/>
      <c r="CL49" s="156"/>
      <c r="CM49" s="156"/>
      <c r="CN49" s="156"/>
      <c r="CO49" s="156"/>
      <c r="CP49" s="156"/>
      <c r="CQ49" s="156"/>
      <c r="CR49" s="156"/>
      <c r="CS49" s="158"/>
    </row>
    <row r="50" spans="1:98" s="55" customFormat="1" ht="12.75" customHeight="1">
      <c r="A50" s="35" t="s">
        <v>69</v>
      </c>
      <c r="B50" s="51"/>
      <c r="C50" s="35" t="s">
        <v>70</v>
      </c>
      <c r="D50" s="44"/>
      <c r="E50" s="53">
        <f t="shared" si="0"/>
        <v>32290801</v>
      </c>
      <c r="F50" s="53"/>
      <c r="G50" s="53">
        <v>19050617</v>
      </c>
      <c r="H50" s="53"/>
      <c r="I50" s="53">
        <v>51341418</v>
      </c>
      <c r="J50" s="53"/>
      <c r="K50" s="53">
        <f t="shared" si="1"/>
        <v>626730</v>
      </c>
      <c r="L50" s="53"/>
      <c r="M50" s="53">
        <v>1946434</v>
      </c>
      <c r="N50" s="53"/>
      <c r="O50" s="53">
        <v>2573164</v>
      </c>
      <c r="P50" s="53"/>
      <c r="Q50" s="53">
        <v>16072951</v>
      </c>
      <c r="R50" s="53"/>
      <c r="S50" s="53">
        <f>324199+618467</f>
        <v>942666</v>
      </c>
      <c r="T50" s="53"/>
      <c r="U50" s="53">
        <v>2524405</v>
      </c>
      <c r="V50" s="53"/>
      <c r="W50" s="53">
        <f t="shared" si="7"/>
        <v>19540022</v>
      </c>
      <c r="X50" s="53"/>
      <c r="Y50" s="35" t="s">
        <v>69</v>
      </c>
      <c r="AA50" s="35" t="s">
        <v>70</v>
      </c>
      <c r="AB50" s="35"/>
      <c r="AC50" s="53">
        <v>3549545</v>
      </c>
      <c r="AD50" s="53"/>
      <c r="AE50" s="53">
        <f>2927068-372441</f>
        <v>2554627</v>
      </c>
      <c r="AF50" s="53"/>
      <c r="AG50" s="53">
        <v>372441</v>
      </c>
      <c r="AH50" s="53"/>
      <c r="AI50" s="45">
        <f t="shared" si="3"/>
        <v>622477</v>
      </c>
      <c r="AJ50" s="45"/>
      <c r="AK50" s="53">
        <v>-75926</v>
      </c>
      <c r="AL50" s="45"/>
      <c r="AM50" s="53">
        <v>30000</v>
      </c>
      <c r="AN50" s="53"/>
      <c r="AO50" s="53">
        <v>5955</v>
      </c>
      <c r="AP50" s="53"/>
      <c r="AQ50" s="53">
        <v>0</v>
      </c>
      <c r="AR50" s="53"/>
      <c r="AS50" s="45">
        <f t="shared" si="4"/>
        <v>570596</v>
      </c>
      <c r="AT50" s="45"/>
      <c r="AU50" s="53">
        <v>0</v>
      </c>
      <c r="AV50" s="53"/>
      <c r="AW50" s="53">
        <v>0</v>
      </c>
      <c r="AX50" s="53"/>
      <c r="AY50" s="53">
        <f t="shared" si="5"/>
        <v>31664071</v>
      </c>
      <c r="AZ50" s="53"/>
      <c r="BA50" s="35" t="s">
        <v>69</v>
      </c>
      <c r="BC50" s="35" t="s">
        <v>70</v>
      </c>
      <c r="BD50" s="53"/>
      <c r="BE50" s="53">
        <v>1685000</v>
      </c>
      <c r="BF50" s="53"/>
      <c r="BG50" s="53">
        <v>0</v>
      </c>
      <c r="BH50" s="53"/>
      <c r="BI50" s="53">
        <v>0</v>
      </c>
      <c r="BJ50" s="53"/>
      <c r="BK50" s="53">
        <v>261434</v>
      </c>
      <c r="BL50" s="53"/>
      <c r="BM50" s="53">
        <f t="shared" si="6"/>
        <v>1946434</v>
      </c>
      <c r="BN50" s="54" t="s">
        <v>347</v>
      </c>
      <c r="BR50" s="51"/>
      <c r="BS50" s="53"/>
      <c r="BT50" s="53"/>
      <c r="BU50" s="53"/>
      <c r="BV50" s="53"/>
      <c r="BW50" s="53"/>
      <c r="BX50" s="45"/>
      <c r="BY50" s="45"/>
      <c r="BZ50" s="53"/>
      <c r="CA50" s="53"/>
      <c r="CB50" s="53"/>
      <c r="CC50" s="53"/>
      <c r="CD50" s="53"/>
      <c r="CE50" s="53"/>
      <c r="CF50" s="35"/>
      <c r="CH50" s="35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4"/>
    </row>
    <row r="51" spans="1:98" s="159" customFormat="1" ht="11.25" hidden="1" customHeight="1">
      <c r="A51" s="142" t="s">
        <v>71</v>
      </c>
      <c r="B51" s="140"/>
      <c r="C51" s="142" t="s">
        <v>45</v>
      </c>
      <c r="D51" s="137"/>
      <c r="E51" s="156">
        <f t="shared" si="0"/>
        <v>0</v>
      </c>
      <c r="F51" s="156"/>
      <c r="G51" s="156">
        <v>0</v>
      </c>
      <c r="H51" s="156"/>
      <c r="I51" s="156">
        <v>0</v>
      </c>
      <c r="J51" s="156"/>
      <c r="K51" s="156">
        <f t="shared" si="1"/>
        <v>0</v>
      </c>
      <c r="L51" s="156"/>
      <c r="M51" s="156">
        <v>0</v>
      </c>
      <c r="N51" s="156"/>
      <c r="O51" s="156">
        <v>0</v>
      </c>
      <c r="P51" s="156"/>
      <c r="Q51" s="156">
        <v>0</v>
      </c>
      <c r="R51" s="156"/>
      <c r="S51" s="156">
        <v>0</v>
      </c>
      <c r="T51" s="156"/>
      <c r="U51" s="156">
        <v>0</v>
      </c>
      <c r="V51" s="156"/>
      <c r="W51" s="156">
        <v>0</v>
      </c>
      <c r="X51" s="156"/>
      <c r="Y51" s="142" t="s">
        <v>71</v>
      </c>
      <c r="AA51" s="142" t="s">
        <v>45</v>
      </c>
      <c r="AB51" s="142"/>
      <c r="AC51" s="156">
        <v>0</v>
      </c>
      <c r="AD51" s="156"/>
      <c r="AE51" s="156">
        <v>0</v>
      </c>
      <c r="AF51" s="156"/>
      <c r="AG51" s="156">
        <v>0</v>
      </c>
      <c r="AH51" s="156"/>
      <c r="AI51" s="143">
        <f t="shared" si="3"/>
        <v>0</v>
      </c>
      <c r="AJ51" s="143"/>
      <c r="AK51" s="156">
        <v>0</v>
      </c>
      <c r="AL51" s="143"/>
      <c r="AM51" s="156">
        <v>0</v>
      </c>
      <c r="AN51" s="156"/>
      <c r="AO51" s="156">
        <v>0</v>
      </c>
      <c r="AP51" s="156"/>
      <c r="AQ51" s="156">
        <v>0</v>
      </c>
      <c r="AR51" s="156"/>
      <c r="AS51" s="143">
        <f t="shared" si="4"/>
        <v>0</v>
      </c>
      <c r="AT51" s="143"/>
      <c r="AU51" s="156">
        <v>0</v>
      </c>
      <c r="AV51" s="156"/>
      <c r="AW51" s="156">
        <v>0</v>
      </c>
      <c r="AX51" s="156"/>
      <c r="AY51" s="156">
        <f t="shared" si="5"/>
        <v>0</v>
      </c>
      <c r="AZ51" s="156"/>
      <c r="BA51" s="142" t="s">
        <v>71</v>
      </c>
      <c r="BC51" s="142" t="s">
        <v>45</v>
      </c>
      <c r="BD51" s="156"/>
      <c r="BE51" s="156">
        <v>0</v>
      </c>
      <c r="BF51" s="156"/>
      <c r="BG51" s="156">
        <v>0</v>
      </c>
      <c r="BH51" s="156"/>
      <c r="BI51" s="156">
        <v>0</v>
      </c>
      <c r="BJ51" s="156"/>
      <c r="BK51" s="156">
        <v>0</v>
      </c>
      <c r="BL51" s="156"/>
      <c r="BM51" s="156">
        <f t="shared" si="6"/>
        <v>0</v>
      </c>
      <c r="BN51" s="158" t="s">
        <v>347</v>
      </c>
      <c r="BO51" s="159" t="s">
        <v>403</v>
      </c>
      <c r="BR51" s="140"/>
      <c r="BS51" s="156"/>
      <c r="BT51" s="156"/>
      <c r="BU51" s="156"/>
      <c r="BV51" s="156"/>
      <c r="BW51" s="156"/>
      <c r="BX51" s="143"/>
      <c r="BY51" s="143"/>
      <c r="BZ51" s="156"/>
      <c r="CA51" s="156"/>
      <c r="CB51" s="156"/>
      <c r="CC51" s="156"/>
      <c r="CD51" s="156"/>
      <c r="CE51" s="156"/>
      <c r="CF51" s="142"/>
      <c r="CH51" s="142"/>
      <c r="CI51" s="156"/>
      <c r="CJ51" s="156"/>
      <c r="CK51" s="156"/>
      <c r="CL51" s="156"/>
      <c r="CM51" s="156"/>
      <c r="CN51" s="156"/>
      <c r="CO51" s="156"/>
      <c r="CP51" s="156"/>
      <c r="CQ51" s="156"/>
      <c r="CR51" s="156"/>
      <c r="CS51" s="158"/>
    </row>
    <row r="52" spans="1:98" s="55" customFormat="1" ht="12.75" customHeight="1">
      <c r="A52" s="46" t="s">
        <v>464</v>
      </c>
      <c r="B52" s="90"/>
      <c r="C52" s="46" t="s">
        <v>465</v>
      </c>
      <c r="D52" s="46"/>
      <c r="E52" s="53">
        <f t="shared" si="0"/>
        <v>3773839</v>
      </c>
      <c r="F52" s="53"/>
      <c r="G52" s="53">
        <v>13348674</v>
      </c>
      <c r="H52" s="53"/>
      <c r="I52" s="53">
        <v>17122513</v>
      </c>
      <c r="J52" s="53"/>
      <c r="K52" s="53">
        <f t="shared" si="1"/>
        <v>2789191</v>
      </c>
      <c r="L52" s="53"/>
      <c r="M52" s="53">
        <v>32179</v>
      </c>
      <c r="N52" s="53"/>
      <c r="O52" s="53">
        <v>2821370</v>
      </c>
      <c r="P52" s="53"/>
      <c r="Q52" s="53">
        <v>11614582</v>
      </c>
      <c r="R52" s="53"/>
      <c r="S52" s="53">
        <v>0</v>
      </c>
      <c r="T52" s="53"/>
      <c r="U52" s="53">
        <v>2686561</v>
      </c>
      <c r="V52" s="53"/>
      <c r="W52" s="53">
        <f>SUM(Q52:U52)</f>
        <v>14301143</v>
      </c>
      <c r="X52" s="79"/>
      <c r="Y52" s="46" t="s">
        <v>464</v>
      </c>
      <c r="Z52" s="90"/>
      <c r="AA52" s="46" t="s">
        <v>465</v>
      </c>
      <c r="AB52" s="46"/>
      <c r="AC52" s="53">
        <v>1993285</v>
      </c>
      <c r="AD52" s="53"/>
      <c r="AE52" s="53">
        <f>1989771-406018</f>
        <v>1583753</v>
      </c>
      <c r="AF52" s="53"/>
      <c r="AG52" s="53">
        <v>406018</v>
      </c>
      <c r="AH52" s="53"/>
      <c r="AI52" s="45">
        <f t="shared" si="3"/>
        <v>3514</v>
      </c>
      <c r="AJ52" s="45"/>
      <c r="AK52" s="53">
        <v>-114980</v>
      </c>
      <c r="AL52" s="45"/>
      <c r="AM52" s="53">
        <v>9359</v>
      </c>
      <c r="AN52" s="53"/>
      <c r="AO52" s="53">
        <v>0</v>
      </c>
      <c r="AP52" s="53"/>
      <c r="AQ52" s="53">
        <v>721700</v>
      </c>
      <c r="AR52" s="53"/>
      <c r="AS52" s="45">
        <f t="shared" si="4"/>
        <v>619593</v>
      </c>
      <c r="AT52" s="45"/>
      <c r="AU52" s="53">
        <v>0</v>
      </c>
      <c r="AV52" s="53"/>
      <c r="AW52" s="53">
        <v>0</v>
      </c>
      <c r="AX52" s="53"/>
      <c r="AY52" s="53">
        <f t="shared" si="5"/>
        <v>984648</v>
      </c>
      <c r="AZ52" s="79"/>
      <c r="BA52" s="46" t="s">
        <v>464</v>
      </c>
      <c r="BB52" s="90"/>
      <c r="BC52" s="46" t="s">
        <v>465</v>
      </c>
      <c r="BD52" s="79"/>
      <c r="BE52" s="53">
        <v>0</v>
      </c>
      <c r="BF52" s="53"/>
      <c r="BG52" s="53">
        <v>0</v>
      </c>
      <c r="BH52" s="53"/>
      <c r="BI52" s="53">
        <v>0</v>
      </c>
      <c r="BJ52" s="53"/>
      <c r="BK52" s="53">
        <v>32179</v>
      </c>
      <c r="BL52" s="53"/>
      <c r="BM52" s="53">
        <f t="shared" si="6"/>
        <v>32179</v>
      </c>
      <c r="BN52" s="54" t="s">
        <v>347</v>
      </c>
      <c r="BR52" s="51"/>
      <c r="BS52" s="53"/>
      <c r="BT52" s="53"/>
      <c r="BU52" s="53"/>
      <c r="BV52" s="53"/>
      <c r="BW52" s="53"/>
      <c r="BX52" s="45"/>
      <c r="BY52" s="45"/>
      <c r="BZ52" s="53"/>
      <c r="CA52" s="53"/>
      <c r="CB52" s="53"/>
      <c r="CC52" s="53"/>
      <c r="CD52" s="53"/>
      <c r="CE52" s="53"/>
      <c r="CF52" s="35"/>
      <c r="CH52" s="35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4"/>
    </row>
    <row r="53" spans="1:98" s="55" customFormat="1" ht="12.75" customHeight="1">
      <c r="A53" s="35" t="s">
        <v>72</v>
      </c>
      <c r="B53" s="51"/>
      <c r="C53" s="35" t="s">
        <v>66</v>
      </c>
      <c r="D53" s="44"/>
      <c r="E53" s="53">
        <f t="shared" si="0"/>
        <v>89040</v>
      </c>
      <c r="F53" s="53"/>
      <c r="G53" s="53">
        <v>3653193</v>
      </c>
      <c r="H53" s="53"/>
      <c r="I53" s="53">
        <v>3742233</v>
      </c>
      <c r="J53" s="53"/>
      <c r="K53" s="53">
        <f t="shared" si="1"/>
        <v>126753</v>
      </c>
      <c r="L53" s="53"/>
      <c r="M53" s="53">
        <v>3288138</v>
      </c>
      <c r="N53" s="53"/>
      <c r="O53" s="53">
        <v>3414891</v>
      </c>
      <c r="P53" s="53"/>
      <c r="Q53" s="53">
        <v>298302</v>
      </c>
      <c r="R53" s="53"/>
      <c r="S53" s="53">
        <v>0</v>
      </c>
      <c r="T53" s="53"/>
      <c r="U53" s="53">
        <v>29040</v>
      </c>
      <c r="V53" s="53"/>
      <c r="W53" s="53">
        <f>SUM(Q53:U53)</f>
        <v>327342</v>
      </c>
      <c r="X53" s="53"/>
      <c r="Y53" s="35" t="s">
        <v>72</v>
      </c>
      <c r="AA53" s="35" t="s">
        <v>66</v>
      </c>
      <c r="AB53" s="35"/>
      <c r="AC53" s="53">
        <v>6384</v>
      </c>
      <c r="AD53" s="53"/>
      <c r="AE53" s="53">
        <f>9364523-AG53</f>
        <v>8497294</v>
      </c>
      <c r="AF53" s="53"/>
      <c r="AG53" s="53">
        <v>867229</v>
      </c>
      <c r="AH53" s="53"/>
      <c r="AI53" s="45">
        <v>6384</v>
      </c>
      <c r="AJ53" s="45"/>
      <c r="AK53" s="53">
        <v>-137465</v>
      </c>
      <c r="AL53" s="45"/>
      <c r="AM53" s="53">
        <v>202234</v>
      </c>
      <c r="AN53" s="53"/>
      <c r="AO53" s="53">
        <v>0</v>
      </c>
      <c r="AP53" s="53"/>
      <c r="AQ53" s="53">
        <v>0</v>
      </c>
      <c r="AR53" s="53"/>
      <c r="AS53" s="45">
        <f t="shared" si="4"/>
        <v>71153</v>
      </c>
      <c r="AT53" s="45"/>
      <c r="AU53" s="53">
        <v>0</v>
      </c>
      <c r="AV53" s="53"/>
      <c r="AW53" s="53">
        <v>0</v>
      </c>
      <c r="AX53" s="53"/>
      <c r="AY53" s="53">
        <f t="shared" si="5"/>
        <v>-37713</v>
      </c>
      <c r="AZ53" s="53"/>
      <c r="BA53" s="35" t="s">
        <v>72</v>
      </c>
      <c r="BC53" s="35" t="s">
        <v>66</v>
      </c>
      <c r="BD53" s="53"/>
      <c r="BE53" s="53">
        <v>0</v>
      </c>
      <c r="BF53" s="53"/>
      <c r="BG53" s="53">
        <v>0</v>
      </c>
      <c r="BH53" s="53"/>
      <c r="BI53" s="53">
        <v>3288138</v>
      </c>
      <c r="BJ53" s="53"/>
      <c r="BK53" s="53">
        <v>0</v>
      </c>
      <c r="BL53" s="53"/>
      <c r="BM53" s="53">
        <f t="shared" si="6"/>
        <v>3288138</v>
      </c>
      <c r="BN53" s="54" t="s">
        <v>347</v>
      </c>
      <c r="BO53" s="35"/>
      <c r="BR53" s="51"/>
      <c r="BS53" s="53"/>
      <c r="BT53" s="53"/>
      <c r="BU53" s="53"/>
      <c r="BV53" s="53"/>
      <c r="BW53" s="45"/>
      <c r="BX53" s="45"/>
      <c r="BY53" s="53"/>
      <c r="BZ53" s="53"/>
      <c r="CA53" s="53"/>
      <c r="CB53" s="53"/>
      <c r="CC53" s="53"/>
      <c r="CD53" s="53"/>
      <c r="CE53" s="53"/>
      <c r="CF53" s="35"/>
      <c r="CH53" s="35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4"/>
      <c r="CT53" s="35"/>
    </row>
    <row r="54" spans="1:98" s="159" customFormat="1" ht="12.75" hidden="1" customHeight="1">
      <c r="A54" s="142" t="s">
        <v>342</v>
      </c>
      <c r="C54" s="142" t="s">
        <v>27</v>
      </c>
      <c r="D54" s="137"/>
      <c r="E54" s="156">
        <f t="shared" si="0"/>
        <v>0</v>
      </c>
      <c r="F54" s="156"/>
      <c r="G54" s="156">
        <v>0</v>
      </c>
      <c r="H54" s="156"/>
      <c r="I54" s="156">
        <v>0</v>
      </c>
      <c r="J54" s="156"/>
      <c r="K54" s="156">
        <f t="shared" si="1"/>
        <v>0</v>
      </c>
      <c r="L54" s="156"/>
      <c r="M54" s="156">
        <v>0</v>
      </c>
      <c r="N54" s="156"/>
      <c r="O54" s="156">
        <v>0</v>
      </c>
      <c r="P54" s="156"/>
      <c r="Q54" s="156">
        <v>0</v>
      </c>
      <c r="R54" s="156"/>
      <c r="S54" s="156">
        <v>0</v>
      </c>
      <c r="T54" s="156"/>
      <c r="U54" s="156">
        <v>0</v>
      </c>
      <c r="V54" s="156"/>
      <c r="W54" s="156">
        <f t="shared" si="7"/>
        <v>0</v>
      </c>
      <c r="X54" s="156"/>
      <c r="Y54" s="142" t="s">
        <v>342</v>
      </c>
      <c r="AA54" s="142" t="s">
        <v>27</v>
      </c>
      <c r="AB54" s="142"/>
      <c r="AC54" s="156">
        <v>0</v>
      </c>
      <c r="AD54" s="156"/>
      <c r="AE54" s="156">
        <v>0</v>
      </c>
      <c r="AF54" s="156"/>
      <c r="AG54" s="156">
        <v>0</v>
      </c>
      <c r="AH54" s="156"/>
      <c r="AI54" s="143">
        <f t="shared" si="3"/>
        <v>0</v>
      </c>
      <c r="AJ54" s="143"/>
      <c r="AK54" s="156">
        <v>0</v>
      </c>
      <c r="AL54" s="143"/>
      <c r="AM54" s="156">
        <v>0</v>
      </c>
      <c r="AN54" s="156"/>
      <c r="AO54" s="156">
        <v>0</v>
      </c>
      <c r="AP54" s="156"/>
      <c r="AQ54" s="156">
        <v>0</v>
      </c>
      <c r="AR54" s="156"/>
      <c r="AS54" s="143">
        <f t="shared" si="4"/>
        <v>0</v>
      </c>
      <c r="AT54" s="143"/>
      <c r="AU54" s="156">
        <v>0</v>
      </c>
      <c r="AV54" s="156"/>
      <c r="AW54" s="156">
        <v>0</v>
      </c>
      <c r="AX54" s="156"/>
      <c r="AY54" s="156">
        <f t="shared" si="5"/>
        <v>0</v>
      </c>
      <c r="AZ54" s="156"/>
      <c r="BA54" s="142" t="s">
        <v>342</v>
      </c>
      <c r="BC54" s="142" t="s">
        <v>27</v>
      </c>
      <c r="BD54" s="156"/>
      <c r="BE54" s="156">
        <v>0</v>
      </c>
      <c r="BF54" s="156"/>
      <c r="BG54" s="156">
        <v>0</v>
      </c>
      <c r="BH54" s="156"/>
      <c r="BI54" s="156">
        <v>0</v>
      </c>
      <c r="BJ54" s="156"/>
      <c r="BK54" s="156">
        <v>0</v>
      </c>
      <c r="BL54" s="156"/>
      <c r="BM54" s="156">
        <f t="shared" si="6"/>
        <v>0</v>
      </c>
      <c r="BN54" s="158" t="s">
        <v>347</v>
      </c>
      <c r="BR54" s="140"/>
      <c r="BS54" s="156"/>
      <c r="BT54" s="156"/>
      <c r="BU54" s="156"/>
      <c r="BV54" s="156"/>
      <c r="BW54" s="156"/>
      <c r="BX54" s="143"/>
      <c r="BY54" s="143"/>
      <c r="BZ54" s="156"/>
      <c r="CA54" s="156"/>
      <c r="CB54" s="156"/>
      <c r="CC54" s="156"/>
      <c r="CD54" s="156"/>
      <c r="CE54" s="156"/>
      <c r="CF54" s="142"/>
      <c r="CH54" s="142"/>
      <c r="CI54" s="156"/>
      <c r="CJ54" s="156"/>
      <c r="CK54" s="156"/>
      <c r="CL54" s="156"/>
      <c r="CM54" s="156"/>
      <c r="CN54" s="156"/>
      <c r="CO54" s="156"/>
      <c r="CP54" s="156"/>
      <c r="CQ54" s="156"/>
      <c r="CR54" s="156"/>
      <c r="CS54" s="158"/>
    </row>
    <row r="55" spans="1:98" s="159" customFormat="1" ht="12.75" hidden="1" customHeight="1">
      <c r="A55" s="142" t="s">
        <v>74</v>
      </c>
      <c r="B55" s="140"/>
      <c r="C55" s="142" t="s">
        <v>27</v>
      </c>
      <c r="D55" s="137"/>
      <c r="E55" s="156">
        <f t="shared" si="0"/>
        <v>0</v>
      </c>
      <c r="F55" s="156"/>
      <c r="G55" s="156">
        <v>0</v>
      </c>
      <c r="H55" s="156"/>
      <c r="I55" s="156">
        <v>0</v>
      </c>
      <c r="J55" s="156"/>
      <c r="K55" s="156">
        <f t="shared" si="1"/>
        <v>0</v>
      </c>
      <c r="L55" s="156"/>
      <c r="M55" s="156">
        <v>0</v>
      </c>
      <c r="N55" s="156"/>
      <c r="O55" s="156">
        <v>0</v>
      </c>
      <c r="P55" s="156"/>
      <c r="Q55" s="156">
        <v>0</v>
      </c>
      <c r="R55" s="156"/>
      <c r="S55" s="156">
        <v>0</v>
      </c>
      <c r="T55" s="156"/>
      <c r="U55" s="156">
        <v>0</v>
      </c>
      <c r="V55" s="156"/>
      <c r="W55" s="156">
        <v>0</v>
      </c>
      <c r="X55" s="156"/>
      <c r="Y55" s="142" t="s">
        <v>74</v>
      </c>
      <c r="AA55" s="142" t="s">
        <v>27</v>
      </c>
      <c r="AB55" s="142"/>
      <c r="AC55" s="156">
        <v>0</v>
      </c>
      <c r="AD55" s="156"/>
      <c r="AE55" s="156">
        <v>0</v>
      </c>
      <c r="AF55" s="156"/>
      <c r="AG55" s="156">
        <v>0</v>
      </c>
      <c r="AH55" s="156"/>
      <c r="AI55" s="143">
        <f t="shared" si="3"/>
        <v>0</v>
      </c>
      <c r="AJ55" s="143"/>
      <c r="AK55" s="156">
        <v>0</v>
      </c>
      <c r="AL55" s="143"/>
      <c r="AM55" s="156">
        <v>0</v>
      </c>
      <c r="AN55" s="156"/>
      <c r="AO55" s="156">
        <v>0</v>
      </c>
      <c r="AP55" s="156"/>
      <c r="AQ55" s="156">
        <v>0</v>
      </c>
      <c r="AR55" s="156"/>
      <c r="AS55" s="143">
        <f t="shared" si="4"/>
        <v>0</v>
      </c>
      <c r="AT55" s="143"/>
      <c r="AU55" s="156">
        <v>0</v>
      </c>
      <c r="AV55" s="156"/>
      <c r="AW55" s="156">
        <v>0</v>
      </c>
      <c r="AX55" s="156"/>
      <c r="AY55" s="156">
        <f t="shared" si="5"/>
        <v>0</v>
      </c>
      <c r="AZ55" s="156"/>
      <c r="BA55" s="142" t="s">
        <v>74</v>
      </c>
      <c r="BC55" s="142" t="s">
        <v>27</v>
      </c>
      <c r="BD55" s="156"/>
      <c r="BE55" s="156">
        <v>0</v>
      </c>
      <c r="BF55" s="156"/>
      <c r="BG55" s="156">
        <v>0</v>
      </c>
      <c r="BH55" s="156"/>
      <c r="BI55" s="156">
        <v>0</v>
      </c>
      <c r="BJ55" s="156"/>
      <c r="BK55" s="156">
        <v>0</v>
      </c>
      <c r="BL55" s="156"/>
      <c r="BM55" s="156">
        <f t="shared" si="6"/>
        <v>0</v>
      </c>
      <c r="BN55" s="158" t="s">
        <v>347</v>
      </c>
      <c r="BR55" s="140"/>
      <c r="BS55" s="156"/>
      <c r="BT55" s="156"/>
      <c r="BU55" s="156"/>
      <c r="BV55" s="156"/>
      <c r="BW55" s="156"/>
      <c r="BX55" s="143"/>
      <c r="BY55" s="143"/>
      <c r="BZ55" s="156"/>
      <c r="CA55" s="156"/>
      <c r="CB55" s="156"/>
      <c r="CC55" s="156"/>
      <c r="CD55" s="156"/>
      <c r="CE55" s="156"/>
      <c r="CF55" s="142"/>
      <c r="CH55" s="142"/>
      <c r="CI55" s="156"/>
      <c r="CJ55" s="156"/>
      <c r="CK55" s="156"/>
      <c r="CL55" s="156"/>
      <c r="CM55" s="156"/>
      <c r="CN55" s="156"/>
      <c r="CO55" s="156"/>
      <c r="CP55" s="156"/>
      <c r="CQ55" s="156"/>
      <c r="CR55" s="156"/>
      <c r="CS55" s="158"/>
    </row>
    <row r="56" spans="1:98" s="55" customFormat="1" ht="12.75" customHeight="1">
      <c r="A56" s="35" t="s">
        <v>75</v>
      </c>
      <c r="B56" s="51"/>
      <c r="C56" s="35" t="s">
        <v>76</v>
      </c>
      <c r="D56" s="44"/>
      <c r="E56" s="53">
        <f t="shared" si="0"/>
        <v>1325777</v>
      </c>
      <c r="F56" s="53"/>
      <c r="G56" s="53">
        <v>7003410</v>
      </c>
      <c r="H56" s="53"/>
      <c r="I56" s="53">
        <v>8329187</v>
      </c>
      <c r="J56" s="53"/>
      <c r="K56" s="53">
        <f t="shared" si="1"/>
        <v>147823</v>
      </c>
      <c r="L56" s="53"/>
      <c r="M56" s="53">
        <v>946963</v>
      </c>
      <c r="N56" s="53"/>
      <c r="O56" s="53">
        <v>1094786</v>
      </c>
      <c r="P56" s="53"/>
      <c r="Q56" s="53">
        <v>6049037</v>
      </c>
      <c r="R56" s="53"/>
      <c r="S56" s="53">
        <v>0</v>
      </c>
      <c r="T56" s="53"/>
      <c r="U56" s="53">
        <v>1185364</v>
      </c>
      <c r="V56" s="53"/>
      <c r="W56" s="53">
        <f t="shared" ref="W56:W62" si="8">SUM(Q56:U56)</f>
        <v>7234401</v>
      </c>
      <c r="X56" s="53"/>
      <c r="Y56" s="35" t="s">
        <v>75</v>
      </c>
      <c r="AA56" s="35" t="s">
        <v>76</v>
      </c>
      <c r="AB56" s="35"/>
      <c r="AC56" s="53">
        <v>1518124</v>
      </c>
      <c r="AD56" s="53"/>
      <c r="AE56" s="53">
        <f>1846383-251870</f>
        <v>1594513</v>
      </c>
      <c r="AF56" s="53"/>
      <c r="AG56" s="53">
        <v>251870</v>
      </c>
      <c r="AH56" s="53"/>
      <c r="AI56" s="45">
        <f t="shared" si="3"/>
        <v>-328259</v>
      </c>
      <c r="AJ56" s="45"/>
      <c r="AK56" s="53">
        <v>-34412</v>
      </c>
      <c r="AL56" s="45"/>
      <c r="AM56" s="53">
        <v>0</v>
      </c>
      <c r="AN56" s="53"/>
      <c r="AO56" s="53">
        <v>0</v>
      </c>
      <c r="AP56" s="53"/>
      <c r="AQ56" s="53">
        <v>583550</v>
      </c>
      <c r="AR56" s="53"/>
      <c r="AS56" s="45">
        <f t="shared" si="4"/>
        <v>220879</v>
      </c>
      <c r="AT56" s="45"/>
      <c r="AU56" s="53">
        <v>0</v>
      </c>
      <c r="AV56" s="53"/>
      <c r="AW56" s="53">
        <v>0</v>
      </c>
      <c r="AX56" s="53"/>
      <c r="AY56" s="53">
        <f t="shared" si="5"/>
        <v>1177954</v>
      </c>
      <c r="AZ56" s="53"/>
      <c r="BA56" s="35" t="s">
        <v>75</v>
      </c>
      <c r="BC56" s="35" t="s">
        <v>76</v>
      </c>
      <c r="BD56" s="53"/>
      <c r="BE56" s="53">
        <v>0</v>
      </c>
      <c r="BF56" s="53"/>
      <c r="BG56" s="53">
        <v>0</v>
      </c>
      <c r="BH56" s="53"/>
      <c r="BI56" s="53">
        <v>910526</v>
      </c>
      <c r="BJ56" s="53"/>
      <c r="BK56" s="53">
        <v>36437</v>
      </c>
      <c r="BL56" s="53"/>
      <c r="BM56" s="53">
        <f t="shared" si="6"/>
        <v>946963</v>
      </c>
      <c r="BN56" s="54" t="s">
        <v>347</v>
      </c>
      <c r="BR56" s="51"/>
      <c r="BS56" s="53"/>
      <c r="BT56" s="53"/>
      <c r="BU56" s="53"/>
      <c r="BV56" s="53"/>
      <c r="BW56" s="53"/>
      <c r="BX56" s="45"/>
      <c r="BY56" s="45"/>
      <c r="BZ56" s="53"/>
      <c r="CA56" s="53"/>
      <c r="CB56" s="53"/>
      <c r="CC56" s="53"/>
      <c r="CD56" s="53"/>
      <c r="CE56" s="53"/>
      <c r="CF56" s="35"/>
      <c r="CH56" s="35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4"/>
    </row>
    <row r="57" spans="1:98" s="55" customFormat="1" ht="12.75" customHeight="1">
      <c r="A57" s="35" t="s">
        <v>77</v>
      </c>
      <c r="B57" s="51"/>
      <c r="C57" s="35" t="s">
        <v>43</v>
      </c>
      <c r="D57" s="44"/>
      <c r="E57" s="53">
        <f t="shared" si="0"/>
        <v>209923000</v>
      </c>
      <c r="F57" s="53"/>
      <c r="G57" s="53">
        <v>1441960000</v>
      </c>
      <c r="H57" s="53"/>
      <c r="I57" s="53">
        <v>1651883000</v>
      </c>
      <c r="J57" s="53"/>
      <c r="K57" s="53">
        <f t="shared" si="1"/>
        <v>103973000</v>
      </c>
      <c r="L57" s="53"/>
      <c r="M57" s="53">
        <v>952902000</v>
      </c>
      <c r="N57" s="53"/>
      <c r="O57" s="53">
        <v>1056875000</v>
      </c>
      <c r="P57" s="53"/>
      <c r="Q57" s="53">
        <v>496535000</v>
      </c>
      <c r="R57" s="53"/>
      <c r="S57" s="53">
        <v>-1317000</v>
      </c>
      <c r="T57" s="53"/>
      <c r="U57" s="53">
        <v>99790000</v>
      </c>
      <c r="V57" s="53"/>
      <c r="W57" s="53">
        <f t="shared" si="8"/>
        <v>595008000</v>
      </c>
      <c r="X57" s="53"/>
      <c r="Y57" s="35" t="s">
        <v>77</v>
      </c>
      <c r="AA57" s="35" t="s">
        <v>43</v>
      </c>
      <c r="AB57" s="35"/>
      <c r="AC57" s="53">
        <v>196372000</v>
      </c>
      <c r="AD57" s="53"/>
      <c r="AE57" s="53">
        <f>121979000-35980000</f>
        <v>85999000</v>
      </c>
      <c r="AF57" s="53"/>
      <c r="AG57" s="53">
        <v>35980000</v>
      </c>
      <c r="AH57" s="53"/>
      <c r="AI57" s="45">
        <f t="shared" si="3"/>
        <v>74393000</v>
      </c>
      <c r="AJ57" s="45"/>
      <c r="AK57" s="53">
        <v>-18376000</v>
      </c>
      <c r="AL57" s="45"/>
      <c r="AM57" s="53">
        <v>71000</v>
      </c>
      <c r="AN57" s="53"/>
      <c r="AO57" s="53">
        <v>0</v>
      </c>
      <c r="AP57" s="53"/>
      <c r="AQ57" s="53">
        <v>0</v>
      </c>
      <c r="AR57" s="53"/>
      <c r="AS57" s="45">
        <f t="shared" si="4"/>
        <v>56088000</v>
      </c>
      <c r="AT57" s="45"/>
      <c r="AU57" s="53">
        <v>0</v>
      </c>
      <c r="AV57" s="53"/>
      <c r="AW57" s="53">
        <v>0</v>
      </c>
      <c r="AX57" s="53"/>
      <c r="AY57" s="53">
        <f t="shared" si="5"/>
        <v>105950000</v>
      </c>
      <c r="AZ57" s="53"/>
      <c r="BA57" s="35" t="s">
        <v>77</v>
      </c>
      <c r="BC57" s="35" t="s">
        <v>43</v>
      </c>
      <c r="BD57" s="53"/>
      <c r="BE57" s="53">
        <v>0</v>
      </c>
      <c r="BF57" s="53"/>
      <c r="BG57" s="53">
        <v>0</v>
      </c>
      <c r="BH57" s="53"/>
      <c r="BI57" s="53">
        <v>952902000</v>
      </c>
      <c r="BJ57" s="53"/>
      <c r="BK57" s="53">
        <v>0</v>
      </c>
      <c r="BL57" s="53"/>
      <c r="BM57" s="53">
        <f t="shared" si="6"/>
        <v>952902000</v>
      </c>
      <c r="BN57" s="54" t="s">
        <v>347</v>
      </c>
      <c r="BR57" s="51"/>
      <c r="BS57" s="53"/>
      <c r="BT57" s="53"/>
      <c r="BU57" s="53"/>
      <c r="BV57" s="53"/>
      <c r="BW57" s="53"/>
      <c r="BX57" s="45"/>
      <c r="BY57" s="45"/>
      <c r="BZ57" s="53"/>
      <c r="CA57" s="53"/>
      <c r="CB57" s="53"/>
      <c r="CC57" s="53"/>
      <c r="CD57" s="53"/>
      <c r="CE57" s="53"/>
      <c r="CF57" s="35"/>
      <c r="CH57" s="35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4"/>
    </row>
    <row r="58" spans="1:98" s="55" customFormat="1" ht="12.75" customHeight="1">
      <c r="A58" s="35" t="s">
        <v>94</v>
      </c>
      <c r="B58" s="51"/>
      <c r="C58" s="35" t="s">
        <v>94</v>
      </c>
      <c r="D58" s="44"/>
      <c r="E58" s="53">
        <f>I58-G58</f>
        <v>7664373</v>
      </c>
      <c r="F58" s="53"/>
      <c r="G58" s="53">
        <v>15697210</v>
      </c>
      <c r="H58" s="53"/>
      <c r="I58" s="53">
        <v>23361583</v>
      </c>
      <c r="J58" s="53"/>
      <c r="K58" s="53">
        <f>O58-M58</f>
        <v>528079</v>
      </c>
      <c r="L58" s="53"/>
      <c r="M58" s="53">
        <v>12222842</v>
      </c>
      <c r="N58" s="53"/>
      <c r="O58" s="53">
        <v>12750921</v>
      </c>
      <c r="P58" s="53"/>
      <c r="Q58" s="53">
        <v>3182610</v>
      </c>
      <c r="R58" s="53"/>
      <c r="S58" s="53">
        <v>0</v>
      </c>
      <c r="T58" s="53"/>
      <c r="U58" s="53">
        <v>7428052</v>
      </c>
      <c r="V58" s="53"/>
      <c r="W58" s="53">
        <f>SUM(Q58:U58)</f>
        <v>10610662</v>
      </c>
      <c r="X58" s="53"/>
      <c r="Y58" s="35" t="str">
        <f>+A58</f>
        <v>Columbiana</v>
      </c>
      <c r="AA58" s="35" t="s">
        <v>94</v>
      </c>
      <c r="AB58" s="35"/>
      <c r="AC58" s="53">
        <v>1475369</v>
      </c>
      <c r="AD58" s="53"/>
      <c r="AE58" s="53">
        <f>986745-384273</f>
        <v>602472</v>
      </c>
      <c r="AF58" s="53"/>
      <c r="AG58" s="53">
        <v>384273</v>
      </c>
      <c r="AH58" s="53"/>
      <c r="AI58" s="45">
        <f>+AC58-AE58-AG58</f>
        <v>488624</v>
      </c>
      <c r="AJ58" s="45"/>
      <c r="AK58" s="53">
        <v>-167265</v>
      </c>
      <c r="AL58" s="45"/>
      <c r="AM58" s="53">
        <v>7293</v>
      </c>
      <c r="AN58" s="53"/>
      <c r="AO58" s="53">
        <v>0</v>
      </c>
      <c r="AP58" s="53"/>
      <c r="AQ58" s="53">
        <v>0</v>
      </c>
      <c r="AR58" s="53"/>
      <c r="AS58" s="45">
        <f>+AI58+AK58+AM58-AO58+AQ58</f>
        <v>328652</v>
      </c>
      <c r="AT58" s="45"/>
      <c r="AU58" s="53">
        <v>0</v>
      </c>
      <c r="AV58" s="53"/>
      <c r="AW58" s="53">
        <v>0</v>
      </c>
      <c r="AX58" s="53"/>
      <c r="AY58" s="53">
        <f>+E58-K58</f>
        <v>7136294</v>
      </c>
      <c r="AZ58" s="53"/>
      <c r="BA58" s="35" t="str">
        <f>+Y58</f>
        <v>Columbiana</v>
      </c>
      <c r="BC58" s="35" t="s">
        <v>94</v>
      </c>
      <c r="BD58" s="53"/>
      <c r="BE58" s="53">
        <v>4890000</v>
      </c>
      <c r="BF58" s="53"/>
      <c r="BG58" s="53">
        <v>7002200</v>
      </c>
      <c r="BH58" s="53"/>
      <c r="BI58" s="53">
        <v>325755</v>
      </c>
      <c r="BJ58" s="53"/>
      <c r="BK58" s="53">
        <v>4887</v>
      </c>
      <c r="BL58" s="53"/>
      <c r="BM58" s="53">
        <f>SUM(BE58:BK58)</f>
        <v>12222842</v>
      </c>
      <c r="BN58" s="54" t="s">
        <v>347</v>
      </c>
      <c r="BO58" s="35"/>
      <c r="BR58" s="51"/>
      <c r="BS58" s="53"/>
      <c r="BT58" s="53"/>
      <c r="BU58" s="53"/>
      <c r="BV58" s="53"/>
      <c r="BW58" s="45"/>
      <c r="BX58" s="45"/>
      <c r="BY58" s="53"/>
      <c r="BZ58" s="53"/>
      <c r="CA58" s="53"/>
      <c r="CB58" s="53"/>
      <c r="CC58" s="53"/>
      <c r="CD58" s="53"/>
      <c r="CE58" s="53"/>
      <c r="CF58" s="35"/>
      <c r="CH58" s="35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4"/>
      <c r="CT58" s="35"/>
    </row>
    <row r="59" spans="1:98" s="55" customFormat="1" ht="12.75" customHeight="1">
      <c r="A59" s="35" t="s">
        <v>78</v>
      </c>
      <c r="B59" s="51"/>
      <c r="C59" s="35" t="s">
        <v>19</v>
      </c>
      <c r="D59" s="44"/>
      <c r="E59" s="53">
        <f t="shared" si="0"/>
        <v>494514</v>
      </c>
      <c r="F59" s="53"/>
      <c r="G59" s="53">
        <v>10384524</v>
      </c>
      <c r="H59" s="53"/>
      <c r="I59" s="53">
        <v>10879038</v>
      </c>
      <c r="J59" s="53"/>
      <c r="K59" s="53">
        <f t="shared" si="1"/>
        <v>875018</v>
      </c>
      <c r="L59" s="53"/>
      <c r="M59" s="53">
        <v>4605877</v>
      </c>
      <c r="N59" s="53"/>
      <c r="O59" s="53">
        <v>5480895</v>
      </c>
      <c r="P59" s="53"/>
      <c r="Q59" s="53">
        <v>5264622</v>
      </c>
      <c r="R59" s="53"/>
      <c r="S59" s="53">
        <v>0</v>
      </c>
      <c r="T59" s="53"/>
      <c r="U59" s="53">
        <v>133521</v>
      </c>
      <c r="V59" s="53"/>
      <c r="W59" s="53">
        <f t="shared" si="8"/>
        <v>5398143</v>
      </c>
      <c r="X59" s="53"/>
      <c r="Y59" s="35" t="s">
        <v>78</v>
      </c>
      <c r="AA59" s="35" t="s">
        <v>19</v>
      </c>
      <c r="AB59" s="35"/>
      <c r="AC59" s="53">
        <v>1950514</v>
      </c>
      <c r="AD59" s="53"/>
      <c r="AE59" s="53">
        <f>1559676-292173</f>
        <v>1267503</v>
      </c>
      <c r="AF59" s="53"/>
      <c r="AG59" s="53">
        <v>292173</v>
      </c>
      <c r="AH59" s="53"/>
      <c r="AI59" s="45">
        <f t="shared" si="3"/>
        <v>390838</v>
      </c>
      <c r="AJ59" s="45"/>
      <c r="AK59" s="53">
        <v>-209450</v>
      </c>
      <c r="AL59" s="45"/>
      <c r="AM59" s="53">
        <v>0</v>
      </c>
      <c r="AN59" s="53"/>
      <c r="AO59" s="53">
        <v>0</v>
      </c>
      <c r="AP59" s="53"/>
      <c r="AQ59" s="53">
        <v>29859</v>
      </c>
      <c r="AR59" s="53"/>
      <c r="AS59" s="45">
        <f t="shared" si="4"/>
        <v>211247</v>
      </c>
      <c r="AT59" s="45"/>
      <c r="AU59" s="53">
        <v>0</v>
      </c>
      <c r="AV59" s="53"/>
      <c r="AW59" s="53">
        <v>0</v>
      </c>
      <c r="AX59" s="53"/>
      <c r="AY59" s="53">
        <f t="shared" si="5"/>
        <v>-380504</v>
      </c>
      <c r="AZ59" s="53"/>
      <c r="BA59" s="35" t="s">
        <v>78</v>
      </c>
      <c r="BC59" s="35" t="s">
        <v>19</v>
      </c>
      <c r="BD59" s="53"/>
      <c r="BE59" s="53">
        <v>0</v>
      </c>
      <c r="BF59" s="53"/>
      <c r="BG59" s="53">
        <v>0</v>
      </c>
      <c r="BH59" s="53"/>
      <c r="BI59" s="53">
        <f>55050+4414633</f>
        <v>4469683</v>
      </c>
      <c r="BJ59" s="53"/>
      <c r="BK59" s="53">
        <v>136194</v>
      </c>
      <c r="BL59" s="53"/>
      <c r="BM59" s="53">
        <f t="shared" si="6"/>
        <v>4605877</v>
      </c>
      <c r="BN59" s="54" t="s">
        <v>347</v>
      </c>
      <c r="BR59" s="51"/>
      <c r="BS59" s="53"/>
      <c r="BT59" s="53"/>
      <c r="BU59" s="53"/>
      <c r="BV59" s="53"/>
      <c r="BW59" s="53"/>
      <c r="BX59" s="45"/>
      <c r="BY59" s="45"/>
      <c r="BZ59" s="53"/>
      <c r="CA59" s="53"/>
      <c r="CB59" s="53"/>
      <c r="CC59" s="53"/>
      <c r="CD59" s="53"/>
      <c r="CE59" s="53"/>
      <c r="CF59" s="35"/>
      <c r="CH59" s="35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4"/>
    </row>
    <row r="60" spans="1:98" s="55" customFormat="1" ht="12.75" customHeight="1">
      <c r="A60" s="35" t="s">
        <v>79</v>
      </c>
      <c r="C60" s="35" t="s">
        <v>80</v>
      </c>
      <c r="D60" s="44"/>
      <c r="E60" s="53">
        <f t="shared" si="0"/>
        <v>1084647</v>
      </c>
      <c r="F60" s="53"/>
      <c r="G60" s="53">
        <v>5630836</v>
      </c>
      <c r="H60" s="53"/>
      <c r="I60" s="53">
        <v>6715483</v>
      </c>
      <c r="J60" s="53"/>
      <c r="K60" s="53">
        <f t="shared" si="1"/>
        <v>56972</v>
      </c>
      <c r="L60" s="53"/>
      <c r="M60" s="53">
        <v>223825</v>
      </c>
      <c r="N60" s="53"/>
      <c r="O60" s="53">
        <v>280797</v>
      </c>
      <c r="P60" s="53"/>
      <c r="Q60" s="53">
        <v>5389598</v>
      </c>
      <c r="R60" s="53"/>
      <c r="S60" s="53">
        <v>0</v>
      </c>
      <c r="T60" s="53"/>
      <c r="U60" s="53">
        <v>1045088</v>
      </c>
      <c r="V60" s="53"/>
      <c r="W60" s="53">
        <f t="shared" si="8"/>
        <v>6434686</v>
      </c>
      <c r="X60" s="53"/>
      <c r="Y60" s="35" t="s">
        <v>79</v>
      </c>
      <c r="AA60" s="35" t="s">
        <v>80</v>
      </c>
      <c r="AB60" s="35"/>
      <c r="AC60" s="53">
        <v>939317</v>
      </c>
      <c r="AD60" s="53"/>
      <c r="AE60" s="53">
        <f>644709-184036</f>
        <v>460673</v>
      </c>
      <c r="AF60" s="53"/>
      <c r="AG60" s="53">
        <v>184036</v>
      </c>
      <c r="AH60" s="53"/>
      <c r="AI60" s="45">
        <f t="shared" si="3"/>
        <v>294608</v>
      </c>
      <c r="AJ60" s="45"/>
      <c r="AK60" s="53">
        <v>9635</v>
      </c>
      <c r="AL60" s="45"/>
      <c r="AM60" s="53">
        <v>0</v>
      </c>
      <c r="AN60" s="53"/>
      <c r="AO60" s="53">
        <v>0</v>
      </c>
      <c r="AP60" s="53"/>
      <c r="AQ60" s="53">
        <v>0</v>
      </c>
      <c r="AR60" s="53"/>
      <c r="AS60" s="45">
        <f t="shared" si="4"/>
        <v>304243</v>
      </c>
      <c r="AT60" s="45"/>
      <c r="AU60" s="53">
        <v>0</v>
      </c>
      <c r="AV60" s="53"/>
      <c r="AW60" s="53">
        <v>0</v>
      </c>
      <c r="AX60" s="53"/>
      <c r="AY60" s="53">
        <f t="shared" si="5"/>
        <v>1027675</v>
      </c>
      <c r="AZ60" s="53"/>
      <c r="BA60" s="35" t="s">
        <v>79</v>
      </c>
      <c r="BC60" s="35" t="s">
        <v>80</v>
      </c>
      <c r="BD60" s="53"/>
      <c r="BE60" s="53">
        <v>0</v>
      </c>
      <c r="BF60" s="53"/>
      <c r="BG60" s="53">
        <v>0</v>
      </c>
      <c r="BH60" s="53"/>
      <c r="BI60" s="53">
        <v>207344</v>
      </c>
      <c r="BJ60" s="53"/>
      <c r="BK60" s="53">
        <v>16481</v>
      </c>
      <c r="BL60" s="53"/>
      <c r="BM60" s="53">
        <f t="shared" si="6"/>
        <v>223825</v>
      </c>
      <c r="BN60" s="54" t="s">
        <v>347</v>
      </c>
      <c r="BR60" s="51"/>
      <c r="BS60" s="53"/>
      <c r="BT60" s="53"/>
      <c r="BU60" s="53"/>
      <c r="BV60" s="53"/>
      <c r="BW60" s="53"/>
      <c r="BX60" s="45"/>
      <c r="BY60" s="45"/>
      <c r="BZ60" s="53"/>
      <c r="CA60" s="53"/>
      <c r="CB60" s="53"/>
      <c r="CC60" s="53"/>
      <c r="CD60" s="53"/>
      <c r="CE60" s="53"/>
      <c r="CF60" s="35"/>
      <c r="CH60" s="35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4"/>
    </row>
    <row r="61" spans="1:98" s="55" customFormat="1" ht="12.75" customHeight="1">
      <c r="A61" s="35" t="s">
        <v>81</v>
      </c>
      <c r="B61" s="51"/>
      <c r="C61" s="35" t="s">
        <v>81</v>
      </c>
      <c r="D61" s="44"/>
      <c r="E61" s="53">
        <f t="shared" si="0"/>
        <v>829762</v>
      </c>
      <c r="F61" s="53"/>
      <c r="G61" s="53">
        <v>7962410</v>
      </c>
      <c r="H61" s="53"/>
      <c r="I61" s="53">
        <v>8792172</v>
      </c>
      <c r="J61" s="53"/>
      <c r="K61" s="53">
        <f t="shared" si="1"/>
        <v>296301</v>
      </c>
      <c r="L61" s="53"/>
      <c r="M61" s="53">
        <v>6977201</v>
      </c>
      <c r="N61" s="53"/>
      <c r="O61" s="53">
        <v>7273502</v>
      </c>
      <c r="P61" s="53"/>
      <c r="Q61" s="53">
        <v>843259</v>
      </c>
      <c r="R61" s="53"/>
      <c r="S61" s="53">
        <v>0</v>
      </c>
      <c r="T61" s="53"/>
      <c r="U61" s="53">
        <v>675411</v>
      </c>
      <c r="V61" s="53"/>
      <c r="W61" s="53">
        <f t="shared" si="8"/>
        <v>1518670</v>
      </c>
      <c r="X61" s="53"/>
      <c r="Y61" s="35" t="s">
        <v>81</v>
      </c>
      <c r="AA61" s="35" t="s">
        <v>81</v>
      </c>
      <c r="AB61" s="35"/>
      <c r="AC61" s="53">
        <v>1633987</v>
      </c>
      <c r="AD61" s="53"/>
      <c r="AE61" s="53">
        <f>1415693-124694</f>
        <v>1290999</v>
      </c>
      <c r="AF61" s="53"/>
      <c r="AG61" s="53">
        <v>124694</v>
      </c>
      <c r="AH61" s="53"/>
      <c r="AI61" s="45">
        <f t="shared" si="3"/>
        <v>218294</v>
      </c>
      <c r="AJ61" s="45"/>
      <c r="AK61" s="53">
        <v>-75845</v>
      </c>
      <c r="AL61" s="45"/>
      <c r="AM61" s="53">
        <v>0</v>
      </c>
      <c r="AN61" s="53"/>
      <c r="AO61" s="53">
        <v>0</v>
      </c>
      <c r="AP61" s="53"/>
      <c r="AQ61" s="53">
        <v>0</v>
      </c>
      <c r="AR61" s="53"/>
      <c r="AS61" s="45">
        <f t="shared" si="4"/>
        <v>142449</v>
      </c>
      <c r="AT61" s="45"/>
      <c r="AU61" s="53">
        <v>0</v>
      </c>
      <c r="AV61" s="53"/>
      <c r="AW61" s="53">
        <v>0</v>
      </c>
      <c r="AX61" s="53"/>
      <c r="AY61" s="53">
        <f t="shared" si="5"/>
        <v>533461</v>
      </c>
      <c r="AZ61" s="53"/>
      <c r="BA61" s="35" t="s">
        <v>81</v>
      </c>
      <c r="BC61" s="35" t="s">
        <v>81</v>
      </c>
      <c r="BD61" s="53"/>
      <c r="BE61" s="53">
        <v>0</v>
      </c>
      <c r="BF61" s="53"/>
      <c r="BG61" s="53">
        <v>909007</v>
      </c>
      <c r="BH61" s="53"/>
      <c r="BI61" s="53">
        <v>5985144</v>
      </c>
      <c r="BJ61" s="53"/>
      <c r="BK61" s="53">
        <v>83050</v>
      </c>
      <c r="BL61" s="53"/>
      <c r="BM61" s="53">
        <f t="shared" si="6"/>
        <v>6977201</v>
      </c>
      <c r="BN61" s="54" t="s">
        <v>347</v>
      </c>
      <c r="BR61" s="51"/>
      <c r="BS61" s="53"/>
      <c r="BT61" s="53"/>
      <c r="BU61" s="53"/>
      <c r="BV61" s="53"/>
      <c r="BW61" s="53"/>
      <c r="BX61" s="45"/>
      <c r="BY61" s="45"/>
      <c r="BZ61" s="53"/>
      <c r="CA61" s="53"/>
      <c r="CB61" s="53"/>
      <c r="CC61" s="53"/>
      <c r="CD61" s="53"/>
      <c r="CE61" s="53"/>
      <c r="CF61" s="44"/>
      <c r="CH61" s="44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4"/>
    </row>
    <row r="62" spans="1:98" s="55" customFormat="1" ht="12.75" customHeight="1">
      <c r="A62" s="47" t="s">
        <v>466</v>
      </c>
      <c r="B62" s="47"/>
      <c r="C62" s="47" t="s">
        <v>57</v>
      </c>
      <c r="D62" s="44"/>
      <c r="E62" s="53">
        <f t="shared" si="0"/>
        <v>175303</v>
      </c>
      <c r="F62" s="53"/>
      <c r="G62" s="53">
        <v>3477323</v>
      </c>
      <c r="H62" s="53"/>
      <c r="I62" s="53">
        <v>3652626</v>
      </c>
      <c r="J62" s="53"/>
      <c r="K62" s="53">
        <f t="shared" si="1"/>
        <v>252063</v>
      </c>
      <c r="L62" s="53"/>
      <c r="M62" s="53">
        <v>1505723</v>
      </c>
      <c r="N62" s="53"/>
      <c r="O62" s="53">
        <v>1757786</v>
      </c>
      <c r="P62" s="53"/>
      <c r="Q62" s="53">
        <v>1924132</v>
      </c>
      <c r="R62" s="53"/>
      <c r="S62" s="53">
        <v>0</v>
      </c>
      <c r="T62" s="53"/>
      <c r="U62" s="53">
        <v>-29292</v>
      </c>
      <c r="V62" s="53"/>
      <c r="W62" s="53">
        <f t="shared" si="8"/>
        <v>1894840</v>
      </c>
      <c r="X62" s="53"/>
      <c r="Y62" s="47" t="s">
        <v>466</v>
      </c>
      <c r="Z62" s="47"/>
      <c r="AA62" s="47" t="s">
        <v>57</v>
      </c>
      <c r="AB62" s="35"/>
      <c r="AC62" s="53">
        <v>666750</v>
      </c>
      <c r="AD62" s="53"/>
      <c r="AE62" s="53">
        <f>639412-106588</f>
        <v>532824</v>
      </c>
      <c r="AF62" s="53"/>
      <c r="AG62" s="53">
        <v>106588</v>
      </c>
      <c r="AH62" s="53"/>
      <c r="AI62" s="45">
        <f t="shared" si="3"/>
        <v>27338</v>
      </c>
      <c r="AJ62" s="45"/>
      <c r="AK62" s="53">
        <v>-37605</v>
      </c>
      <c r="AL62" s="45"/>
      <c r="AM62" s="53">
        <v>14000</v>
      </c>
      <c r="AN62" s="53"/>
      <c r="AO62" s="53">
        <v>0</v>
      </c>
      <c r="AP62" s="53"/>
      <c r="AQ62" s="53">
        <v>0</v>
      </c>
      <c r="AR62" s="53"/>
      <c r="AS62" s="45">
        <f t="shared" si="4"/>
        <v>3733</v>
      </c>
      <c r="AT62" s="45"/>
      <c r="AU62" s="53">
        <v>0</v>
      </c>
      <c r="AV62" s="53"/>
      <c r="AW62" s="53">
        <v>0</v>
      </c>
      <c r="AX62" s="53"/>
      <c r="AY62" s="53">
        <f t="shared" si="5"/>
        <v>-76760</v>
      </c>
      <c r="AZ62" s="53"/>
      <c r="BA62" s="47" t="s">
        <v>466</v>
      </c>
      <c r="BB62" s="47"/>
      <c r="BC62" s="47" t="s">
        <v>57</v>
      </c>
      <c r="BD62" s="53"/>
      <c r="BE62" s="53">
        <v>0</v>
      </c>
      <c r="BF62" s="53"/>
      <c r="BG62" s="53">
        <v>0</v>
      </c>
      <c r="BH62" s="53"/>
      <c r="BI62" s="53">
        <v>461620</v>
      </c>
      <c r="BJ62" s="53"/>
      <c r="BK62" s="53">
        <f>19271+838000+186832</f>
        <v>1044103</v>
      </c>
      <c r="BL62" s="53"/>
      <c r="BM62" s="53">
        <f t="shared" si="6"/>
        <v>1505723</v>
      </c>
      <c r="BN62" s="54" t="s">
        <v>347</v>
      </c>
      <c r="BR62" s="51"/>
      <c r="BS62" s="53"/>
      <c r="BT62" s="53"/>
      <c r="BU62" s="53"/>
      <c r="BV62" s="53"/>
      <c r="BW62" s="53"/>
      <c r="BX62" s="45"/>
      <c r="BY62" s="45"/>
      <c r="BZ62" s="53"/>
      <c r="CA62" s="53"/>
      <c r="CB62" s="53"/>
      <c r="CC62" s="53"/>
      <c r="CD62" s="53"/>
      <c r="CE62" s="53"/>
      <c r="CF62" s="35"/>
      <c r="CH62" s="35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4"/>
    </row>
    <row r="63" spans="1:98" s="55" customFormat="1" ht="12.75" customHeight="1">
      <c r="A63" s="35" t="s">
        <v>82</v>
      </c>
      <c r="B63" s="51"/>
      <c r="C63" s="35" t="s">
        <v>13</v>
      </c>
      <c r="D63" s="44"/>
      <c r="E63" s="53">
        <f t="shared" si="0"/>
        <v>3985113</v>
      </c>
      <c r="F63" s="53"/>
      <c r="G63" s="53">
        <v>17157491</v>
      </c>
      <c r="H63" s="53"/>
      <c r="I63" s="53">
        <v>21142604</v>
      </c>
      <c r="J63" s="53"/>
      <c r="K63" s="53">
        <f t="shared" si="1"/>
        <v>2175740</v>
      </c>
      <c r="L63" s="53"/>
      <c r="M63" s="53">
        <v>3456217</v>
      </c>
      <c r="N63" s="53"/>
      <c r="O63" s="53">
        <v>5631957</v>
      </c>
      <c r="P63" s="53"/>
      <c r="Q63" s="53">
        <v>13283670</v>
      </c>
      <c r="R63" s="53"/>
      <c r="S63" s="53">
        <v>0</v>
      </c>
      <c r="T63" s="53"/>
      <c r="U63" s="53">
        <v>2226977</v>
      </c>
      <c r="V63" s="53"/>
      <c r="W63" s="53">
        <f t="shared" si="7"/>
        <v>15510647</v>
      </c>
      <c r="X63" s="53"/>
      <c r="Y63" s="35" t="s">
        <v>82</v>
      </c>
      <c r="AA63" s="35" t="s">
        <v>13</v>
      </c>
      <c r="AB63" s="35"/>
      <c r="AC63" s="53">
        <v>6808212</v>
      </c>
      <c r="AD63" s="53"/>
      <c r="AE63" s="53">
        <f>5289152-577709</f>
        <v>4711443</v>
      </c>
      <c r="AF63" s="53"/>
      <c r="AG63" s="53">
        <v>577709</v>
      </c>
      <c r="AH63" s="53"/>
      <c r="AI63" s="45">
        <f t="shared" si="3"/>
        <v>1519060</v>
      </c>
      <c r="AJ63" s="45"/>
      <c r="AK63" s="53">
        <v>-181893</v>
      </c>
      <c r="AL63" s="45"/>
      <c r="AM63" s="53">
        <v>0</v>
      </c>
      <c r="AN63" s="53"/>
      <c r="AO63" s="53">
        <v>0</v>
      </c>
      <c r="AP63" s="53"/>
      <c r="AQ63" s="53">
        <v>2759859</v>
      </c>
      <c r="AR63" s="53"/>
      <c r="AS63" s="45">
        <f t="shared" si="4"/>
        <v>4097026</v>
      </c>
      <c r="AT63" s="45"/>
      <c r="AU63" s="53">
        <v>0</v>
      </c>
      <c r="AV63" s="53"/>
      <c r="AW63" s="53">
        <v>0</v>
      </c>
      <c r="AX63" s="53"/>
      <c r="AY63" s="53">
        <f t="shared" si="5"/>
        <v>1809373</v>
      </c>
      <c r="AZ63" s="53"/>
      <c r="BA63" s="35" t="s">
        <v>82</v>
      </c>
      <c r="BC63" s="35" t="s">
        <v>13</v>
      </c>
      <c r="BD63" s="53"/>
      <c r="BE63" s="53">
        <f>1431795+1561884+1893017</f>
        <v>4886696</v>
      </c>
      <c r="BF63" s="53"/>
      <c r="BG63" s="53"/>
      <c r="BH63" s="53"/>
      <c r="BI63" s="53"/>
      <c r="BJ63" s="53"/>
      <c r="BK63" s="53">
        <v>2296364</v>
      </c>
      <c r="BL63" s="53"/>
      <c r="BM63" s="53">
        <f t="shared" si="6"/>
        <v>7183060</v>
      </c>
      <c r="BN63" s="54" t="s">
        <v>347</v>
      </c>
      <c r="BR63" s="51"/>
      <c r="BS63" s="53"/>
      <c r="BT63" s="53"/>
      <c r="BU63" s="53"/>
      <c r="BV63" s="53"/>
      <c r="BW63" s="53"/>
      <c r="BX63" s="45"/>
      <c r="BY63" s="45"/>
      <c r="BZ63" s="53"/>
      <c r="CA63" s="53"/>
      <c r="CB63" s="53"/>
      <c r="CC63" s="53"/>
      <c r="CD63" s="53"/>
      <c r="CE63" s="53"/>
      <c r="CF63" s="35"/>
      <c r="CH63" s="35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4"/>
    </row>
    <row r="64" spans="1:98" s="55" customFormat="1" ht="12.75" customHeight="1">
      <c r="A64" s="35" t="s">
        <v>83</v>
      </c>
      <c r="B64" s="51"/>
      <c r="C64" s="35" t="s">
        <v>66</v>
      </c>
      <c r="D64" s="44"/>
      <c r="E64" s="53">
        <f t="shared" si="0"/>
        <v>28554624</v>
      </c>
      <c r="F64" s="53"/>
      <c r="G64" s="53">
        <v>100415717</v>
      </c>
      <c r="H64" s="53"/>
      <c r="I64" s="53">
        <v>128970341</v>
      </c>
      <c r="J64" s="53"/>
      <c r="K64" s="53">
        <f t="shared" si="1"/>
        <v>8662161</v>
      </c>
      <c r="L64" s="53"/>
      <c r="M64" s="53">
        <v>12819107</v>
      </c>
      <c r="N64" s="53"/>
      <c r="O64" s="53">
        <v>21481268</v>
      </c>
      <c r="P64" s="53"/>
      <c r="Q64" s="53">
        <v>84710502</v>
      </c>
      <c r="R64" s="53"/>
      <c r="S64" s="53">
        <v>0</v>
      </c>
      <c r="T64" s="53"/>
      <c r="U64" s="53">
        <v>22778571</v>
      </c>
      <c r="V64" s="53"/>
      <c r="W64" s="53">
        <f t="shared" si="7"/>
        <v>107489073</v>
      </c>
      <c r="X64" s="53"/>
      <c r="Y64" s="35" t="s">
        <v>83</v>
      </c>
      <c r="AA64" s="35" t="s">
        <v>66</v>
      </c>
      <c r="AB64" s="35"/>
      <c r="AC64" s="53">
        <v>31322099</v>
      </c>
      <c r="AD64" s="53"/>
      <c r="AE64" s="53">
        <f>30011641-7170466</f>
        <v>22841175</v>
      </c>
      <c r="AF64" s="53"/>
      <c r="AG64" s="53">
        <v>7170466</v>
      </c>
      <c r="AH64" s="53"/>
      <c r="AI64" s="45">
        <f t="shared" si="3"/>
        <v>1310458</v>
      </c>
      <c r="AJ64" s="45"/>
      <c r="AK64" s="53">
        <v>-862782</v>
      </c>
      <c r="AL64" s="45"/>
      <c r="AM64" s="53">
        <v>0</v>
      </c>
      <c r="AN64" s="53"/>
      <c r="AO64" s="53">
        <v>0</v>
      </c>
      <c r="AP64" s="53"/>
      <c r="AQ64" s="53">
        <v>0</v>
      </c>
      <c r="AR64" s="53"/>
      <c r="AS64" s="45">
        <f t="shared" si="4"/>
        <v>447676</v>
      </c>
      <c r="AT64" s="45"/>
      <c r="AU64" s="53">
        <v>0</v>
      </c>
      <c r="AV64" s="53"/>
      <c r="AW64" s="53">
        <v>0</v>
      </c>
      <c r="AX64" s="53"/>
      <c r="AY64" s="53">
        <f t="shared" si="5"/>
        <v>19892463</v>
      </c>
      <c r="AZ64" s="53"/>
      <c r="BA64" s="35" t="s">
        <v>83</v>
      </c>
      <c r="BC64" s="35" t="s">
        <v>66</v>
      </c>
      <c r="BD64" s="53"/>
      <c r="BE64" s="53">
        <v>0</v>
      </c>
      <c r="BF64" s="53"/>
      <c r="BG64" s="53">
        <v>0</v>
      </c>
      <c r="BH64" s="53"/>
      <c r="BI64" s="53">
        <f>600000+11793832</f>
        <v>12393832</v>
      </c>
      <c r="BJ64" s="53"/>
      <c r="BK64" s="53">
        <v>425275</v>
      </c>
      <c r="BL64" s="53"/>
      <c r="BM64" s="53">
        <f t="shared" si="6"/>
        <v>12819107</v>
      </c>
      <c r="BN64" s="54" t="s">
        <v>347</v>
      </c>
      <c r="BR64" s="51"/>
      <c r="BS64" s="53"/>
      <c r="BT64" s="53"/>
      <c r="BU64" s="53"/>
      <c r="BV64" s="53"/>
      <c r="BW64" s="45"/>
      <c r="BX64" s="45"/>
      <c r="BY64" s="53"/>
      <c r="BZ64" s="53"/>
      <c r="CA64" s="53"/>
      <c r="CB64" s="53"/>
      <c r="CC64" s="53"/>
      <c r="CD64" s="53"/>
      <c r="CE64" s="53"/>
      <c r="CF64" s="35"/>
      <c r="CH64" s="35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4"/>
    </row>
    <row r="65" spans="1:105" s="159" customFormat="1" ht="12.75" hidden="1" customHeight="1">
      <c r="A65" s="142" t="s">
        <v>84</v>
      </c>
      <c r="B65" s="140"/>
      <c r="C65" s="142" t="s">
        <v>45</v>
      </c>
      <c r="D65" s="137"/>
      <c r="E65" s="156">
        <f t="shared" si="0"/>
        <v>0</v>
      </c>
      <c r="F65" s="156"/>
      <c r="G65" s="156"/>
      <c r="H65" s="156"/>
      <c r="I65" s="156"/>
      <c r="J65" s="156"/>
      <c r="K65" s="156">
        <f t="shared" si="1"/>
        <v>0</v>
      </c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>
        <f t="shared" si="7"/>
        <v>0</v>
      </c>
      <c r="X65" s="156"/>
      <c r="Y65" s="142" t="s">
        <v>84</v>
      </c>
      <c r="AA65" s="142" t="s">
        <v>45</v>
      </c>
      <c r="AB65" s="142"/>
      <c r="AC65" s="156"/>
      <c r="AD65" s="156"/>
      <c r="AE65" s="156"/>
      <c r="AF65" s="156"/>
      <c r="AG65" s="156"/>
      <c r="AH65" s="156"/>
      <c r="AI65" s="143">
        <f t="shared" si="3"/>
        <v>0</v>
      </c>
      <c r="AJ65" s="143"/>
      <c r="AK65" s="156"/>
      <c r="AL65" s="143"/>
      <c r="AM65" s="156"/>
      <c r="AN65" s="156"/>
      <c r="AO65" s="156"/>
      <c r="AP65" s="156"/>
      <c r="AQ65" s="156"/>
      <c r="AR65" s="156"/>
      <c r="AS65" s="143">
        <f t="shared" si="4"/>
        <v>0</v>
      </c>
      <c r="AT65" s="143"/>
      <c r="AU65" s="156">
        <v>0</v>
      </c>
      <c r="AV65" s="156"/>
      <c r="AW65" s="156">
        <v>0</v>
      </c>
      <c r="AX65" s="156"/>
      <c r="AY65" s="156">
        <f t="shared" si="5"/>
        <v>0</v>
      </c>
      <c r="AZ65" s="156"/>
      <c r="BA65" s="142" t="s">
        <v>84</v>
      </c>
      <c r="BC65" s="142" t="s">
        <v>45</v>
      </c>
      <c r="BD65" s="156"/>
      <c r="BE65" s="156"/>
      <c r="BF65" s="156"/>
      <c r="BG65" s="156"/>
      <c r="BH65" s="156"/>
      <c r="BI65" s="156"/>
      <c r="BJ65" s="156"/>
      <c r="BK65" s="156"/>
      <c r="BL65" s="156"/>
      <c r="BM65" s="156">
        <f t="shared" si="6"/>
        <v>0</v>
      </c>
      <c r="BN65" s="158" t="s">
        <v>347</v>
      </c>
      <c r="BR65" s="140"/>
      <c r="BS65" s="156"/>
      <c r="BT65" s="156"/>
      <c r="BU65" s="156"/>
      <c r="BV65" s="156"/>
      <c r="BW65" s="143"/>
      <c r="BX65" s="143"/>
      <c r="BY65" s="156"/>
      <c r="BZ65" s="156"/>
      <c r="CA65" s="156"/>
      <c r="CB65" s="156"/>
      <c r="CC65" s="156"/>
      <c r="CD65" s="156"/>
      <c r="CE65" s="156"/>
      <c r="CF65" s="142"/>
      <c r="CH65" s="142"/>
      <c r="CI65" s="156"/>
      <c r="CJ65" s="156"/>
      <c r="CK65" s="156"/>
      <c r="CL65" s="156"/>
      <c r="CM65" s="156"/>
      <c r="CN65" s="156"/>
      <c r="CO65" s="156"/>
      <c r="CP65" s="156"/>
      <c r="CQ65" s="156"/>
      <c r="CR65" s="156"/>
      <c r="CS65" s="158"/>
    </row>
    <row r="66" spans="1:105" s="55" customFormat="1" ht="12.75" customHeight="1">
      <c r="A66" s="35" t="s">
        <v>85</v>
      </c>
      <c r="B66" s="51"/>
      <c r="C66" s="35" t="s">
        <v>85</v>
      </c>
      <c r="D66" s="44"/>
      <c r="E66" s="53">
        <f t="shared" si="0"/>
        <v>3131861</v>
      </c>
      <c r="F66" s="53"/>
      <c r="G66" s="53">
        <v>19861178</v>
      </c>
      <c r="H66" s="53"/>
      <c r="I66" s="53">
        <v>22993039</v>
      </c>
      <c r="J66" s="53"/>
      <c r="K66" s="53">
        <f t="shared" si="1"/>
        <v>6539442</v>
      </c>
      <c r="L66" s="53"/>
      <c r="M66" s="53">
        <v>9362061</v>
      </c>
      <c r="N66" s="53"/>
      <c r="O66" s="53">
        <v>15901503</v>
      </c>
      <c r="P66" s="53"/>
      <c r="Q66" s="53">
        <v>4831267</v>
      </c>
      <c r="R66" s="53"/>
      <c r="S66" s="53">
        <v>0</v>
      </c>
      <c r="T66" s="53"/>
      <c r="U66" s="53">
        <v>2292533</v>
      </c>
      <c r="V66" s="53"/>
      <c r="W66" s="53">
        <f t="shared" si="7"/>
        <v>7123800</v>
      </c>
      <c r="X66" s="53"/>
      <c r="Y66" s="35" t="s">
        <v>85</v>
      </c>
      <c r="AA66" s="35" t="s">
        <v>85</v>
      </c>
      <c r="AB66" s="35"/>
      <c r="AC66" s="53">
        <v>4407339</v>
      </c>
      <c r="AD66" s="53"/>
      <c r="AE66" s="53">
        <f>3473987-570561</f>
        <v>2903426</v>
      </c>
      <c r="AF66" s="53"/>
      <c r="AG66" s="53">
        <v>570561</v>
      </c>
      <c r="AH66" s="53"/>
      <c r="AI66" s="45">
        <f t="shared" si="3"/>
        <v>933352</v>
      </c>
      <c r="AJ66" s="45"/>
      <c r="AK66" s="53">
        <v>-511852</v>
      </c>
      <c r="AL66" s="45"/>
      <c r="AM66" s="53">
        <v>17181</v>
      </c>
      <c r="AN66" s="53"/>
      <c r="AO66" s="53">
        <v>0</v>
      </c>
      <c r="AP66" s="53"/>
      <c r="AQ66" s="53">
        <v>23095</v>
      </c>
      <c r="AR66" s="53"/>
      <c r="AS66" s="45">
        <f t="shared" si="4"/>
        <v>461776</v>
      </c>
      <c r="AT66" s="45"/>
      <c r="AU66" s="53">
        <v>0</v>
      </c>
      <c r="AV66" s="53"/>
      <c r="AW66" s="53">
        <v>0</v>
      </c>
      <c r="AX66" s="53"/>
      <c r="AY66" s="53">
        <f t="shared" si="5"/>
        <v>-3407581</v>
      </c>
      <c r="AZ66" s="53"/>
      <c r="BA66" s="35" t="s">
        <v>85</v>
      </c>
      <c r="BC66" s="35" t="s">
        <v>85</v>
      </c>
      <c r="BD66" s="53"/>
      <c r="BE66" s="53">
        <v>0</v>
      </c>
      <c r="BF66" s="53"/>
      <c r="BG66" s="53">
        <v>0</v>
      </c>
      <c r="BH66" s="53"/>
      <c r="BI66" s="53">
        <f>9084102+123159</f>
        <v>9207261</v>
      </c>
      <c r="BJ66" s="53"/>
      <c r="BK66" s="53">
        <f>3139+44178+107483</f>
        <v>154800</v>
      </c>
      <c r="BL66" s="53"/>
      <c r="BM66" s="53">
        <f t="shared" si="6"/>
        <v>9362061</v>
      </c>
      <c r="BN66" s="54" t="s">
        <v>347</v>
      </c>
      <c r="BR66" s="51"/>
      <c r="BS66" s="53"/>
      <c r="BT66" s="53"/>
      <c r="BU66" s="53"/>
      <c r="BV66" s="53"/>
      <c r="BW66" s="45"/>
      <c r="BX66" s="45"/>
      <c r="BY66" s="53"/>
      <c r="BZ66" s="53"/>
      <c r="CA66" s="53"/>
      <c r="CB66" s="53"/>
      <c r="CC66" s="53"/>
      <c r="CD66" s="53"/>
      <c r="CE66" s="53"/>
      <c r="CF66" s="35"/>
      <c r="CH66" s="35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4"/>
    </row>
    <row r="67" spans="1:105" s="55" customFormat="1" ht="12.75" customHeight="1">
      <c r="A67" s="35" t="s">
        <v>86</v>
      </c>
      <c r="B67" s="51"/>
      <c r="C67" s="35" t="s">
        <v>86</v>
      </c>
      <c r="D67" s="44"/>
      <c r="E67" s="53">
        <f t="shared" si="0"/>
        <v>6463121</v>
      </c>
      <c r="F67" s="53"/>
      <c r="G67" s="53">
        <v>70138897</v>
      </c>
      <c r="H67" s="53"/>
      <c r="I67" s="53">
        <v>76602018</v>
      </c>
      <c r="J67" s="53"/>
      <c r="K67" s="53">
        <f t="shared" si="1"/>
        <v>2167323</v>
      </c>
      <c r="L67" s="53"/>
      <c r="M67" s="53">
        <v>45399520</v>
      </c>
      <c r="N67" s="53"/>
      <c r="O67" s="53">
        <v>47566843</v>
      </c>
      <c r="P67" s="53"/>
      <c r="Q67" s="53">
        <v>22469052</v>
      </c>
      <c r="R67" s="53"/>
      <c r="S67" s="53">
        <v>0</v>
      </c>
      <c r="T67" s="53"/>
      <c r="U67" s="53">
        <v>6566123</v>
      </c>
      <c r="V67" s="53"/>
      <c r="W67" s="53">
        <f t="shared" si="7"/>
        <v>29035175</v>
      </c>
      <c r="X67" s="53"/>
      <c r="Y67" s="35" t="s">
        <v>86</v>
      </c>
      <c r="AA67" s="35" t="s">
        <v>86</v>
      </c>
      <c r="AB67" s="35"/>
      <c r="AC67" s="53">
        <v>5547535</v>
      </c>
      <c r="AD67" s="53"/>
      <c r="AE67" s="53">
        <f>3993553-1067082</f>
        <v>2926471</v>
      </c>
      <c r="AF67" s="53"/>
      <c r="AG67" s="53">
        <v>1067082</v>
      </c>
      <c r="AH67" s="53"/>
      <c r="AI67" s="45">
        <f t="shared" si="3"/>
        <v>1553982</v>
      </c>
      <c r="AJ67" s="45"/>
      <c r="AK67" s="53">
        <v>-1902140</v>
      </c>
      <c r="AL67" s="45"/>
      <c r="AM67" s="53">
        <v>0</v>
      </c>
      <c r="AN67" s="53"/>
      <c r="AO67" s="53">
        <v>0</v>
      </c>
      <c r="AP67" s="53"/>
      <c r="AQ67" s="53">
        <v>0</v>
      </c>
      <c r="AR67" s="53"/>
      <c r="AS67" s="45">
        <f t="shared" si="4"/>
        <v>-348158</v>
      </c>
      <c r="AT67" s="45"/>
      <c r="AU67" s="53">
        <v>0</v>
      </c>
      <c r="AV67" s="53"/>
      <c r="AW67" s="53">
        <v>0</v>
      </c>
      <c r="AX67" s="53"/>
      <c r="AY67" s="53">
        <f t="shared" si="5"/>
        <v>4295798</v>
      </c>
      <c r="AZ67" s="53"/>
      <c r="BA67" s="35" t="s">
        <v>86</v>
      </c>
      <c r="BC67" s="35" t="s">
        <v>86</v>
      </c>
      <c r="BD67" s="53"/>
      <c r="BE67" s="53">
        <v>5880791</v>
      </c>
      <c r="BF67" s="53"/>
      <c r="BG67" s="53">
        <v>0</v>
      </c>
      <c r="BH67" s="53"/>
      <c r="BI67" s="53">
        <v>24272081</v>
      </c>
      <c r="BJ67" s="53"/>
      <c r="BK67" s="53">
        <f>35000+200250+11398+15000000</f>
        <v>15246648</v>
      </c>
      <c r="BL67" s="53"/>
      <c r="BM67" s="53">
        <f t="shared" si="6"/>
        <v>45399520</v>
      </c>
      <c r="BN67" s="54" t="s">
        <v>347</v>
      </c>
      <c r="BR67" s="51"/>
      <c r="BS67" s="53"/>
      <c r="BT67" s="53"/>
      <c r="BU67" s="53"/>
      <c r="BV67" s="53"/>
      <c r="BW67" s="45"/>
      <c r="BX67" s="45"/>
      <c r="BY67" s="53"/>
      <c r="BZ67" s="53"/>
      <c r="CA67" s="53"/>
      <c r="CB67" s="53"/>
      <c r="CC67" s="53"/>
      <c r="CD67" s="53"/>
      <c r="CE67" s="53"/>
      <c r="CF67" s="35"/>
      <c r="CH67" s="35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4"/>
    </row>
    <row r="68" spans="1:105" s="55" customFormat="1" ht="12.75" customHeight="1">
      <c r="A68" s="64" t="s">
        <v>87</v>
      </c>
      <c r="B68" s="90"/>
      <c r="C68" s="64" t="s">
        <v>88</v>
      </c>
      <c r="D68" s="46"/>
      <c r="E68" s="53">
        <f t="shared" si="0"/>
        <v>3727476</v>
      </c>
      <c r="F68" s="53"/>
      <c r="G68" s="53">
        <v>35431283</v>
      </c>
      <c r="H68" s="53"/>
      <c r="I68" s="53">
        <v>39158759</v>
      </c>
      <c r="J68" s="53"/>
      <c r="K68" s="53">
        <f t="shared" si="1"/>
        <v>1267054</v>
      </c>
      <c r="L68" s="53"/>
      <c r="M68" s="53">
        <v>33788725</v>
      </c>
      <c r="N68" s="53"/>
      <c r="O68" s="53">
        <v>35055779</v>
      </c>
      <c r="P68" s="53"/>
      <c r="Q68" s="53">
        <v>578920</v>
      </c>
      <c r="R68" s="53"/>
      <c r="S68" s="53">
        <v>0</v>
      </c>
      <c r="T68" s="53"/>
      <c r="U68" s="53">
        <v>1400707</v>
      </c>
      <c r="V68" s="53"/>
      <c r="W68" s="53">
        <f t="shared" si="7"/>
        <v>1979627</v>
      </c>
      <c r="X68" s="79"/>
      <c r="Y68" s="64" t="s">
        <v>87</v>
      </c>
      <c r="Z68" s="90"/>
      <c r="AA68" s="64" t="s">
        <v>88</v>
      </c>
      <c r="AB68" s="64"/>
      <c r="AC68" s="53">
        <v>2616415</v>
      </c>
      <c r="AD68" s="53"/>
      <c r="AE68" s="53">
        <f>5059862-2658696</f>
        <v>2401166</v>
      </c>
      <c r="AF68" s="53"/>
      <c r="AG68" s="53">
        <v>2658696</v>
      </c>
      <c r="AH68" s="53"/>
      <c r="AI68" s="45">
        <f t="shared" si="3"/>
        <v>-2443447</v>
      </c>
      <c r="AJ68" s="45"/>
      <c r="AK68" s="53">
        <v>-696295</v>
      </c>
      <c r="AL68" s="45"/>
      <c r="AM68" s="53">
        <v>1000000</v>
      </c>
      <c r="AN68" s="53"/>
      <c r="AO68" s="53">
        <v>20000</v>
      </c>
      <c r="AP68" s="53"/>
      <c r="AQ68" s="53">
        <v>0</v>
      </c>
      <c r="AR68" s="53"/>
      <c r="AS68" s="45">
        <f t="shared" si="4"/>
        <v>-2159742</v>
      </c>
      <c r="AT68" s="45"/>
      <c r="AU68" s="53">
        <v>0</v>
      </c>
      <c r="AV68" s="53"/>
      <c r="AW68" s="53">
        <v>0</v>
      </c>
      <c r="AX68" s="53"/>
      <c r="AY68" s="53">
        <f t="shared" si="5"/>
        <v>2460422</v>
      </c>
      <c r="AZ68" s="79"/>
      <c r="BA68" s="64" t="s">
        <v>87</v>
      </c>
      <c r="BB68" s="90"/>
      <c r="BC68" s="64" t="s">
        <v>88</v>
      </c>
      <c r="BD68" s="79"/>
      <c r="BE68" s="53">
        <v>0</v>
      </c>
      <c r="BF68" s="53"/>
      <c r="BG68" s="53">
        <v>0</v>
      </c>
      <c r="BH68" s="53"/>
      <c r="BI68" s="53">
        <v>33737464</v>
      </c>
      <c r="BJ68" s="53"/>
      <c r="BK68" s="53">
        <v>51261</v>
      </c>
      <c r="BL68" s="53"/>
      <c r="BM68" s="53">
        <f t="shared" si="6"/>
        <v>33788725</v>
      </c>
      <c r="BN68" s="54" t="s">
        <v>347</v>
      </c>
      <c r="BO68" s="35"/>
      <c r="BP68" s="35"/>
      <c r="BR68" s="51"/>
      <c r="BS68" s="53"/>
      <c r="BT68" s="53"/>
      <c r="BU68" s="53"/>
      <c r="BV68" s="53"/>
      <c r="BW68" s="45"/>
      <c r="BX68" s="45"/>
      <c r="BY68" s="53"/>
      <c r="BZ68" s="53"/>
      <c r="CA68" s="53"/>
      <c r="CB68" s="53"/>
      <c r="CC68" s="53"/>
      <c r="CD68" s="53"/>
      <c r="CE68" s="53"/>
      <c r="CF68" s="35"/>
      <c r="CH68" s="35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4"/>
      <c r="CT68" s="35"/>
      <c r="CU68" s="35"/>
    </row>
    <row r="69" spans="1:105" s="55" customFormat="1" ht="12.75" customHeight="1">
      <c r="A69" s="35" t="s">
        <v>394</v>
      </c>
      <c r="B69" s="51"/>
      <c r="C69" s="35" t="s">
        <v>89</v>
      </c>
      <c r="D69" s="44"/>
      <c r="E69" s="53">
        <f t="shared" si="0"/>
        <v>3206267</v>
      </c>
      <c r="F69" s="53"/>
      <c r="G69" s="53">
        <v>18895704</v>
      </c>
      <c r="H69" s="53"/>
      <c r="I69" s="53">
        <v>22101971</v>
      </c>
      <c r="J69" s="53"/>
      <c r="K69" s="53">
        <f t="shared" si="1"/>
        <v>378124</v>
      </c>
      <c r="L69" s="53"/>
      <c r="M69" s="53">
        <v>8504122</v>
      </c>
      <c r="N69" s="53"/>
      <c r="O69" s="53">
        <v>8882246</v>
      </c>
      <c r="P69" s="53"/>
      <c r="Q69" s="53">
        <v>18635704</v>
      </c>
      <c r="R69" s="53"/>
      <c r="S69" s="53">
        <v>0</v>
      </c>
      <c r="T69" s="53"/>
      <c r="U69" s="53">
        <v>-5415979</v>
      </c>
      <c r="V69" s="53"/>
      <c r="W69" s="53">
        <f t="shared" si="7"/>
        <v>13219725</v>
      </c>
      <c r="X69" s="53"/>
      <c r="Y69" s="35" t="s">
        <v>394</v>
      </c>
      <c r="AA69" s="35" t="s">
        <v>89</v>
      </c>
      <c r="AB69" s="35"/>
      <c r="AC69" s="53">
        <v>3174142</v>
      </c>
      <c r="AD69" s="53"/>
      <c r="AE69" s="53">
        <f>2274227-379931</f>
        <v>1894296</v>
      </c>
      <c r="AF69" s="53"/>
      <c r="AG69" s="53">
        <v>379931</v>
      </c>
      <c r="AH69" s="53"/>
      <c r="AI69" s="45">
        <f t="shared" si="3"/>
        <v>899915</v>
      </c>
      <c r="AJ69" s="45"/>
      <c r="AK69" s="53">
        <v>-36086</v>
      </c>
      <c r="AL69" s="45"/>
      <c r="AM69" s="53">
        <v>0</v>
      </c>
      <c r="AN69" s="53"/>
      <c r="AO69" s="53">
        <v>0</v>
      </c>
      <c r="AP69" s="53"/>
      <c r="AQ69" s="53">
        <v>0</v>
      </c>
      <c r="AR69" s="53"/>
      <c r="AS69" s="45">
        <f t="shared" si="4"/>
        <v>863829</v>
      </c>
      <c r="AT69" s="45"/>
      <c r="AU69" s="53">
        <v>0</v>
      </c>
      <c r="AV69" s="53"/>
      <c r="AW69" s="53">
        <v>0</v>
      </c>
      <c r="AX69" s="53"/>
      <c r="AY69" s="53">
        <f t="shared" si="5"/>
        <v>2828143</v>
      </c>
      <c r="AZ69" s="53"/>
      <c r="BA69" s="35" t="s">
        <v>395</v>
      </c>
      <c r="BC69" s="35" t="s">
        <v>89</v>
      </c>
      <c r="BD69" s="53"/>
      <c r="BE69" s="53">
        <v>135000</v>
      </c>
      <c r="BF69" s="53"/>
      <c r="BG69" s="53">
        <v>0</v>
      </c>
      <c r="BH69" s="53"/>
      <c r="BI69" s="53">
        <v>8248331</v>
      </c>
      <c r="BJ69" s="53"/>
      <c r="BK69" s="53">
        <v>120791</v>
      </c>
      <c r="BL69" s="53"/>
      <c r="BM69" s="53">
        <f t="shared" si="6"/>
        <v>8504122</v>
      </c>
      <c r="BN69" s="54" t="s">
        <v>347</v>
      </c>
      <c r="BR69" s="51"/>
      <c r="BS69" s="53"/>
      <c r="BT69" s="53"/>
      <c r="BU69" s="53"/>
      <c r="BV69" s="53"/>
      <c r="BW69" s="53"/>
      <c r="BX69" s="45"/>
      <c r="BY69" s="45"/>
      <c r="BZ69" s="53"/>
      <c r="CA69" s="53"/>
      <c r="CB69" s="53"/>
      <c r="CC69" s="53"/>
      <c r="CD69" s="53"/>
      <c r="CE69" s="53"/>
      <c r="CF69" s="35"/>
      <c r="CH69" s="35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4"/>
    </row>
    <row r="70" spans="1:105" s="55" customFormat="1" ht="12.75" customHeight="1">
      <c r="A70" s="35" t="s">
        <v>90</v>
      </c>
      <c r="B70" s="96"/>
      <c r="C70" s="35" t="s">
        <v>43</v>
      </c>
      <c r="D70" s="44"/>
      <c r="E70" s="53">
        <f t="shared" si="0"/>
        <v>11694408</v>
      </c>
      <c r="F70" s="53"/>
      <c r="G70" s="53">
        <v>44845263</v>
      </c>
      <c r="H70" s="53"/>
      <c r="I70" s="53">
        <v>56539671</v>
      </c>
      <c r="J70" s="53"/>
      <c r="K70" s="53">
        <f t="shared" si="1"/>
        <v>1278486</v>
      </c>
      <c r="L70" s="53"/>
      <c r="M70" s="53">
        <v>10894765</v>
      </c>
      <c r="N70" s="53"/>
      <c r="O70" s="53">
        <v>12173251</v>
      </c>
      <c r="P70" s="53"/>
      <c r="Q70" s="53">
        <v>33103566</v>
      </c>
      <c r="R70" s="53"/>
      <c r="S70" s="53">
        <v>0</v>
      </c>
      <c r="T70" s="53"/>
      <c r="U70" s="53">
        <v>11262854</v>
      </c>
      <c r="V70" s="53"/>
      <c r="W70" s="53">
        <f t="shared" si="7"/>
        <v>44366420</v>
      </c>
      <c r="X70" s="53"/>
      <c r="Y70" s="35" t="s">
        <v>90</v>
      </c>
      <c r="AA70" s="35" t="s">
        <v>43</v>
      </c>
      <c r="AB70" s="35"/>
      <c r="AC70" s="53">
        <v>1906973</v>
      </c>
      <c r="AD70" s="53"/>
      <c r="AE70" s="53">
        <f>3131826-1129513</f>
        <v>2002313</v>
      </c>
      <c r="AF70" s="53"/>
      <c r="AG70" s="53">
        <v>1129513</v>
      </c>
      <c r="AH70" s="53"/>
      <c r="AI70" s="45">
        <f t="shared" si="3"/>
        <v>-1224853</v>
      </c>
      <c r="AJ70" s="45"/>
      <c r="AK70" s="53">
        <v>90849</v>
      </c>
      <c r="AL70" s="45"/>
      <c r="AM70" s="53">
        <v>0</v>
      </c>
      <c r="AN70" s="53"/>
      <c r="AO70" s="53">
        <v>0</v>
      </c>
      <c r="AP70" s="53"/>
      <c r="AQ70" s="53">
        <v>32196</v>
      </c>
      <c r="AR70" s="53"/>
      <c r="AS70" s="45">
        <f t="shared" si="4"/>
        <v>-1101808</v>
      </c>
      <c r="AT70" s="45"/>
      <c r="AU70" s="53">
        <v>0</v>
      </c>
      <c r="AV70" s="53"/>
      <c r="AW70" s="53">
        <v>0</v>
      </c>
      <c r="AX70" s="53"/>
      <c r="AY70" s="53">
        <f t="shared" si="5"/>
        <v>10415922</v>
      </c>
      <c r="AZ70" s="53"/>
      <c r="BA70" s="35" t="s">
        <v>90</v>
      </c>
      <c r="BC70" s="35" t="s">
        <v>43</v>
      </c>
      <c r="BD70" s="53"/>
      <c r="BE70" s="53">
        <v>0</v>
      </c>
      <c r="BF70" s="53"/>
      <c r="BG70" s="53">
        <v>0</v>
      </c>
      <c r="BH70" s="53"/>
      <c r="BI70" s="53">
        <v>10886410</v>
      </c>
      <c r="BJ70" s="53"/>
      <c r="BK70" s="53">
        <v>8355</v>
      </c>
      <c r="BL70" s="53"/>
      <c r="BM70" s="53">
        <f t="shared" si="6"/>
        <v>10894765</v>
      </c>
      <c r="BN70" s="54" t="s">
        <v>347</v>
      </c>
      <c r="BR70" s="96"/>
      <c r="BS70" s="53"/>
      <c r="BT70" s="53"/>
      <c r="BU70" s="53"/>
      <c r="BV70" s="53"/>
      <c r="BW70" s="53"/>
      <c r="BX70" s="45"/>
      <c r="BY70" s="45"/>
      <c r="BZ70" s="53"/>
      <c r="CA70" s="53"/>
      <c r="CB70" s="53"/>
      <c r="CC70" s="53"/>
      <c r="CD70" s="53"/>
      <c r="CE70" s="53"/>
      <c r="CF70" s="35"/>
      <c r="CH70" s="35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4"/>
    </row>
    <row r="71" spans="1:105" s="55" customFormat="1" ht="12.75" customHeight="1">
      <c r="A71" s="35" t="s">
        <v>93</v>
      </c>
      <c r="B71" s="51"/>
      <c r="C71" s="35" t="s">
        <v>94</v>
      </c>
      <c r="D71" s="44"/>
      <c r="E71" s="53">
        <f t="shared" si="0"/>
        <v>1157560</v>
      </c>
      <c r="F71" s="53"/>
      <c r="G71" s="53">
        <v>721125</v>
      </c>
      <c r="H71" s="53"/>
      <c r="I71" s="53">
        <v>1878685</v>
      </c>
      <c r="J71" s="53"/>
      <c r="K71" s="53">
        <f t="shared" si="1"/>
        <v>213610</v>
      </c>
      <c r="L71" s="53"/>
      <c r="M71" s="53">
        <v>573244</v>
      </c>
      <c r="N71" s="53"/>
      <c r="O71" s="53">
        <v>786854</v>
      </c>
      <c r="P71" s="53"/>
      <c r="Q71" s="53">
        <v>95134</v>
      </c>
      <c r="R71" s="53"/>
      <c r="S71" s="53">
        <v>0</v>
      </c>
      <c r="T71" s="53"/>
      <c r="U71" s="53">
        <v>996697</v>
      </c>
      <c r="V71" s="53"/>
      <c r="W71" s="53">
        <f t="shared" si="7"/>
        <v>1091831</v>
      </c>
      <c r="X71" s="53"/>
      <c r="Y71" s="35" t="s">
        <v>93</v>
      </c>
      <c r="AA71" s="35" t="s">
        <v>94</v>
      </c>
      <c r="AB71" s="35"/>
      <c r="AC71" s="53">
        <v>971481</v>
      </c>
      <c r="AD71" s="53"/>
      <c r="AE71" s="53">
        <v>725957</v>
      </c>
      <c r="AF71" s="53"/>
      <c r="AG71" s="53">
        <v>121952</v>
      </c>
      <c r="AH71" s="53"/>
      <c r="AI71" s="45">
        <f t="shared" si="3"/>
        <v>123572</v>
      </c>
      <c r="AJ71" s="45"/>
      <c r="AK71" s="53">
        <v>-8714</v>
      </c>
      <c r="AL71" s="45"/>
      <c r="AM71" s="53">
        <v>0</v>
      </c>
      <c r="AN71" s="53"/>
      <c r="AO71" s="53">
        <v>177143</v>
      </c>
      <c r="AP71" s="53"/>
      <c r="AQ71" s="53">
        <v>7492</v>
      </c>
      <c r="AR71" s="53"/>
      <c r="AS71" s="45">
        <f t="shared" si="4"/>
        <v>-54793</v>
      </c>
      <c r="AT71" s="45"/>
      <c r="AU71" s="53">
        <v>0</v>
      </c>
      <c r="AV71" s="53"/>
      <c r="AW71" s="53">
        <v>0</v>
      </c>
      <c r="AX71" s="53"/>
      <c r="AY71" s="53">
        <f t="shared" si="5"/>
        <v>943950</v>
      </c>
      <c r="AZ71" s="53"/>
      <c r="BA71" s="35" t="s">
        <v>93</v>
      </c>
      <c r="BC71" s="35" t="s">
        <v>94</v>
      </c>
      <c r="BD71" s="53"/>
      <c r="BE71" s="53">
        <v>0</v>
      </c>
      <c r="BF71" s="53"/>
      <c r="BG71" s="53">
        <v>0</v>
      </c>
      <c r="BH71" s="53"/>
      <c r="BI71" s="53">
        <v>536020</v>
      </c>
      <c r="BJ71" s="53"/>
      <c r="BK71" s="53">
        <v>37224</v>
      </c>
      <c r="BL71" s="53"/>
      <c r="BM71" s="53">
        <f t="shared" si="6"/>
        <v>573244</v>
      </c>
      <c r="BN71" s="54" t="s">
        <v>347</v>
      </c>
      <c r="BO71" s="35"/>
      <c r="BR71" s="51"/>
      <c r="BS71" s="53"/>
      <c r="BT71" s="53"/>
      <c r="BU71" s="53"/>
      <c r="BV71" s="53"/>
      <c r="BW71" s="45"/>
      <c r="BX71" s="45"/>
      <c r="BY71" s="53"/>
      <c r="BZ71" s="53"/>
      <c r="CA71" s="53"/>
      <c r="CB71" s="53"/>
      <c r="CC71" s="53"/>
      <c r="CD71" s="53"/>
      <c r="CE71" s="53"/>
      <c r="CF71" s="35"/>
      <c r="CH71" s="35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4"/>
      <c r="CT71" s="35"/>
    </row>
    <row r="72" spans="1:105" s="55" customFormat="1" ht="12.75" customHeight="1">
      <c r="A72" s="35" t="s">
        <v>492</v>
      </c>
      <c r="B72" s="51"/>
      <c r="C72" s="35" t="s">
        <v>27</v>
      </c>
      <c r="D72" s="44"/>
      <c r="E72" s="53">
        <f>I72-G72</f>
        <v>1191170</v>
      </c>
      <c r="F72" s="53"/>
      <c r="G72" s="53">
        <v>152218</v>
      </c>
      <c r="H72" s="53"/>
      <c r="I72" s="53">
        <v>1343388</v>
      </c>
      <c r="J72" s="53"/>
      <c r="K72" s="53">
        <f>O72-M72</f>
        <v>1791337</v>
      </c>
      <c r="L72" s="53"/>
      <c r="M72" s="53">
        <v>3142</v>
      </c>
      <c r="N72" s="53"/>
      <c r="O72" s="53">
        <v>1794479</v>
      </c>
      <c r="P72" s="53"/>
      <c r="Q72" s="53">
        <v>154507</v>
      </c>
      <c r="R72" s="53"/>
      <c r="S72" s="53">
        <v>0</v>
      </c>
      <c r="T72" s="53"/>
      <c r="U72" s="53">
        <v>-605598</v>
      </c>
      <c r="V72" s="53"/>
      <c r="W72" s="53">
        <f>SUM(Q72:U72)</f>
        <v>-451091</v>
      </c>
      <c r="X72" s="53"/>
      <c r="Y72" s="35" t="s">
        <v>492</v>
      </c>
      <c r="AA72" s="35" t="s">
        <v>27</v>
      </c>
      <c r="AB72" s="35"/>
      <c r="AC72" s="53">
        <v>3471305</v>
      </c>
      <c r="AD72" s="53"/>
      <c r="AE72" s="53">
        <f>4880036-2289</f>
        <v>4877747</v>
      </c>
      <c r="AF72" s="53"/>
      <c r="AG72" s="53">
        <v>2289</v>
      </c>
      <c r="AH72" s="53"/>
      <c r="AI72" s="45">
        <f>+AC72-AE72-AG72</f>
        <v>-1408731</v>
      </c>
      <c r="AJ72" s="45"/>
      <c r="AK72" s="53">
        <v>0</v>
      </c>
      <c r="AL72" s="45"/>
      <c r="AM72" s="53">
        <v>0</v>
      </c>
      <c r="AN72" s="53"/>
      <c r="AO72" s="53">
        <v>0</v>
      </c>
      <c r="AP72" s="53"/>
      <c r="AQ72" s="53">
        <v>0</v>
      </c>
      <c r="AR72" s="53"/>
      <c r="AS72" s="45">
        <f>+AI72+AK72+AM72-AO72+AQ72</f>
        <v>-1408731</v>
      </c>
      <c r="AT72" s="45"/>
      <c r="AU72" s="53">
        <v>0</v>
      </c>
      <c r="AV72" s="53"/>
      <c r="AW72" s="53">
        <v>0</v>
      </c>
      <c r="AX72" s="53"/>
      <c r="AY72" s="53">
        <f>+E72-K72</f>
        <v>-600167</v>
      </c>
      <c r="AZ72" s="53"/>
      <c r="BA72" s="35" t="s">
        <v>492</v>
      </c>
      <c r="BC72" s="35" t="s">
        <v>27</v>
      </c>
      <c r="BD72" s="53"/>
      <c r="BE72" s="53">
        <v>0</v>
      </c>
      <c r="BF72" s="53"/>
      <c r="BG72" s="53">
        <v>0</v>
      </c>
      <c r="BH72" s="53"/>
      <c r="BI72" s="53">
        <v>0</v>
      </c>
      <c r="BJ72" s="53"/>
      <c r="BK72" s="53">
        <v>3142</v>
      </c>
      <c r="BL72" s="53"/>
      <c r="BM72" s="53">
        <f>SUM(BE72:BK72)</f>
        <v>3142</v>
      </c>
      <c r="BN72" s="54" t="s">
        <v>347</v>
      </c>
      <c r="BO72" s="35"/>
      <c r="BP72" s="35"/>
      <c r="BR72" s="51"/>
      <c r="BS72" s="53"/>
      <c r="BT72" s="53"/>
      <c r="BU72" s="53"/>
      <c r="BV72" s="53"/>
      <c r="BW72" s="45"/>
      <c r="BX72" s="45"/>
      <c r="BY72" s="53"/>
      <c r="BZ72" s="53"/>
      <c r="CA72" s="53"/>
      <c r="CB72" s="53"/>
      <c r="CC72" s="53"/>
      <c r="CD72" s="53"/>
      <c r="CE72" s="53"/>
      <c r="CF72" s="35"/>
      <c r="CH72" s="35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4"/>
      <c r="CT72" s="35"/>
      <c r="CU72" s="35"/>
    </row>
    <row r="73" spans="1:105" s="55" customFormat="1" ht="12.75" customHeight="1">
      <c r="A73" s="35" t="s">
        <v>95</v>
      </c>
      <c r="B73" s="51"/>
      <c r="C73" s="35" t="s">
        <v>94</v>
      </c>
      <c r="D73" s="44"/>
      <c r="E73" s="53">
        <f t="shared" ref="E73:E79" si="9">I73-G73</f>
        <v>452433</v>
      </c>
      <c r="F73" s="53"/>
      <c r="G73" s="53">
        <v>7926116</v>
      </c>
      <c r="H73" s="53"/>
      <c r="I73" s="53">
        <v>8378549</v>
      </c>
      <c r="J73" s="53"/>
      <c r="K73" s="53">
        <f t="shared" ref="K73:K79" si="10">O73-M73</f>
        <v>482167</v>
      </c>
      <c r="L73" s="53"/>
      <c r="M73" s="53">
        <v>6772854</v>
      </c>
      <c r="N73" s="53"/>
      <c r="O73" s="53">
        <v>7255021</v>
      </c>
      <c r="P73" s="53"/>
      <c r="Q73" s="53">
        <v>893062</v>
      </c>
      <c r="R73" s="53"/>
      <c r="S73" s="53">
        <v>0</v>
      </c>
      <c r="T73" s="53"/>
      <c r="U73" s="53">
        <v>230466</v>
      </c>
      <c r="V73" s="53"/>
      <c r="W73" s="53">
        <f t="shared" ref="W73:W79" si="11">SUM(Q73:U73)</f>
        <v>1123528</v>
      </c>
      <c r="X73" s="53"/>
      <c r="Y73" s="35" t="s">
        <v>95</v>
      </c>
      <c r="AA73" s="35" t="s">
        <v>94</v>
      </c>
      <c r="AB73" s="35"/>
      <c r="AC73" s="53">
        <v>1082992</v>
      </c>
      <c r="AD73" s="53"/>
      <c r="AE73" s="53">
        <f>798695-309177</f>
        <v>489518</v>
      </c>
      <c r="AF73" s="53"/>
      <c r="AG73" s="53">
        <v>309177</v>
      </c>
      <c r="AH73" s="53"/>
      <c r="AI73" s="45">
        <f t="shared" ref="AI73:AI79" si="12">+AC73-AE73-AG73</f>
        <v>284297</v>
      </c>
      <c r="AJ73" s="45"/>
      <c r="AK73" s="53">
        <v>-223300</v>
      </c>
      <c r="AL73" s="45"/>
      <c r="AM73" s="53">
        <v>16331</v>
      </c>
      <c r="AN73" s="53"/>
      <c r="AO73" s="53">
        <v>70000</v>
      </c>
      <c r="AP73" s="53"/>
      <c r="AQ73" s="53">
        <v>250000</v>
      </c>
      <c r="AR73" s="53"/>
      <c r="AS73" s="45">
        <f t="shared" ref="AS73:AS79" si="13">+AI73+AK73+AM73-AO73+AQ73</f>
        <v>257328</v>
      </c>
      <c r="AT73" s="45"/>
      <c r="AU73" s="53">
        <v>0</v>
      </c>
      <c r="AV73" s="53"/>
      <c r="AW73" s="53">
        <v>0</v>
      </c>
      <c r="AX73" s="53"/>
      <c r="AY73" s="53">
        <f t="shared" ref="AY73:AY79" si="14">+E73-K73</f>
        <v>-29734</v>
      </c>
      <c r="AZ73" s="53"/>
      <c r="BA73" s="35" t="s">
        <v>95</v>
      </c>
      <c r="BC73" s="35" t="s">
        <v>94</v>
      </c>
      <c r="BD73" s="53"/>
      <c r="BE73" s="53">
        <v>3333065</v>
      </c>
      <c r="BF73" s="53"/>
      <c r="BG73" s="53">
        <v>0</v>
      </c>
      <c r="BH73" s="53"/>
      <c r="BI73" s="53">
        <f>2881507+470948+25000</f>
        <v>3377455</v>
      </c>
      <c r="BJ73" s="53"/>
      <c r="BK73" s="53">
        <v>62334</v>
      </c>
      <c r="BL73" s="53"/>
      <c r="BM73" s="53">
        <f t="shared" ref="BM73:BM79" si="15">SUM(BE73:BK73)</f>
        <v>6772854</v>
      </c>
      <c r="BN73" s="54" t="s">
        <v>347</v>
      </c>
      <c r="BO73" s="35"/>
      <c r="BP73" s="35"/>
      <c r="BR73" s="51"/>
      <c r="BS73" s="53"/>
      <c r="BT73" s="53"/>
      <c r="BU73" s="53"/>
      <c r="BV73" s="53"/>
      <c r="BW73" s="45"/>
      <c r="BX73" s="45"/>
      <c r="BY73" s="53"/>
      <c r="BZ73" s="53"/>
      <c r="CA73" s="53"/>
      <c r="CB73" s="53"/>
      <c r="CC73" s="53"/>
      <c r="CD73" s="53"/>
      <c r="CE73" s="53"/>
      <c r="CF73" s="35"/>
      <c r="CH73" s="35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4"/>
      <c r="CT73" s="35"/>
      <c r="CU73" s="35"/>
    </row>
    <row r="74" spans="1:105" s="55" customFormat="1" ht="12.75" customHeight="1">
      <c r="A74" s="35" t="s">
        <v>91</v>
      </c>
      <c r="B74" s="51"/>
      <c r="C74" s="35" t="s">
        <v>92</v>
      </c>
      <c r="D74" s="44"/>
      <c r="E74" s="53">
        <f t="shared" si="9"/>
        <v>1070978</v>
      </c>
      <c r="F74" s="53"/>
      <c r="G74" s="53">
        <v>2230111</v>
      </c>
      <c r="H74" s="53"/>
      <c r="I74" s="53">
        <v>3301089</v>
      </c>
      <c r="J74" s="53"/>
      <c r="K74" s="53">
        <f t="shared" si="10"/>
        <v>50329</v>
      </c>
      <c r="L74" s="53"/>
      <c r="M74" s="53">
        <v>39476</v>
      </c>
      <c r="N74" s="53"/>
      <c r="O74" s="53">
        <v>89805</v>
      </c>
      <c r="P74" s="53"/>
      <c r="Q74" s="53">
        <v>2230111</v>
      </c>
      <c r="R74" s="53"/>
      <c r="S74" s="53">
        <v>0</v>
      </c>
      <c r="T74" s="53"/>
      <c r="U74" s="53">
        <v>981173</v>
      </c>
      <c r="V74" s="53"/>
      <c r="W74" s="53">
        <f t="shared" si="11"/>
        <v>3211284</v>
      </c>
      <c r="X74" s="53"/>
      <c r="Y74" s="35" t="s">
        <v>91</v>
      </c>
      <c r="AA74" s="35" t="s">
        <v>92</v>
      </c>
      <c r="AB74" s="35"/>
      <c r="AC74" s="53">
        <v>1891819</v>
      </c>
      <c r="AD74" s="53"/>
      <c r="AE74" s="53">
        <f>1936139-208777</f>
        <v>1727362</v>
      </c>
      <c r="AF74" s="53"/>
      <c r="AG74" s="53">
        <v>208777</v>
      </c>
      <c r="AH74" s="53"/>
      <c r="AI74" s="45">
        <f t="shared" si="12"/>
        <v>-44320</v>
      </c>
      <c r="AJ74" s="45"/>
      <c r="AK74" s="53">
        <v>-1379</v>
      </c>
      <c r="AL74" s="45"/>
      <c r="AM74" s="53">
        <v>0</v>
      </c>
      <c r="AN74" s="53"/>
      <c r="AO74" s="53">
        <v>0</v>
      </c>
      <c r="AP74" s="53"/>
      <c r="AQ74" s="53">
        <v>171865</v>
      </c>
      <c r="AR74" s="53"/>
      <c r="AS74" s="45">
        <f t="shared" si="13"/>
        <v>126166</v>
      </c>
      <c r="AT74" s="45"/>
      <c r="AU74" s="53">
        <v>0</v>
      </c>
      <c r="AV74" s="53"/>
      <c r="AW74" s="53">
        <v>0</v>
      </c>
      <c r="AX74" s="53"/>
      <c r="AY74" s="53">
        <f t="shared" si="14"/>
        <v>1020649</v>
      </c>
      <c r="AZ74" s="53"/>
      <c r="BA74" s="35" t="s">
        <v>91</v>
      </c>
      <c r="BC74" s="35" t="s">
        <v>92</v>
      </c>
      <c r="BD74" s="53"/>
      <c r="BE74" s="53">
        <v>0</v>
      </c>
      <c r="BF74" s="53"/>
      <c r="BG74" s="53">
        <v>0</v>
      </c>
      <c r="BH74" s="53"/>
      <c r="BI74" s="53">
        <v>0</v>
      </c>
      <c r="BJ74" s="53"/>
      <c r="BK74" s="53">
        <v>50329</v>
      </c>
      <c r="BL74" s="53"/>
      <c r="BM74" s="53">
        <f t="shared" si="15"/>
        <v>50329</v>
      </c>
      <c r="BN74" s="54" t="s">
        <v>347</v>
      </c>
      <c r="BO74" s="35"/>
      <c r="BP74" s="35"/>
      <c r="BQ74" s="35"/>
      <c r="BR74" s="51"/>
      <c r="BS74" s="53"/>
      <c r="BT74" s="53"/>
      <c r="BU74" s="53"/>
      <c r="BV74" s="53"/>
      <c r="BW74" s="45"/>
      <c r="BX74" s="45"/>
      <c r="BY74" s="53"/>
      <c r="BZ74" s="53"/>
      <c r="CA74" s="53"/>
      <c r="CB74" s="53"/>
      <c r="CC74" s="53"/>
      <c r="CD74" s="53"/>
      <c r="CE74" s="53"/>
      <c r="CF74" s="35"/>
      <c r="CH74" s="35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4"/>
      <c r="CT74" s="35"/>
      <c r="CU74" s="35"/>
      <c r="CV74" s="35"/>
      <c r="CW74" s="35"/>
      <c r="CX74" s="35"/>
      <c r="CY74" s="35"/>
      <c r="CZ74" s="35"/>
      <c r="DA74" s="35"/>
    </row>
    <row r="75" spans="1:105" s="55" customFormat="1" ht="12.75" customHeight="1">
      <c r="A75" s="35" t="s">
        <v>96</v>
      </c>
      <c r="B75" s="51"/>
      <c r="C75" s="35" t="s">
        <v>97</v>
      </c>
      <c r="D75" s="44"/>
      <c r="E75" s="53">
        <f t="shared" si="9"/>
        <v>1518173</v>
      </c>
      <c r="F75" s="53"/>
      <c r="G75" s="53">
        <v>3241004</v>
      </c>
      <c r="H75" s="53"/>
      <c r="I75" s="53">
        <v>4759177</v>
      </c>
      <c r="J75" s="53"/>
      <c r="K75" s="53">
        <f t="shared" si="10"/>
        <v>49709</v>
      </c>
      <c r="L75" s="53"/>
      <c r="M75" s="53">
        <v>54337</v>
      </c>
      <c r="N75" s="53"/>
      <c r="O75" s="53">
        <v>104046</v>
      </c>
      <c r="P75" s="53"/>
      <c r="Q75" s="53">
        <v>3241004</v>
      </c>
      <c r="R75" s="53"/>
      <c r="S75" s="53">
        <v>0</v>
      </c>
      <c r="T75" s="53"/>
      <c r="U75" s="53">
        <v>1414127</v>
      </c>
      <c r="V75" s="53"/>
      <c r="W75" s="53">
        <f t="shared" si="11"/>
        <v>4655131</v>
      </c>
      <c r="X75" s="53"/>
      <c r="Y75" s="35" t="s">
        <v>96</v>
      </c>
      <c r="AA75" s="35" t="s">
        <v>97</v>
      </c>
      <c r="AB75" s="35"/>
      <c r="AC75" s="53">
        <v>1136155</v>
      </c>
      <c r="AD75" s="53"/>
      <c r="AE75" s="53">
        <f>993485-263472</f>
        <v>730013</v>
      </c>
      <c r="AF75" s="53"/>
      <c r="AG75" s="53">
        <v>263472</v>
      </c>
      <c r="AH75" s="53"/>
      <c r="AI75" s="45">
        <f t="shared" si="12"/>
        <v>142670</v>
      </c>
      <c r="AJ75" s="45"/>
      <c r="AK75" s="53">
        <v>0</v>
      </c>
      <c r="AL75" s="45"/>
      <c r="AM75" s="53">
        <v>0</v>
      </c>
      <c r="AN75" s="53"/>
      <c r="AO75" s="53">
        <v>0</v>
      </c>
      <c r="AP75" s="53"/>
      <c r="AQ75" s="53">
        <v>0</v>
      </c>
      <c r="AR75" s="53"/>
      <c r="AS75" s="45">
        <f t="shared" si="13"/>
        <v>142670</v>
      </c>
      <c r="AT75" s="45"/>
      <c r="AU75" s="53">
        <v>0</v>
      </c>
      <c r="AV75" s="53"/>
      <c r="AW75" s="53">
        <v>0</v>
      </c>
      <c r="AX75" s="53"/>
      <c r="AY75" s="53">
        <f t="shared" si="14"/>
        <v>1468464</v>
      </c>
      <c r="AZ75" s="53"/>
      <c r="BA75" s="35" t="s">
        <v>96</v>
      </c>
      <c r="BC75" s="35" t="s">
        <v>97</v>
      </c>
      <c r="BD75" s="53"/>
      <c r="BE75" s="53">
        <v>0</v>
      </c>
      <c r="BF75" s="53"/>
      <c r="BG75" s="53">
        <v>0</v>
      </c>
      <c r="BH75" s="53"/>
      <c r="BI75" s="53">
        <v>0</v>
      </c>
      <c r="BJ75" s="53"/>
      <c r="BK75" s="53">
        <v>54337</v>
      </c>
      <c r="BL75" s="53"/>
      <c r="BM75" s="53">
        <f t="shared" si="15"/>
        <v>54337</v>
      </c>
      <c r="BN75" s="54" t="s">
        <v>347</v>
      </c>
      <c r="BR75" s="51"/>
      <c r="BS75" s="53"/>
      <c r="BT75" s="53"/>
      <c r="BU75" s="53"/>
      <c r="BV75" s="53"/>
      <c r="BW75" s="53"/>
      <c r="BX75" s="45"/>
      <c r="BY75" s="45"/>
      <c r="BZ75" s="53"/>
      <c r="CA75" s="53"/>
      <c r="CB75" s="53"/>
      <c r="CC75" s="53"/>
      <c r="CD75" s="53"/>
      <c r="CE75" s="53"/>
      <c r="CF75" s="35"/>
      <c r="CH75" s="35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4"/>
    </row>
    <row r="76" spans="1:105" s="55" customFormat="1" ht="12.75" customHeight="1">
      <c r="A76" s="35" t="s">
        <v>98</v>
      </c>
      <c r="B76" s="51"/>
      <c r="C76" s="35" t="s">
        <v>17</v>
      </c>
      <c r="D76" s="44"/>
      <c r="E76" s="53">
        <f t="shared" si="9"/>
        <v>374452</v>
      </c>
      <c r="F76" s="53"/>
      <c r="G76" s="53">
        <v>218948</v>
      </c>
      <c r="H76" s="53"/>
      <c r="I76" s="53">
        <v>593400</v>
      </c>
      <c r="J76" s="53"/>
      <c r="K76" s="53">
        <f t="shared" si="10"/>
        <v>11364</v>
      </c>
      <c r="L76" s="53"/>
      <c r="M76" s="53">
        <v>0</v>
      </c>
      <c r="N76" s="53"/>
      <c r="O76" s="53">
        <v>11364</v>
      </c>
      <c r="P76" s="53"/>
      <c r="Q76" s="53">
        <v>218949</v>
      </c>
      <c r="R76" s="53"/>
      <c r="S76" s="53">
        <v>0</v>
      </c>
      <c r="T76" s="53"/>
      <c r="U76" s="53">
        <v>363087</v>
      </c>
      <c r="V76" s="53"/>
      <c r="W76" s="53">
        <f t="shared" si="11"/>
        <v>582036</v>
      </c>
      <c r="X76" s="53"/>
      <c r="Y76" s="35" t="s">
        <v>98</v>
      </c>
      <c r="AA76" s="35" t="s">
        <v>17</v>
      </c>
      <c r="AB76" s="35"/>
      <c r="AC76" s="53">
        <v>356518</v>
      </c>
      <c r="AD76" s="53"/>
      <c r="AE76" s="53">
        <f>337082-28677</f>
        <v>308405</v>
      </c>
      <c r="AF76" s="53"/>
      <c r="AG76" s="53">
        <v>28677</v>
      </c>
      <c r="AH76" s="53"/>
      <c r="AI76" s="45">
        <f t="shared" si="12"/>
        <v>19436</v>
      </c>
      <c r="AJ76" s="45"/>
      <c r="AK76" s="53">
        <v>17930</v>
      </c>
      <c r="AL76" s="45"/>
      <c r="AM76" s="53">
        <v>0</v>
      </c>
      <c r="AN76" s="53"/>
      <c r="AO76" s="53">
        <v>0</v>
      </c>
      <c r="AP76" s="53"/>
      <c r="AQ76" s="53">
        <v>8975</v>
      </c>
      <c r="AR76" s="53"/>
      <c r="AS76" s="45">
        <f t="shared" si="13"/>
        <v>46341</v>
      </c>
      <c r="AT76" s="45"/>
      <c r="AU76" s="53">
        <v>0</v>
      </c>
      <c r="AV76" s="53"/>
      <c r="AW76" s="53">
        <v>0</v>
      </c>
      <c r="AX76" s="53"/>
      <c r="AY76" s="53">
        <f t="shared" si="14"/>
        <v>363088</v>
      </c>
      <c r="AZ76" s="53"/>
      <c r="BA76" s="35" t="s">
        <v>98</v>
      </c>
      <c r="BC76" s="35" t="s">
        <v>17</v>
      </c>
      <c r="BD76" s="53"/>
      <c r="BE76" s="53">
        <f>1000000+3558679+1582338+6080781+46755</f>
        <v>12268553</v>
      </c>
      <c r="BF76" s="53"/>
      <c r="BG76" s="53">
        <v>0</v>
      </c>
      <c r="BH76" s="53"/>
      <c r="BI76" s="53">
        <f>21877833-BE76</f>
        <v>9609280</v>
      </c>
      <c r="BJ76" s="53"/>
      <c r="BK76" s="53">
        <f>1960000+1574936</f>
        <v>3534936</v>
      </c>
      <c r="BL76" s="53"/>
      <c r="BM76" s="53">
        <f t="shared" si="15"/>
        <v>25412769</v>
      </c>
      <c r="BN76" s="54" t="s">
        <v>347</v>
      </c>
      <c r="BR76" s="51"/>
      <c r="BS76" s="53"/>
      <c r="BT76" s="53"/>
      <c r="BU76" s="53"/>
      <c r="BV76" s="53"/>
      <c r="BW76" s="53"/>
      <c r="BX76" s="45"/>
      <c r="BY76" s="45"/>
      <c r="BZ76" s="53"/>
      <c r="CA76" s="53"/>
      <c r="CB76" s="53"/>
      <c r="CC76" s="53"/>
      <c r="CD76" s="53"/>
      <c r="CE76" s="53"/>
      <c r="CF76" s="35"/>
      <c r="CH76" s="35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4"/>
    </row>
    <row r="77" spans="1:105" s="55" customFormat="1" ht="12.75" customHeight="1">
      <c r="A77" s="35" t="s">
        <v>99</v>
      </c>
      <c r="B77" s="51"/>
      <c r="C77" s="35" t="s">
        <v>66</v>
      </c>
      <c r="D77" s="44"/>
      <c r="E77" s="53">
        <f t="shared" si="9"/>
        <v>1918143</v>
      </c>
      <c r="F77" s="53"/>
      <c r="G77" s="53">
        <v>9142618</v>
      </c>
      <c r="H77" s="53"/>
      <c r="I77" s="53">
        <v>11060761</v>
      </c>
      <c r="J77" s="53"/>
      <c r="K77" s="53">
        <f t="shared" si="10"/>
        <v>160590</v>
      </c>
      <c r="L77" s="53"/>
      <c r="M77" s="53">
        <v>91416</v>
      </c>
      <c r="N77" s="53"/>
      <c r="O77" s="53">
        <v>252006</v>
      </c>
      <c r="P77" s="53"/>
      <c r="Q77" s="53">
        <v>8999267</v>
      </c>
      <c r="R77" s="53"/>
      <c r="S77" s="53">
        <v>0</v>
      </c>
      <c r="T77" s="53"/>
      <c r="U77" s="53">
        <v>1809488</v>
      </c>
      <c r="V77" s="53"/>
      <c r="W77" s="53">
        <f t="shared" si="11"/>
        <v>10808755</v>
      </c>
      <c r="X77" s="53"/>
      <c r="Y77" s="35" t="s">
        <v>99</v>
      </c>
      <c r="AA77" s="35" t="s">
        <v>66</v>
      </c>
      <c r="AB77" s="35"/>
      <c r="AC77" s="53">
        <v>1260398</v>
      </c>
      <c r="AD77" s="53"/>
      <c r="AE77" s="53">
        <f>1202429-382556</f>
        <v>819873</v>
      </c>
      <c r="AF77" s="53"/>
      <c r="AG77" s="53">
        <v>382556</v>
      </c>
      <c r="AH77" s="53"/>
      <c r="AI77" s="45">
        <f t="shared" si="12"/>
        <v>57969</v>
      </c>
      <c r="AJ77" s="45"/>
      <c r="AK77" s="53">
        <v>25486</v>
      </c>
      <c r="AL77" s="45"/>
      <c r="AM77" s="53">
        <v>0</v>
      </c>
      <c r="AN77" s="53"/>
      <c r="AO77" s="53">
        <v>0</v>
      </c>
      <c r="AP77" s="53"/>
      <c r="AQ77" s="53">
        <v>35604</v>
      </c>
      <c r="AR77" s="53"/>
      <c r="AS77" s="45">
        <f t="shared" si="13"/>
        <v>119059</v>
      </c>
      <c r="AT77" s="45"/>
      <c r="AU77" s="53">
        <v>0</v>
      </c>
      <c r="AV77" s="53"/>
      <c r="AW77" s="53">
        <v>0</v>
      </c>
      <c r="AX77" s="53"/>
      <c r="AY77" s="53">
        <f t="shared" si="14"/>
        <v>1757553</v>
      </c>
      <c r="AZ77" s="53"/>
      <c r="BA77" s="35" t="s">
        <v>99</v>
      </c>
      <c r="BC77" s="35" t="s">
        <v>66</v>
      </c>
      <c r="BD77" s="53"/>
      <c r="BE77" s="53">
        <v>0</v>
      </c>
      <c r="BF77" s="53"/>
      <c r="BG77" s="53">
        <v>0</v>
      </c>
      <c r="BH77" s="53"/>
      <c r="BI77" s="53">
        <v>74261</v>
      </c>
      <c r="BJ77" s="53"/>
      <c r="BK77" s="53">
        <v>17155</v>
      </c>
      <c r="BL77" s="53"/>
      <c r="BM77" s="53">
        <f t="shared" si="15"/>
        <v>91416</v>
      </c>
      <c r="BN77" s="54" t="s">
        <v>347</v>
      </c>
      <c r="BR77" s="51"/>
      <c r="BS77" s="53"/>
      <c r="BT77" s="53"/>
      <c r="BU77" s="53"/>
      <c r="BV77" s="53"/>
      <c r="BW77" s="45"/>
      <c r="BX77" s="45"/>
      <c r="BY77" s="53"/>
      <c r="BZ77" s="53"/>
      <c r="CA77" s="53"/>
      <c r="CB77" s="53"/>
      <c r="CC77" s="53"/>
      <c r="CD77" s="53"/>
      <c r="CE77" s="53"/>
      <c r="CF77" s="35"/>
      <c r="CH77" s="44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4"/>
    </row>
    <row r="78" spans="1:105" s="55" customFormat="1" ht="12.75" customHeight="1">
      <c r="A78" s="35" t="s">
        <v>100</v>
      </c>
      <c r="C78" s="35" t="s">
        <v>27</v>
      </c>
      <c r="D78" s="44"/>
      <c r="E78" s="53">
        <f t="shared" si="9"/>
        <v>10842700</v>
      </c>
      <c r="F78" s="53"/>
      <c r="G78" s="53">
        <v>40887900</v>
      </c>
      <c r="H78" s="53"/>
      <c r="I78" s="53">
        <v>51730600</v>
      </c>
      <c r="J78" s="53"/>
      <c r="K78" s="53">
        <f t="shared" si="10"/>
        <v>3609926</v>
      </c>
      <c r="L78" s="53"/>
      <c r="M78" s="53">
        <v>16296499</v>
      </c>
      <c r="N78" s="53"/>
      <c r="O78" s="53">
        <v>19906425</v>
      </c>
      <c r="P78" s="53"/>
      <c r="Q78" s="53">
        <v>23020256</v>
      </c>
      <c r="R78" s="53"/>
      <c r="S78" s="53">
        <v>0</v>
      </c>
      <c r="T78" s="53"/>
      <c r="U78" s="53">
        <v>8803919</v>
      </c>
      <c r="V78" s="53"/>
      <c r="W78" s="53">
        <f t="shared" si="11"/>
        <v>31824175</v>
      </c>
      <c r="X78" s="53"/>
      <c r="Y78" s="35" t="s">
        <v>100</v>
      </c>
      <c r="AA78" s="35" t="s">
        <v>27</v>
      </c>
      <c r="AB78" s="35"/>
      <c r="AC78" s="53">
        <v>10876879</v>
      </c>
      <c r="AD78" s="53"/>
      <c r="AE78" s="53">
        <v>9036475</v>
      </c>
      <c r="AF78" s="53"/>
      <c r="AG78" s="53">
        <v>0</v>
      </c>
      <c r="AH78" s="53"/>
      <c r="AI78" s="45">
        <f t="shared" si="12"/>
        <v>1840404</v>
      </c>
      <c r="AJ78" s="45"/>
      <c r="AK78" s="53">
        <v>-39032</v>
      </c>
      <c r="AL78" s="45"/>
      <c r="AM78" s="53">
        <v>0</v>
      </c>
      <c r="AN78" s="53"/>
      <c r="AO78" s="53">
        <v>286456</v>
      </c>
      <c r="AP78" s="53"/>
      <c r="AQ78" s="53">
        <v>0</v>
      </c>
      <c r="AR78" s="53"/>
      <c r="AS78" s="45">
        <f t="shared" si="13"/>
        <v>1514916</v>
      </c>
      <c r="AT78" s="45"/>
      <c r="AU78" s="53">
        <v>0</v>
      </c>
      <c r="AV78" s="53"/>
      <c r="AW78" s="53">
        <v>0</v>
      </c>
      <c r="AX78" s="53"/>
      <c r="AY78" s="53">
        <f t="shared" si="14"/>
        <v>7232774</v>
      </c>
      <c r="AZ78" s="53"/>
      <c r="BA78" s="35" t="s">
        <v>100</v>
      </c>
      <c r="BC78" s="35" t="s">
        <v>27</v>
      </c>
      <c r="BD78" s="53"/>
      <c r="BE78" s="53">
        <f>1405000+1241000+10919</f>
        <v>2656919</v>
      </c>
      <c r="BF78" s="53"/>
      <c r="BG78" s="53">
        <v>0</v>
      </c>
      <c r="BH78" s="53"/>
      <c r="BI78" s="53">
        <v>12752587</v>
      </c>
      <c r="BJ78" s="53"/>
      <c r="BK78" s="53">
        <f>16475549-BE78-BI78</f>
        <v>1066043</v>
      </c>
      <c r="BL78" s="53"/>
      <c r="BM78" s="53">
        <f t="shared" si="15"/>
        <v>16475549</v>
      </c>
      <c r="BN78" s="54" t="s">
        <v>347</v>
      </c>
      <c r="BO78" s="55" t="s">
        <v>405</v>
      </c>
      <c r="BR78" s="51"/>
      <c r="BS78" s="53"/>
      <c r="BT78" s="53"/>
      <c r="BU78" s="53"/>
      <c r="BV78" s="53"/>
      <c r="BW78" s="53"/>
      <c r="BX78" s="45"/>
      <c r="BY78" s="45"/>
      <c r="BZ78" s="53"/>
      <c r="CA78" s="53"/>
      <c r="CB78" s="53"/>
      <c r="CC78" s="53"/>
      <c r="CD78" s="53"/>
      <c r="CE78" s="53"/>
      <c r="CF78" s="35"/>
      <c r="CH78" s="35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4"/>
    </row>
    <row r="79" spans="1:105" s="55" customFormat="1" ht="12.75" customHeight="1">
      <c r="A79" s="35" t="s">
        <v>101</v>
      </c>
      <c r="B79" s="51"/>
      <c r="C79" s="35" t="s">
        <v>30</v>
      </c>
      <c r="D79" s="44"/>
      <c r="E79" s="53">
        <f t="shared" si="9"/>
        <v>4756172</v>
      </c>
      <c r="F79" s="53"/>
      <c r="G79" s="53">
        <v>16054036</v>
      </c>
      <c r="H79" s="53"/>
      <c r="I79" s="53">
        <v>20810208</v>
      </c>
      <c r="J79" s="53"/>
      <c r="K79" s="53">
        <f t="shared" si="10"/>
        <v>5561702</v>
      </c>
      <c r="L79" s="53"/>
      <c r="M79" s="53">
        <v>4690009</v>
      </c>
      <c r="N79" s="53"/>
      <c r="O79" s="53">
        <v>10251711</v>
      </c>
      <c r="P79" s="53"/>
      <c r="Q79" s="53">
        <v>6436859</v>
      </c>
      <c r="R79" s="53"/>
      <c r="S79" s="53">
        <v>0</v>
      </c>
      <c r="T79" s="53"/>
      <c r="U79" s="53">
        <v>4121638</v>
      </c>
      <c r="V79" s="53"/>
      <c r="W79" s="53">
        <f t="shared" si="11"/>
        <v>10558497</v>
      </c>
      <c r="X79" s="53"/>
      <c r="Y79" s="35" t="s">
        <v>101</v>
      </c>
      <c r="AA79" s="35" t="s">
        <v>30</v>
      </c>
      <c r="AB79" s="35"/>
      <c r="AC79" s="53">
        <v>4945690</v>
      </c>
      <c r="AD79" s="53"/>
      <c r="AE79" s="53">
        <f>4107980-918776</f>
        <v>3189204</v>
      </c>
      <c r="AF79" s="53"/>
      <c r="AG79" s="53">
        <v>918776</v>
      </c>
      <c r="AH79" s="53"/>
      <c r="AI79" s="45">
        <f t="shared" si="12"/>
        <v>837710</v>
      </c>
      <c r="AJ79" s="45"/>
      <c r="AK79" s="53">
        <v>-248580</v>
      </c>
      <c r="AL79" s="45"/>
      <c r="AM79" s="53">
        <v>11212</v>
      </c>
      <c r="AN79" s="53"/>
      <c r="AO79" s="53">
        <v>0</v>
      </c>
      <c r="AP79" s="53"/>
      <c r="AQ79" s="53">
        <v>0</v>
      </c>
      <c r="AR79" s="53"/>
      <c r="AS79" s="45">
        <f t="shared" si="13"/>
        <v>600342</v>
      </c>
      <c r="AT79" s="45"/>
      <c r="AU79" s="53">
        <v>0</v>
      </c>
      <c r="AV79" s="53"/>
      <c r="AW79" s="53">
        <v>0</v>
      </c>
      <c r="AX79" s="53"/>
      <c r="AY79" s="53">
        <f t="shared" si="14"/>
        <v>-805530</v>
      </c>
      <c r="AZ79" s="53"/>
      <c r="BA79" s="35" t="s">
        <v>101</v>
      </c>
      <c r="BC79" s="35" t="s">
        <v>30</v>
      </c>
      <c r="BD79" s="53"/>
      <c r="BE79" s="53">
        <v>4664806</v>
      </c>
      <c r="BF79" s="53"/>
      <c r="BG79" s="53">
        <v>0</v>
      </c>
      <c r="BH79" s="53"/>
      <c r="BI79" s="53">
        <v>0</v>
      </c>
      <c r="BJ79" s="53"/>
      <c r="BK79" s="53">
        <v>25203</v>
      </c>
      <c r="BL79" s="53"/>
      <c r="BM79" s="53">
        <f t="shared" si="15"/>
        <v>4690009</v>
      </c>
      <c r="BN79" s="54" t="s">
        <v>347</v>
      </c>
      <c r="BO79" s="35" t="s">
        <v>405</v>
      </c>
      <c r="BR79" s="51"/>
      <c r="BS79" s="53"/>
      <c r="BT79" s="53"/>
      <c r="BU79" s="53"/>
      <c r="BV79" s="53"/>
      <c r="BW79" s="45"/>
      <c r="BX79" s="45"/>
      <c r="BY79" s="53"/>
      <c r="BZ79" s="53"/>
      <c r="CA79" s="53"/>
      <c r="CB79" s="53"/>
      <c r="CC79" s="53"/>
      <c r="CD79" s="53"/>
      <c r="CE79" s="53"/>
      <c r="CF79" s="35"/>
      <c r="CH79" s="35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4"/>
      <c r="CT79" s="35"/>
    </row>
    <row r="80" spans="1:105" s="55" customFormat="1" ht="12.75" customHeight="1">
      <c r="A80" s="35" t="s">
        <v>102</v>
      </c>
      <c r="B80" s="51"/>
      <c r="C80" s="35" t="s">
        <v>103</v>
      </c>
      <c r="D80" s="44"/>
      <c r="E80" s="53">
        <f t="shared" ref="E80:E91" si="16">I80-G80</f>
        <v>3951722</v>
      </c>
      <c r="F80" s="53"/>
      <c r="G80" s="53">
        <v>29342471</v>
      </c>
      <c r="H80" s="53"/>
      <c r="I80" s="53">
        <v>33294193</v>
      </c>
      <c r="J80" s="53"/>
      <c r="K80" s="53">
        <f t="shared" ref="K80:K143" si="17">O80-M80</f>
        <v>3402535</v>
      </c>
      <c r="L80" s="53"/>
      <c r="M80" s="53">
        <v>7549705</v>
      </c>
      <c r="N80" s="53"/>
      <c r="O80" s="53">
        <v>10952240</v>
      </c>
      <c r="P80" s="53"/>
      <c r="Q80" s="53">
        <v>18800684</v>
      </c>
      <c r="R80" s="53"/>
      <c r="S80" s="53">
        <v>0</v>
      </c>
      <c r="T80" s="53"/>
      <c r="U80" s="53">
        <v>3541269</v>
      </c>
      <c r="V80" s="53"/>
      <c r="W80" s="53">
        <f t="shared" ref="W80:W111" si="18">SUM(Q80:U80)</f>
        <v>22341953</v>
      </c>
      <c r="X80" s="53"/>
      <c r="Y80" s="35" t="s">
        <v>102</v>
      </c>
      <c r="AA80" s="35" t="s">
        <v>103</v>
      </c>
      <c r="AB80" s="35"/>
      <c r="AC80" s="53">
        <v>4615696</v>
      </c>
      <c r="AD80" s="53"/>
      <c r="AE80" s="53">
        <v>3527120</v>
      </c>
      <c r="AF80" s="53"/>
      <c r="AG80" s="53">
        <v>1135123</v>
      </c>
      <c r="AH80" s="53"/>
      <c r="AI80" s="45">
        <f t="shared" ref="AI80:AI143" si="19">+AC80-AE80-AG80</f>
        <v>-46547</v>
      </c>
      <c r="AJ80" s="45"/>
      <c r="AK80" s="53">
        <v>-262312</v>
      </c>
      <c r="AL80" s="45"/>
      <c r="AM80" s="53">
        <v>0</v>
      </c>
      <c r="AN80" s="53"/>
      <c r="AO80" s="53">
        <v>0</v>
      </c>
      <c r="AP80" s="53"/>
      <c r="AQ80" s="53">
        <v>0</v>
      </c>
      <c r="AR80" s="53"/>
      <c r="AS80" s="45">
        <f t="shared" ref="AS80:AS143" si="20">+AI80+AK80+AM80-AO80+AQ80</f>
        <v>-308859</v>
      </c>
      <c r="AT80" s="45"/>
      <c r="AU80" s="53">
        <v>0</v>
      </c>
      <c r="AV80" s="53"/>
      <c r="AW80" s="53">
        <v>0</v>
      </c>
      <c r="AX80" s="53"/>
      <c r="AY80" s="53">
        <f t="shared" ref="AY80:AY143" si="21">+E80-K80</f>
        <v>549187</v>
      </c>
      <c r="AZ80" s="53"/>
      <c r="BA80" s="35" t="s">
        <v>102</v>
      </c>
      <c r="BC80" s="35" t="s">
        <v>103</v>
      </c>
      <c r="BD80" s="53"/>
      <c r="BE80" s="53">
        <v>7362653</v>
      </c>
      <c r="BF80" s="53"/>
      <c r="BG80" s="53">
        <v>0</v>
      </c>
      <c r="BH80" s="53"/>
      <c r="BI80" s="53">
        <v>0</v>
      </c>
      <c r="BJ80" s="53"/>
      <c r="BK80" s="53">
        <v>187052</v>
      </c>
      <c r="BL80" s="53"/>
      <c r="BM80" s="53">
        <f t="shared" ref="BM80:BM143" si="22">SUM(BE80:BK80)</f>
        <v>7549705</v>
      </c>
      <c r="BN80" s="54" t="s">
        <v>347</v>
      </c>
      <c r="BR80" s="51"/>
      <c r="BS80" s="53"/>
      <c r="BT80" s="53"/>
      <c r="BU80" s="53"/>
      <c r="BV80" s="53"/>
      <c r="BW80" s="53"/>
      <c r="BX80" s="45"/>
      <c r="BY80" s="45"/>
      <c r="BZ80" s="53"/>
      <c r="CA80" s="53"/>
      <c r="CB80" s="53"/>
      <c r="CC80" s="53"/>
      <c r="CD80" s="53"/>
      <c r="CE80" s="53"/>
      <c r="CF80" s="35"/>
      <c r="CH80" s="35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4"/>
    </row>
    <row r="81" spans="1:98" s="159" customFormat="1" ht="12.75" hidden="1" customHeight="1">
      <c r="A81" s="142" t="s">
        <v>104</v>
      </c>
      <c r="B81" s="140"/>
      <c r="C81" s="142" t="s">
        <v>13</v>
      </c>
      <c r="D81" s="137"/>
      <c r="E81" s="156">
        <f t="shared" si="16"/>
        <v>0</v>
      </c>
      <c r="F81" s="156"/>
      <c r="G81" s="156">
        <v>0</v>
      </c>
      <c r="H81" s="156"/>
      <c r="I81" s="156">
        <v>0</v>
      </c>
      <c r="J81" s="156"/>
      <c r="K81" s="156">
        <f t="shared" si="17"/>
        <v>0</v>
      </c>
      <c r="L81" s="156"/>
      <c r="M81" s="156">
        <v>0</v>
      </c>
      <c r="N81" s="156"/>
      <c r="O81" s="156">
        <v>0</v>
      </c>
      <c r="P81" s="156"/>
      <c r="Q81" s="156">
        <v>0</v>
      </c>
      <c r="R81" s="156"/>
      <c r="S81" s="156">
        <v>0</v>
      </c>
      <c r="T81" s="156"/>
      <c r="U81" s="156">
        <v>0</v>
      </c>
      <c r="V81" s="156"/>
      <c r="W81" s="156">
        <f t="shared" si="18"/>
        <v>0</v>
      </c>
      <c r="X81" s="156"/>
      <c r="Y81" s="142" t="s">
        <v>104</v>
      </c>
      <c r="AA81" s="142" t="s">
        <v>13</v>
      </c>
      <c r="AB81" s="142"/>
      <c r="AC81" s="156">
        <v>0</v>
      </c>
      <c r="AD81" s="156"/>
      <c r="AE81" s="156">
        <v>0</v>
      </c>
      <c r="AF81" s="156"/>
      <c r="AG81" s="156">
        <v>0</v>
      </c>
      <c r="AH81" s="156"/>
      <c r="AI81" s="143">
        <f t="shared" si="19"/>
        <v>0</v>
      </c>
      <c r="AJ81" s="143"/>
      <c r="AK81" s="156">
        <v>0</v>
      </c>
      <c r="AL81" s="143"/>
      <c r="AM81" s="156">
        <v>0</v>
      </c>
      <c r="AN81" s="156"/>
      <c r="AO81" s="156">
        <v>0</v>
      </c>
      <c r="AP81" s="156"/>
      <c r="AQ81" s="156">
        <v>0</v>
      </c>
      <c r="AR81" s="156"/>
      <c r="AS81" s="143">
        <f t="shared" si="20"/>
        <v>0</v>
      </c>
      <c r="AT81" s="143"/>
      <c r="AU81" s="156">
        <v>0</v>
      </c>
      <c r="AV81" s="156"/>
      <c r="AW81" s="156">
        <v>0</v>
      </c>
      <c r="AX81" s="156"/>
      <c r="AY81" s="156">
        <f t="shared" si="21"/>
        <v>0</v>
      </c>
      <c r="AZ81" s="156"/>
      <c r="BA81" s="142" t="s">
        <v>104</v>
      </c>
      <c r="BC81" s="142" t="s">
        <v>13</v>
      </c>
      <c r="BD81" s="156"/>
      <c r="BE81" s="156">
        <v>0</v>
      </c>
      <c r="BF81" s="156"/>
      <c r="BG81" s="156">
        <v>0</v>
      </c>
      <c r="BH81" s="156"/>
      <c r="BI81" s="156">
        <v>0</v>
      </c>
      <c r="BJ81" s="156"/>
      <c r="BK81" s="156">
        <v>0</v>
      </c>
      <c r="BL81" s="156"/>
      <c r="BM81" s="156">
        <f t="shared" si="22"/>
        <v>0</v>
      </c>
      <c r="BN81" s="158" t="s">
        <v>347</v>
      </c>
      <c r="BR81" s="140"/>
      <c r="BS81" s="156"/>
      <c r="BT81" s="156"/>
      <c r="BU81" s="156"/>
      <c r="BV81" s="156"/>
      <c r="BW81" s="156"/>
      <c r="BX81" s="143"/>
      <c r="BY81" s="143"/>
      <c r="BZ81" s="156"/>
      <c r="CA81" s="156"/>
      <c r="CB81" s="156"/>
      <c r="CC81" s="156"/>
      <c r="CD81" s="156"/>
      <c r="CE81" s="156"/>
      <c r="CF81" s="142"/>
      <c r="CH81" s="142"/>
      <c r="CI81" s="156"/>
      <c r="CJ81" s="156"/>
      <c r="CK81" s="156"/>
      <c r="CL81" s="156"/>
      <c r="CM81" s="156"/>
      <c r="CN81" s="156"/>
      <c r="CO81" s="156"/>
      <c r="CP81" s="156"/>
      <c r="CQ81" s="156"/>
      <c r="CR81" s="156"/>
      <c r="CS81" s="158"/>
    </row>
    <row r="82" spans="1:98" s="55" customFormat="1" ht="12.75" customHeight="1">
      <c r="A82" s="35" t="s">
        <v>105</v>
      </c>
      <c r="B82" s="51"/>
      <c r="C82" s="35" t="s">
        <v>27</v>
      </c>
      <c r="D82" s="44"/>
      <c r="E82" s="53">
        <f t="shared" si="16"/>
        <v>999240</v>
      </c>
      <c r="F82" s="53"/>
      <c r="G82" s="53">
        <v>15642061</v>
      </c>
      <c r="H82" s="53"/>
      <c r="I82" s="53">
        <v>16641301</v>
      </c>
      <c r="J82" s="53"/>
      <c r="K82" s="53">
        <f t="shared" si="17"/>
        <v>304473</v>
      </c>
      <c r="L82" s="53"/>
      <c r="M82" s="53">
        <v>677142</v>
      </c>
      <c r="N82" s="53"/>
      <c r="O82" s="53">
        <v>981615</v>
      </c>
      <c r="P82" s="53"/>
      <c r="Q82" s="53">
        <v>11350466</v>
      </c>
      <c r="R82" s="53"/>
      <c r="S82" s="53">
        <v>0</v>
      </c>
      <c r="T82" s="53"/>
      <c r="U82" s="53">
        <v>4309220</v>
      </c>
      <c r="V82" s="53"/>
      <c r="W82" s="53">
        <f t="shared" si="18"/>
        <v>15659686</v>
      </c>
      <c r="X82" s="53"/>
      <c r="Y82" s="35" t="s">
        <v>105</v>
      </c>
      <c r="AA82" s="35" t="s">
        <v>27</v>
      </c>
      <c r="AB82" s="35"/>
      <c r="AC82" s="53">
        <v>1737442</v>
      </c>
      <c r="AD82" s="53"/>
      <c r="AE82" s="53">
        <f>1904478-265847</f>
        <v>1638631</v>
      </c>
      <c r="AF82" s="53"/>
      <c r="AG82" s="53">
        <v>265847</v>
      </c>
      <c r="AH82" s="53"/>
      <c r="AI82" s="45">
        <f t="shared" si="19"/>
        <v>-167036</v>
      </c>
      <c r="AJ82" s="45"/>
      <c r="AK82" s="53">
        <v>5791</v>
      </c>
      <c r="AL82" s="45"/>
      <c r="AM82" s="53">
        <v>0</v>
      </c>
      <c r="AN82" s="53"/>
      <c r="AO82" s="53">
        <v>0</v>
      </c>
      <c r="AP82" s="53"/>
      <c r="AQ82" s="53">
        <v>0</v>
      </c>
      <c r="AR82" s="53"/>
      <c r="AS82" s="45">
        <f t="shared" si="20"/>
        <v>-161245</v>
      </c>
      <c r="AT82" s="45"/>
      <c r="AU82" s="53">
        <v>0</v>
      </c>
      <c r="AV82" s="53"/>
      <c r="AW82" s="53">
        <v>0</v>
      </c>
      <c r="AX82" s="53"/>
      <c r="AY82" s="53">
        <f t="shared" si="21"/>
        <v>694767</v>
      </c>
      <c r="AZ82" s="53"/>
      <c r="BA82" s="35" t="s">
        <v>105</v>
      </c>
      <c r="BC82" s="35" t="s">
        <v>27</v>
      </c>
      <c r="BD82" s="53"/>
      <c r="BE82" s="53">
        <v>0</v>
      </c>
      <c r="BF82" s="53"/>
      <c r="BG82" s="53">
        <v>0</v>
      </c>
      <c r="BH82" s="53"/>
      <c r="BI82" s="53">
        <v>208196</v>
      </c>
      <c r="BJ82" s="53"/>
      <c r="BK82" s="53">
        <f>447637+21309</f>
        <v>468946</v>
      </c>
      <c r="BL82" s="53"/>
      <c r="BM82" s="53">
        <f t="shared" si="22"/>
        <v>677142</v>
      </c>
      <c r="BN82" s="54" t="s">
        <v>347</v>
      </c>
      <c r="BR82" s="51"/>
      <c r="BS82" s="53"/>
      <c r="BT82" s="53"/>
      <c r="BU82" s="53"/>
      <c r="BV82" s="53"/>
      <c r="BW82" s="45"/>
      <c r="BX82" s="45"/>
      <c r="BY82" s="53"/>
      <c r="BZ82" s="53"/>
      <c r="CA82" s="53"/>
      <c r="CB82" s="53"/>
      <c r="CC82" s="53"/>
      <c r="CD82" s="53"/>
      <c r="CE82" s="53"/>
      <c r="CF82" s="44"/>
      <c r="CH82" s="44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4"/>
    </row>
    <row r="83" spans="1:98" s="159" customFormat="1" ht="12.75" hidden="1" customHeight="1">
      <c r="A83" s="142" t="s">
        <v>106</v>
      </c>
      <c r="B83" s="140"/>
      <c r="C83" s="142" t="s">
        <v>107</v>
      </c>
      <c r="D83" s="137"/>
      <c r="E83" s="156">
        <f t="shared" si="16"/>
        <v>0</v>
      </c>
      <c r="F83" s="156"/>
      <c r="G83" s="156">
        <v>0</v>
      </c>
      <c r="H83" s="156"/>
      <c r="I83" s="156">
        <v>0</v>
      </c>
      <c r="J83" s="156"/>
      <c r="K83" s="156">
        <f t="shared" si="17"/>
        <v>0</v>
      </c>
      <c r="L83" s="156"/>
      <c r="M83" s="156">
        <v>0</v>
      </c>
      <c r="N83" s="156"/>
      <c r="O83" s="156">
        <v>0</v>
      </c>
      <c r="P83" s="156"/>
      <c r="Q83" s="156">
        <v>0</v>
      </c>
      <c r="R83" s="156"/>
      <c r="S83" s="156">
        <v>0</v>
      </c>
      <c r="T83" s="156"/>
      <c r="U83" s="156">
        <v>0</v>
      </c>
      <c r="V83" s="156"/>
      <c r="W83" s="156">
        <f t="shared" si="18"/>
        <v>0</v>
      </c>
      <c r="X83" s="156"/>
      <c r="Y83" s="142" t="s">
        <v>106</v>
      </c>
      <c r="AA83" s="142" t="s">
        <v>107</v>
      </c>
      <c r="AB83" s="142"/>
      <c r="AC83" s="156">
        <v>0</v>
      </c>
      <c r="AD83" s="156"/>
      <c r="AE83" s="156">
        <v>0</v>
      </c>
      <c r="AF83" s="156"/>
      <c r="AG83" s="156">
        <v>0</v>
      </c>
      <c r="AH83" s="156"/>
      <c r="AI83" s="143">
        <f t="shared" si="19"/>
        <v>0</v>
      </c>
      <c r="AJ83" s="143"/>
      <c r="AK83" s="156">
        <v>0</v>
      </c>
      <c r="AL83" s="143"/>
      <c r="AM83" s="156">
        <v>0</v>
      </c>
      <c r="AN83" s="156"/>
      <c r="AO83" s="156">
        <v>0</v>
      </c>
      <c r="AP83" s="156"/>
      <c r="AQ83" s="156">
        <v>0</v>
      </c>
      <c r="AR83" s="156"/>
      <c r="AS83" s="143">
        <f t="shared" si="20"/>
        <v>0</v>
      </c>
      <c r="AT83" s="143"/>
      <c r="AU83" s="156">
        <v>0</v>
      </c>
      <c r="AV83" s="156"/>
      <c r="AW83" s="156">
        <v>0</v>
      </c>
      <c r="AX83" s="156"/>
      <c r="AY83" s="156">
        <f t="shared" si="21"/>
        <v>0</v>
      </c>
      <c r="AZ83" s="156"/>
      <c r="BA83" s="142" t="s">
        <v>106</v>
      </c>
      <c r="BC83" s="142" t="s">
        <v>107</v>
      </c>
      <c r="BD83" s="156"/>
      <c r="BE83" s="156">
        <v>0</v>
      </c>
      <c r="BF83" s="156"/>
      <c r="BG83" s="156">
        <v>0</v>
      </c>
      <c r="BH83" s="156"/>
      <c r="BI83" s="156">
        <v>0</v>
      </c>
      <c r="BJ83" s="156"/>
      <c r="BK83" s="156">
        <v>0</v>
      </c>
      <c r="BL83" s="156"/>
      <c r="BM83" s="156">
        <f t="shared" si="22"/>
        <v>0</v>
      </c>
      <c r="BN83" s="158" t="s">
        <v>347</v>
      </c>
      <c r="BR83" s="140"/>
      <c r="BS83" s="156"/>
      <c r="BT83" s="156"/>
      <c r="BU83" s="156"/>
      <c r="BV83" s="156"/>
      <c r="BW83" s="156"/>
      <c r="BX83" s="143"/>
      <c r="BY83" s="143"/>
      <c r="BZ83" s="156"/>
      <c r="CA83" s="156"/>
      <c r="CB83" s="156"/>
      <c r="CC83" s="156"/>
      <c r="CD83" s="156"/>
      <c r="CE83" s="156"/>
      <c r="CF83" s="142"/>
      <c r="CH83" s="142"/>
      <c r="CI83" s="156"/>
      <c r="CJ83" s="156"/>
      <c r="CK83" s="156"/>
      <c r="CL83" s="156"/>
      <c r="CM83" s="156"/>
      <c r="CN83" s="156"/>
      <c r="CO83" s="156"/>
      <c r="CP83" s="156"/>
      <c r="CQ83" s="156"/>
      <c r="CR83" s="156"/>
      <c r="CS83" s="158"/>
    </row>
    <row r="84" spans="1:98" s="159" customFormat="1" ht="12.75" hidden="1" customHeight="1">
      <c r="A84" s="142" t="s">
        <v>108</v>
      </c>
      <c r="B84" s="140"/>
      <c r="C84" s="142" t="s">
        <v>45</v>
      </c>
      <c r="D84" s="137"/>
      <c r="E84" s="156">
        <f t="shared" si="16"/>
        <v>0</v>
      </c>
      <c r="F84" s="156"/>
      <c r="G84" s="156"/>
      <c r="H84" s="156"/>
      <c r="I84" s="156"/>
      <c r="J84" s="156"/>
      <c r="K84" s="156">
        <f t="shared" si="17"/>
        <v>0</v>
      </c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>
        <f t="shared" si="18"/>
        <v>0</v>
      </c>
      <c r="X84" s="156"/>
      <c r="Y84" s="142" t="s">
        <v>108</v>
      </c>
      <c r="AA84" s="142" t="s">
        <v>45</v>
      </c>
      <c r="AB84" s="142"/>
      <c r="AC84" s="156"/>
      <c r="AD84" s="156"/>
      <c r="AE84" s="156"/>
      <c r="AF84" s="156"/>
      <c r="AG84" s="156"/>
      <c r="AH84" s="156"/>
      <c r="AI84" s="143">
        <f t="shared" si="19"/>
        <v>0</v>
      </c>
      <c r="AJ84" s="143"/>
      <c r="AK84" s="156"/>
      <c r="AL84" s="143"/>
      <c r="AM84" s="156"/>
      <c r="AN84" s="156"/>
      <c r="AO84" s="156"/>
      <c r="AP84" s="156"/>
      <c r="AQ84" s="156"/>
      <c r="AR84" s="156"/>
      <c r="AS84" s="143">
        <f t="shared" si="20"/>
        <v>0</v>
      </c>
      <c r="AT84" s="143"/>
      <c r="AU84" s="156">
        <v>0</v>
      </c>
      <c r="AV84" s="156"/>
      <c r="AW84" s="156">
        <v>0</v>
      </c>
      <c r="AX84" s="156"/>
      <c r="AY84" s="156">
        <f t="shared" si="21"/>
        <v>0</v>
      </c>
      <c r="AZ84" s="156"/>
      <c r="BA84" s="142" t="s">
        <v>108</v>
      </c>
      <c r="BC84" s="142" t="s">
        <v>45</v>
      </c>
      <c r="BD84" s="156"/>
      <c r="BE84" s="156"/>
      <c r="BF84" s="156"/>
      <c r="BG84" s="156"/>
      <c r="BH84" s="156"/>
      <c r="BI84" s="156"/>
      <c r="BJ84" s="156"/>
      <c r="BK84" s="156"/>
      <c r="BL84" s="156"/>
      <c r="BM84" s="156">
        <f t="shared" si="22"/>
        <v>0</v>
      </c>
      <c r="BN84" s="158" t="s">
        <v>347</v>
      </c>
      <c r="BO84" s="159" t="s">
        <v>404</v>
      </c>
      <c r="BR84" s="140"/>
      <c r="BS84" s="156"/>
      <c r="BT84" s="156"/>
      <c r="BU84" s="156"/>
      <c r="BV84" s="156"/>
      <c r="BW84" s="156"/>
      <c r="BX84" s="143"/>
      <c r="BY84" s="143"/>
      <c r="BZ84" s="156"/>
      <c r="CA84" s="156"/>
      <c r="CB84" s="156"/>
      <c r="CC84" s="156"/>
      <c r="CD84" s="156"/>
      <c r="CE84" s="156"/>
      <c r="CF84" s="142"/>
      <c r="CH84" s="142"/>
      <c r="CI84" s="156"/>
      <c r="CJ84" s="156"/>
      <c r="CK84" s="156"/>
      <c r="CL84" s="156"/>
      <c r="CM84" s="156"/>
      <c r="CN84" s="156"/>
      <c r="CO84" s="156"/>
      <c r="CP84" s="156"/>
      <c r="CQ84" s="156"/>
      <c r="CR84" s="156"/>
      <c r="CS84" s="158"/>
    </row>
    <row r="85" spans="1:98" s="55" customFormat="1" ht="12.75" customHeight="1">
      <c r="A85" s="35" t="s">
        <v>109</v>
      </c>
      <c r="C85" s="35" t="s">
        <v>110</v>
      </c>
      <c r="D85" s="44"/>
      <c r="E85" s="53">
        <f t="shared" si="16"/>
        <v>1160770</v>
      </c>
      <c r="F85" s="53"/>
      <c r="G85" s="53">
        <v>13317931</v>
      </c>
      <c r="H85" s="53"/>
      <c r="I85" s="53">
        <v>14478701</v>
      </c>
      <c r="J85" s="53"/>
      <c r="K85" s="53">
        <f t="shared" si="17"/>
        <v>1024396</v>
      </c>
      <c r="L85" s="53"/>
      <c r="M85" s="53">
        <v>3047713</v>
      </c>
      <c r="N85" s="53"/>
      <c r="O85" s="53">
        <v>4072109</v>
      </c>
      <c r="P85" s="53"/>
      <c r="Q85" s="53">
        <v>9947041</v>
      </c>
      <c r="R85" s="53"/>
      <c r="S85" s="53">
        <v>0</v>
      </c>
      <c r="T85" s="53"/>
      <c r="U85" s="53">
        <v>459551</v>
      </c>
      <c r="V85" s="53"/>
      <c r="W85" s="53">
        <f t="shared" si="18"/>
        <v>10406592</v>
      </c>
      <c r="X85" s="53"/>
      <c r="Y85" s="35" t="s">
        <v>109</v>
      </c>
      <c r="AA85" s="35" t="s">
        <v>110</v>
      </c>
      <c r="AB85" s="35"/>
      <c r="AC85" s="53">
        <v>2182292</v>
      </c>
      <c r="AD85" s="53"/>
      <c r="AE85" s="53">
        <f>2238028-304760</f>
        <v>1933268</v>
      </c>
      <c r="AF85" s="53"/>
      <c r="AG85" s="53">
        <v>304760</v>
      </c>
      <c r="AH85" s="53"/>
      <c r="AI85" s="45">
        <f t="shared" si="19"/>
        <v>-55736</v>
      </c>
      <c r="AJ85" s="45"/>
      <c r="AK85" s="53">
        <v>-201583</v>
      </c>
      <c r="AL85" s="45"/>
      <c r="AM85" s="53">
        <v>4309</v>
      </c>
      <c r="AN85" s="53"/>
      <c r="AO85" s="53">
        <v>19813</v>
      </c>
      <c r="AP85" s="53"/>
      <c r="AQ85" s="53">
        <v>0</v>
      </c>
      <c r="AR85" s="53"/>
      <c r="AS85" s="45">
        <f t="shared" si="20"/>
        <v>-272823</v>
      </c>
      <c r="AT85" s="45"/>
      <c r="AU85" s="53">
        <v>0</v>
      </c>
      <c r="AV85" s="53"/>
      <c r="AW85" s="53">
        <v>0</v>
      </c>
      <c r="AX85" s="53"/>
      <c r="AY85" s="53">
        <f t="shared" si="21"/>
        <v>136374</v>
      </c>
      <c r="AZ85" s="53"/>
      <c r="BA85" s="35" t="s">
        <v>109</v>
      </c>
      <c r="BC85" s="35" t="s">
        <v>110</v>
      </c>
      <c r="BD85" s="53"/>
      <c r="BE85" s="53">
        <v>740000</v>
      </c>
      <c r="BF85" s="53"/>
      <c r="BG85" s="53">
        <v>0</v>
      </c>
      <c r="BH85" s="53"/>
      <c r="BI85" s="53">
        <v>0</v>
      </c>
      <c r="BJ85" s="53"/>
      <c r="BK85" s="53">
        <v>336005</v>
      </c>
      <c r="BL85" s="53"/>
      <c r="BM85" s="53">
        <f t="shared" si="22"/>
        <v>1076005</v>
      </c>
      <c r="BN85" s="54" t="s">
        <v>347</v>
      </c>
      <c r="BR85" s="51"/>
      <c r="BS85" s="53"/>
      <c r="BT85" s="53"/>
      <c r="BU85" s="53"/>
      <c r="BV85" s="53"/>
      <c r="BW85" s="53"/>
      <c r="BX85" s="45"/>
      <c r="BY85" s="45"/>
      <c r="BZ85" s="53"/>
      <c r="CA85" s="53"/>
      <c r="CB85" s="53"/>
      <c r="CC85" s="53"/>
      <c r="CD85" s="53"/>
      <c r="CE85" s="53"/>
      <c r="CF85" s="35"/>
      <c r="CH85" s="35"/>
      <c r="CI85" s="53"/>
      <c r="CJ85" s="53"/>
      <c r="CK85" s="53"/>
      <c r="CL85" s="53"/>
      <c r="CM85" s="53"/>
      <c r="CN85" s="53"/>
      <c r="CO85" s="53"/>
      <c r="CP85" s="53"/>
      <c r="CQ85" s="53"/>
      <c r="CR85" s="53"/>
      <c r="CS85" s="54"/>
    </row>
    <row r="86" spans="1:98" s="55" customFormat="1" ht="12.75" customHeight="1">
      <c r="A86" s="35" t="s">
        <v>43</v>
      </c>
      <c r="B86" s="51"/>
      <c r="C86" s="35" t="s">
        <v>111</v>
      </c>
      <c r="D86" s="44"/>
      <c r="E86" s="53">
        <f t="shared" si="16"/>
        <v>705099</v>
      </c>
      <c r="F86" s="53"/>
      <c r="G86" s="53">
        <v>4314157</v>
      </c>
      <c r="H86" s="53"/>
      <c r="I86" s="53">
        <v>5019256</v>
      </c>
      <c r="J86" s="53"/>
      <c r="K86" s="53">
        <f t="shared" si="17"/>
        <v>275878</v>
      </c>
      <c r="L86" s="53"/>
      <c r="M86" s="53">
        <v>121931</v>
      </c>
      <c r="N86" s="53"/>
      <c r="O86" s="53">
        <v>397809</v>
      </c>
      <c r="P86" s="53"/>
      <c r="Q86" s="53">
        <v>4370255</v>
      </c>
      <c r="R86" s="53"/>
      <c r="S86" s="53">
        <v>0</v>
      </c>
      <c r="T86" s="53"/>
      <c r="U86" s="53">
        <v>251192</v>
      </c>
      <c r="V86" s="53"/>
      <c r="W86" s="53">
        <f t="shared" si="18"/>
        <v>4621447</v>
      </c>
      <c r="X86" s="53"/>
      <c r="Y86" s="35" t="s">
        <v>43</v>
      </c>
      <c r="AA86" s="35" t="s">
        <v>111</v>
      </c>
      <c r="AB86" s="35"/>
      <c r="AC86" s="53">
        <v>2307349</v>
      </c>
      <c r="AD86" s="53"/>
      <c r="AE86" s="53">
        <f>2618355-147134</f>
        <v>2471221</v>
      </c>
      <c r="AF86" s="53"/>
      <c r="AG86" s="53">
        <v>147134</v>
      </c>
      <c r="AH86" s="53"/>
      <c r="AI86" s="45">
        <f t="shared" si="19"/>
        <v>-311006</v>
      </c>
      <c r="AJ86" s="45"/>
      <c r="AK86" s="53">
        <v>822</v>
      </c>
      <c r="AL86" s="45"/>
      <c r="AM86" s="53">
        <v>1508</v>
      </c>
      <c r="AN86" s="53"/>
      <c r="AO86" s="53">
        <v>45227</v>
      </c>
      <c r="AP86" s="53"/>
      <c r="AQ86" s="53">
        <v>0</v>
      </c>
      <c r="AR86" s="53"/>
      <c r="AS86" s="45">
        <f t="shared" si="20"/>
        <v>-353903</v>
      </c>
      <c r="AT86" s="45"/>
      <c r="AU86" s="53">
        <v>0</v>
      </c>
      <c r="AV86" s="53"/>
      <c r="AW86" s="53">
        <v>0</v>
      </c>
      <c r="AX86" s="53"/>
      <c r="AY86" s="53">
        <f t="shared" si="21"/>
        <v>429221</v>
      </c>
      <c r="AZ86" s="53"/>
      <c r="BA86" s="35" t="s">
        <v>43</v>
      </c>
      <c r="BC86" s="35" t="s">
        <v>111</v>
      </c>
      <c r="BD86" s="53"/>
      <c r="BE86" s="53">
        <v>0</v>
      </c>
      <c r="BF86" s="53"/>
      <c r="BG86" s="53">
        <v>0</v>
      </c>
      <c r="BH86" s="53"/>
      <c r="BI86" s="53">
        <v>0</v>
      </c>
      <c r="BJ86" s="53"/>
      <c r="BK86" s="53">
        <f>68395+53536</f>
        <v>121931</v>
      </c>
      <c r="BL86" s="53"/>
      <c r="BM86" s="53">
        <f t="shared" si="22"/>
        <v>121931</v>
      </c>
      <c r="BN86" s="54" t="s">
        <v>347</v>
      </c>
      <c r="BR86" s="51"/>
      <c r="BS86" s="53"/>
      <c r="BT86" s="53"/>
      <c r="BU86" s="53"/>
      <c r="BV86" s="53"/>
      <c r="BW86" s="53"/>
      <c r="BX86" s="45"/>
      <c r="BY86" s="45"/>
      <c r="BZ86" s="53"/>
      <c r="CA86" s="53"/>
      <c r="CB86" s="53"/>
      <c r="CC86" s="53"/>
      <c r="CD86" s="53"/>
      <c r="CE86" s="53"/>
      <c r="CF86" s="35"/>
      <c r="CH86" s="35"/>
      <c r="CI86" s="53"/>
      <c r="CJ86" s="53"/>
      <c r="CK86" s="53"/>
      <c r="CL86" s="53"/>
      <c r="CM86" s="53"/>
      <c r="CN86" s="53"/>
      <c r="CO86" s="53"/>
      <c r="CP86" s="53"/>
      <c r="CQ86" s="53"/>
      <c r="CR86" s="53"/>
      <c r="CS86" s="54"/>
    </row>
    <row r="87" spans="1:98" s="55" customFormat="1" ht="12.75" customHeight="1">
      <c r="A87" s="35" t="s">
        <v>112</v>
      </c>
      <c r="B87" s="51"/>
      <c r="C87" s="35" t="s">
        <v>76</v>
      </c>
      <c r="D87" s="44"/>
      <c r="E87" s="53">
        <f t="shared" si="16"/>
        <v>2648622</v>
      </c>
      <c r="F87" s="53"/>
      <c r="G87" s="53">
        <v>10403895</v>
      </c>
      <c r="H87" s="53"/>
      <c r="I87" s="53">
        <v>13052517</v>
      </c>
      <c r="J87" s="53"/>
      <c r="K87" s="53">
        <f t="shared" si="17"/>
        <v>224000</v>
      </c>
      <c r="L87" s="53"/>
      <c r="M87" s="53">
        <v>491783</v>
      </c>
      <c r="N87" s="53"/>
      <c r="O87" s="53">
        <v>715783</v>
      </c>
      <c r="P87" s="53"/>
      <c r="Q87" s="53">
        <v>10103630</v>
      </c>
      <c r="R87" s="53"/>
      <c r="S87" s="53">
        <v>0</v>
      </c>
      <c r="T87" s="53"/>
      <c r="U87" s="53">
        <v>2233799</v>
      </c>
      <c r="V87" s="53"/>
      <c r="W87" s="53">
        <f t="shared" si="18"/>
        <v>12337429</v>
      </c>
      <c r="X87" s="53"/>
      <c r="Y87" s="35" t="s">
        <v>112</v>
      </c>
      <c r="AA87" s="35" t="s">
        <v>76</v>
      </c>
      <c r="AB87" s="35"/>
      <c r="AC87" s="53">
        <v>4027175</v>
      </c>
      <c r="AD87" s="53"/>
      <c r="AE87" s="53">
        <f>3576557-543821</f>
        <v>3032736</v>
      </c>
      <c r="AF87" s="53"/>
      <c r="AG87" s="53">
        <v>543821</v>
      </c>
      <c r="AH87" s="53"/>
      <c r="AI87" s="45">
        <f t="shared" si="19"/>
        <v>450618</v>
      </c>
      <c r="AJ87" s="45"/>
      <c r="AK87" s="53">
        <v>-20204</v>
      </c>
      <c r="AL87" s="45"/>
      <c r="AM87" s="53">
        <v>9076</v>
      </c>
      <c r="AN87" s="53"/>
      <c r="AO87" s="53">
        <v>0</v>
      </c>
      <c r="AP87" s="53"/>
      <c r="AQ87" s="53">
        <v>958</v>
      </c>
      <c r="AR87" s="53"/>
      <c r="AS87" s="45">
        <f t="shared" si="20"/>
        <v>440448</v>
      </c>
      <c r="AT87" s="45"/>
      <c r="AU87" s="53">
        <v>0</v>
      </c>
      <c r="AV87" s="53"/>
      <c r="AW87" s="53">
        <v>0</v>
      </c>
      <c r="AX87" s="53"/>
      <c r="AY87" s="53">
        <f t="shared" si="21"/>
        <v>2424622</v>
      </c>
      <c r="AZ87" s="53"/>
      <c r="BA87" s="35" t="s">
        <v>112</v>
      </c>
      <c r="BC87" s="35" t="s">
        <v>76</v>
      </c>
      <c r="BD87" s="53"/>
      <c r="BE87" s="53">
        <v>0</v>
      </c>
      <c r="BF87" s="53"/>
      <c r="BG87" s="53">
        <v>0</v>
      </c>
      <c r="BH87" s="53"/>
      <c r="BI87" s="53">
        <v>281041</v>
      </c>
      <c r="BJ87" s="53"/>
      <c r="BK87" s="53">
        <v>210041</v>
      </c>
      <c r="BL87" s="53"/>
      <c r="BM87" s="53">
        <f t="shared" si="22"/>
        <v>491082</v>
      </c>
      <c r="BN87" s="54" t="s">
        <v>347</v>
      </c>
      <c r="BR87" s="51"/>
      <c r="BS87" s="53"/>
      <c r="BT87" s="53"/>
      <c r="BU87" s="53"/>
      <c r="BV87" s="53"/>
      <c r="BW87" s="53"/>
      <c r="BX87" s="45"/>
      <c r="BY87" s="45"/>
      <c r="BZ87" s="53"/>
      <c r="CA87" s="53"/>
      <c r="CB87" s="53"/>
      <c r="CC87" s="53"/>
      <c r="CD87" s="53"/>
      <c r="CE87" s="53"/>
      <c r="CF87" s="35"/>
      <c r="CH87" s="35"/>
      <c r="CI87" s="53"/>
      <c r="CJ87" s="53"/>
      <c r="CK87" s="53"/>
      <c r="CL87" s="53"/>
      <c r="CM87" s="53"/>
      <c r="CN87" s="53"/>
      <c r="CO87" s="53"/>
      <c r="CP87" s="53"/>
      <c r="CQ87" s="53"/>
      <c r="CR87" s="53"/>
      <c r="CS87" s="54"/>
    </row>
    <row r="88" spans="1:98" s="55" customFormat="1" ht="11.25" customHeight="1">
      <c r="A88" s="35"/>
      <c r="B88" s="51"/>
      <c r="C88" s="35"/>
      <c r="D88" s="44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 t="s">
        <v>485</v>
      </c>
      <c r="X88" s="53"/>
      <c r="Y88" s="35"/>
      <c r="AA88" s="35"/>
      <c r="AB88" s="35"/>
      <c r="AC88" s="53"/>
      <c r="AD88" s="53"/>
      <c r="AE88" s="53"/>
      <c r="AF88" s="53"/>
      <c r="AG88" s="53"/>
      <c r="AH88" s="53"/>
      <c r="AI88" s="45"/>
      <c r="AJ88" s="45"/>
      <c r="AK88" s="53"/>
      <c r="AL88" s="45"/>
      <c r="AM88" s="53"/>
      <c r="AN88" s="53"/>
      <c r="AO88" s="53"/>
      <c r="AP88" s="53"/>
      <c r="AQ88" s="53"/>
      <c r="AR88" s="53"/>
      <c r="AS88" s="45"/>
      <c r="AT88" s="45"/>
      <c r="AU88" s="53"/>
      <c r="AV88" s="53"/>
      <c r="AW88" s="53"/>
      <c r="AX88" s="53"/>
      <c r="AY88" s="53" t="s">
        <v>485</v>
      </c>
      <c r="AZ88" s="53"/>
      <c r="BA88" s="35"/>
      <c r="BC88" s="35"/>
      <c r="BD88" s="53"/>
      <c r="BE88" s="53"/>
      <c r="BF88" s="53"/>
      <c r="BG88" s="53"/>
      <c r="BH88" s="53"/>
      <c r="BI88" s="53"/>
      <c r="BJ88" s="53"/>
      <c r="BK88" s="53"/>
      <c r="BL88" s="53"/>
      <c r="BM88" s="53" t="s">
        <v>485</v>
      </c>
      <c r="BN88" s="54"/>
      <c r="BR88" s="51"/>
      <c r="BS88" s="53"/>
      <c r="BT88" s="53"/>
      <c r="BU88" s="53"/>
      <c r="BV88" s="53"/>
      <c r="BW88" s="53"/>
      <c r="BX88" s="45"/>
      <c r="BY88" s="45"/>
      <c r="BZ88" s="53"/>
      <c r="CA88" s="53"/>
      <c r="CB88" s="53"/>
      <c r="CC88" s="53"/>
      <c r="CD88" s="53"/>
      <c r="CE88" s="53"/>
      <c r="CF88" s="35"/>
      <c r="CH88" s="35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4"/>
    </row>
    <row r="89" spans="1:98" s="90" customFormat="1" ht="12.75" customHeight="1">
      <c r="A89" s="64" t="s">
        <v>113</v>
      </c>
      <c r="B89" s="66"/>
      <c r="C89" s="64" t="s">
        <v>43</v>
      </c>
      <c r="D89" s="46"/>
      <c r="E89" s="79">
        <f t="shared" si="16"/>
        <v>13255085</v>
      </c>
      <c r="F89" s="79"/>
      <c r="G89" s="79">
        <v>16119849</v>
      </c>
      <c r="H89" s="79"/>
      <c r="I89" s="79">
        <v>29374934</v>
      </c>
      <c r="J89" s="79"/>
      <c r="K89" s="79">
        <f t="shared" si="17"/>
        <v>1037319</v>
      </c>
      <c r="L89" s="79"/>
      <c r="M89" s="79">
        <v>393944</v>
      </c>
      <c r="N89" s="79"/>
      <c r="O89" s="79">
        <v>1431263</v>
      </c>
      <c r="P89" s="79"/>
      <c r="Q89" s="79">
        <v>16053283</v>
      </c>
      <c r="R89" s="79"/>
      <c r="S89" s="79">
        <v>0</v>
      </c>
      <c r="T89" s="79"/>
      <c r="U89" s="79">
        <v>11890388</v>
      </c>
      <c r="V89" s="79"/>
      <c r="W89" s="79">
        <f t="shared" si="18"/>
        <v>27943671</v>
      </c>
      <c r="X89" s="79"/>
      <c r="Y89" s="64" t="s">
        <v>113</v>
      </c>
      <c r="AA89" s="64" t="s">
        <v>43</v>
      </c>
      <c r="AB89" s="64"/>
      <c r="AC89" s="79">
        <v>7941555</v>
      </c>
      <c r="AD89" s="79"/>
      <c r="AE89" s="79">
        <v>5079387</v>
      </c>
      <c r="AF89" s="79"/>
      <c r="AG89" s="79">
        <v>434714</v>
      </c>
      <c r="AH89" s="79"/>
      <c r="AI89" s="94">
        <f t="shared" si="19"/>
        <v>2427454</v>
      </c>
      <c r="AJ89" s="94"/>
      <c r="AK89" s="79">
        <v>42381</v>
      </c>
      <c r="AL89" s="94"/>
      <c r="AM89" s="79">
        <v>0</v>
      </c>
      <c r="AN89" s="79"/>
      <c r="AO89" s="79">
        <v>5000</v>
      </c>
      <c r="AP89" s="79"/>
      <c r="AQ89" s="79">
        <v>0</v>
      </c>
      <c r="AR89" s="79"/>
      <c r="AS89" s="94">
        <f t="shared" si="20"/>
        <v>2464835</v>
      </c>
      <c r="AT89" s="94"/>
      <c r="AU89" s="79">
        <v>0</v>
      </c>
      <c r="AV89" s="79"/>
      <c r="AW89" s="79">
        <v>0</v>
      </c>
      <c r="AX89" s="79"/>
      <c r="AY89" s="79">
        <f t="shared" si="21"/>
        <v>12217766</v>
      </c>
      <c r="AZ89" s="79"/>
      <c r="BA89" s="64" t="s">
        <v>113</v>
      </c>
      <c r="BC89" s="64" t="s">
        <v>43</v>
      </c>
      <c r="BD89" s="79"/>
      <c r="BE89" s="79">
        <v>341597</v>
      </c>
      <c r="BF89" s="79"/>
      <c r="BG89" s="79">
        <v>0</v>
      </c>
      <c r="BH89" s="79"/>
      <c r="BI89" s="79">
        <v>52347</v>
      </c>
      <c r="BJ89" s="79"/>
      <c r="BK89" s="79">
        <v>0</v>
      </c>
      <c r="BL89" s="79"/>
      <c r="BM89" s="79">
        <f t="shared" si="22"/>
        <v>393944</v>
      </c>
      <c r="BN89" s="91" t="s">
        <v>347</v>
      </c>
      <c r="BR89" s="66"/>
      <c r="BS89" s="79"/>
      <c r="BT89" s="79"/>
      <c r="BU89" s="79"/>
      <c r="BV89" s="79"/>
      <c r="BW89" s="79"/>
      <c r="BX89" s="94"/>
      <c r="BY89" s="94"/>
      <c r="BZ89" s="79"/>
      <c r="CA89" s="79"/>
      <c r="CB89" s="79"/>
      <c r="CC89" s="79"/>
      <c r="CD89" s="79"/>
      <c r="CE89" s="79"/>
      <c r="CF89" s="64"/>
      <c r="CH89" s="64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91"/>
    </row>
    <row r="90" spans="1:98" s="55" customFormat="1" ht="12.75" customHeight="1">
      <c r="A90" s="35" t="s">
        <v>493</v>
      </c>
      <c r="B90" s="51"/>
      <c r="C90" s="35" t="s">
        <v>57</v>
      </c>
      <c r="D90" s="44"/>
      <c r="E90" s="53">
        <f t="shared" si="16"/>
        <v>2333274</v>
      </c>
      <c r="F90" s="53"/>
      <c r="G90" s="53">
        <v>6552162</v>
      </c>
      <c r="H90" s="53"/>
      <c r="I90" s="53">
        <v>8885436</v>
      </c>
      <c r="J90" s="53"/>
      <c r="K90" s="53">
        <f>O90-M90</f>
        <v>562724</v>
      </c>
      <c r="L90" s="53"/>
      <c r="M90" s="53">
        <v>3185651</v>
      </c>
      <c r="N90" s="53"/>
      <c r="O90" s="53">
        <v>3748375</v>
      </c>
      <c r="P90" s="53"/>
      <c r="Q90" s="53">
        <v>3166220</v>
      </c>
      <c r="R90" s="53"/>
      <c r="S90" s="53">
        <v>0</v>
      </c>
      <c r="T90" s="53"/>
      <c r="U90" s="53">
        <v>1728766</v>
      </c>
      <c r="V90" s="53"/>
      <c r="W90" s="53">
        <f>SUM(Q90:U90)</f>
        <v>4894986</v>
      </c>
      <c r="X90" s="53"/>
      <c r="Y90" s="35" t="s">
        <v>494</v>
      </c>
      <c r="AA90" s="35" t="s">
        <v>57</v>
      </c>
      <c r="AB90" s="35"/>
      <c r="AC90" s="53">
        <v>1727747</v>
      </c>
      <c r="AD90" s="53"/>
      <c r="AE90" s="53">
        <f>1364322-212826</f>
        <v>1151496</v>
      </c>
      <c r="AF90" s="53"/>
      <c r="AG90" s="53">
        <v>212826</v>
      </c>
      <c r="AH90" s="53"/>
      <c r="AI90" s="45">
        <f>+AC90-AE90-AG90</f>
        <v>363425</v>
      </c>
      <c r="AJ90" s="45"/>
      <c r="AK90" s="53">
        <v>236166</v>
      </c>
      <c r="AL90" s="45"/>
      <c r="AM90" s="53">
        <v>549478</v>
      </c>
      <c r="AN90" s="53"/>
      <c r="AO90" s="53">
        <v>80420</v>
      </c>
      <c r="AP90" s="53"/>
      <c r="AQ90" s="53">
        <v>0</v>
      </c>
      <c r="AR90" s="53"/>
      <c r="AS90" s="45">
        <f>+AI90+AK90+AM90-AO90+AQ90</f>
        <v>1068649</v>
      </c>
      <c r="AT90" s="45"/>
      <c r="AU90" s="53">
        <v>0</v>
      </c>
      <c r="AV90" s="53"/>
      <c r="AW90" s="53">
        <v>0</v>
      </c>
      <c r="AX90" s="53"/>
      <c r="AY90" s="53">
        <f>+E90-K90</f>
        <v>1770550</v>
      </c>
      <c r="AZ90" s="53"/>
      <c r="BA90" s="35" t="s">
        <v>493</v>
      </c>
      <c r="BC90" s="35" t="s">
        <v>57</v>
      </c>
      <c r="BD90" s="53"/>
      <c r="BE90" s="53">
        <v>0</v>
      </c>
      <c r="BF90" s="53"/>
      <c r="BG90" s="53">
        <v>0</v>
      </c>
      <c r="BH90" s="53"/>
      <c r="BI90" s="53">
        <f>2887803+134536</f>
        <v>3022339</v>
      </c>
      <c r="BJ90" s="53"/>
      <c r="BK90" s="53">
        <f>63050+100262</f>
        <v>163312</v>
      </c>
      <c r="BL90" s="53"/>
      <c r="BM90" s="53">
        <f>SUM(BE90:BK90)</f>
        <v>3185651</v>
      </c>
      <c r="BN90" s="54" t="s">
        <v>347</v>
      </c>
      <c r="BR90" s="51"/>
      <c r="BS90" s="53"/>
      <c r="BT90" s="53"/>
      <c r="BU90" s="53"/>
      <c r="BV90" s="53"/>
      <c r="BW90" s="53"/>
      <c r="BX90" s="45"/>
      <c r="BY90" s="45"/>
      <c r="BZ90" s="53"/>
      <c r="CA90" s="53"/>
      <c r="CB90" s="53"/>
      <c r="CC90" s="53"/>
      <c r="CD90" s="53"/>
      <c r="CE90" s="53"/>
      <c r="CF90" s="35"/>
      <c r="CH90" s="35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4"/>
    </row>
    <row r="91" spans="1:98" s="159" customFormat="1" ht="12.75" hidden="1" customHeight="1">
      <c r="A91" s="142" t="s">
        <v>114</v>
      </c>
      <c r="B91" s="140"/>
      <c r="C91" s="142" t="s">
        <v>27</v>
      </c>
      <c r="D91" s="137"/>
      <c r="E91" s="156">
        <f t="shared" si="16"/>
        <v>0</v>
      </c>
      <c r="F91" s="156"/>
      <c r="G91" s="156"/>
      <c r="H91" s="156"/>
      <c r="I91" s="156"/>
      <c r="J91" s="156"/>
      <c r="K91" s="156">
        <f t="shared" si="17"/>
        <v>0</v>
      </c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>
        <f t="shared" si="18"/>
        <v>0</v>
      </c>
      <c r="X91" s="156"/>
      <c r="Y91" s="142" t="s">
        <v>114</v>
      </c>
      <c r="AA91" s="142" t="s">
        <v>27</v>
      </c>
      <c r="AB91" s="142"/>
      <c r="AC91" s="156"/>
      <c r="AD91" s="156"/>
      <c r="AE91" s="156"/>
      <c r="AF91" s="156"/>
      <c r="AG91" s="156"/>
      <c r="AH91" s="156"/>
      <c r="AI91" s="143">
        <f t="shared" si="19"/>
        <v>0</v>
      </c>
      <c r="AJ91" s="143"/>
      <c r="AK91" s="156"/>
      <c r="AL91" s="143"/>
      <c r="AM91" s="156"/>
      <c r="AN91" s="156"/>
      <c r="AO91" s="156"/>
      <c r="AP91" s="156"/>
      <c r="AQ91" s="156"/>
      <c r="AR91" s="156"/>
      <c r="AS91" s="143">
        <f t="shared" si="20"/>
        <v>0</v>
      </c>
      <c r="AT91" s="143"/>
      <c r="AU91" s="156">
        <v>0</v>
      </c>
      <c r="AV91" s="156"/>
      <c r="AW91" s="156">
        <v>0</v>
      </c>
      <c r="AX91" s="156"/>
      <c r="AY91" s="156">
        <f t="shared" si="21"/>
        <v>0</v>
      </c>
      <c r="AZ91" s="156"/>
      <c r="BA91" s="142" t="s">
        <v>114</v>
      </c>
      <c r="BC91" s="142" t="s">
        <v>27</v>
      </c>
      <c r="BD91" s="156"/>
      <c r="BE91" s="156">
        <v>0</v>
      </c>
      <c r="BF91" s="156"/>
      <c r="BG91" s="156">
        <v>0</v>
      </c>
      <c r="BH91" s="156"/>
      <c r="BI91" s="156">
        <v>0</v>
      </c>
      <c r="BJ91" s="156"/>
      <c r="BK91" s="156">
        <v>0</v>
      </c>
      <c r="BL91" s="156"/>
      <c r="BM91" s="156">
        <f t="shared" si="22"/>
        <v>0</v>
      </c>
      <c r="BN91" s="158" t="s">
        <v>347</v>
      </c>
      <c r="BR91" s="140"/>
      <c r="BS91" s="156"/>
      <c r="BT91" s="156"/>
      <c r="BU91" s="156"/>
      <c r="BV91" s="156"/>
      <c r="BW91" s="156"/>
      <c r="BX91" s="143"/>
      <c r="BY91" s="143"/>
      <c r="BZ91" s="156"/>
      <c r="CA91" s="156"/>
      <c r="CB91" s="156"/>
      <c r="CC91" s="156"/>
      <c r="CD91" s="156"/>
      <c r="CE91" s="156"/>
      <c r="CF91" s="142"/>
      <c r="CH91" s="142"/>
      <c r="CI91" s="156"/>
      <c r="CJ91" s="156"/>
      <c r="CK91" s="156"/>
      <c r="CL91" s="156"/>
      <c r="CM91" s="156"/>
      <c r="CN91" s="156"/>
      <c r="CO91" s="156"/>
      <c r="CP91" s="156"/>
      <c r="CQ91" s="156"/>
      <c r="CR91" s="156"/>
      <c r="CS91" s="158"/>
    </row>
    <row r="92" spans="1:98" s="55" customFormat="1" ht="12.75" customHeight="1">
      <c r="A92" s="35" t="s">
        <v>115</v>
      </c>
      <c r="C92" s="35" t="s">
        <v>19</v>
      </c>
      <c r="D92" s="44"/>
      <c r="E92" s="53">
        <f t="shared" ref="E92:E123" si="23">I92-G92</f>
        <v>935467</v>
      </c>
      <c r="F92" s="53"/>
      <c r="G92" s="53">
        <v>5136559</v>
      </c>
      <c r="H92" s="53"/>
      <c r="I92" s="53">
        <v>6072026</v>
      </c>
      <c r="J92" s="53"/>
      <c r="K92" s="53">
        <f t="shared" si="17"/>
        <v>628549</v>
      </c>
      <c r="L92" s="53"/>
      <c r="M92" s="53">
        <v>4015311</v>
      </c>
      <c r="N92" s="53"/>
      <c r="O92" s="53">
        <v>4643860</v>
      </c>
      <c r="P92" s="53"/>
      <c r="Q92" s="53">
        <v>0</v>
      </c>
      <c r="R92" s="53"/>
      <c r="S92" s="53">
        <v>0</v>
      </c>
      <c r="T92" s="53"/>
      <c r="U92" s="53">
        <v>1428166</v>
      </c>
      <c r="V92" s="53"/>
      <c r="W92" s="53">
        <f t="shared" si="18"/>
        <v>1428166</v>
      </c>
      <c r="X92" s="53"/>
      <c r="Y92" s="35" t="s">
        <v>115</v>
      </c>
      <c r="AA92" s="35" t="s">
        <v>19</v>
      </c>
      <c r="AB92" s="35"/>
      <c r="AC92" s="53">
        <v>1518706</v>
      </c>
      <c r="AD92" s="53"/>
      <c r="AE92" s="53">
        <v>910723</v>
      </c>
      <c r="AF92" s="53"/>
      <c r="AG92" s="53">
        <v>0</v>
      </c>
      <c r="AH92" s="53"/>
      <c r="AI92" s="45">
        <f t="shared" si="19"/>
        <v>607983</v>
      </c>
      <c r="AJ92" s="45"/>
      <c r="AK92" s="53">
        <v>284338</v>
      </c>
      <c r="AL92" s="45"/>
      <c r="AM92" s="53">
        <v>22543</v>
      </c>
      <c r="AN92" s="53"/>
      <c r="AO92" s="53">
        <v>2895</v>
      </c>
      <c r="AP92" s="53"/>
      <c r="AQ92" s="53">
        <v>0</v>
      </c>
      <c r="AR92" s="53"/>
      <c r="AS92" s="45">
        <f t="shared" si="20"/>
        <v>911969</v>
      </c>
      <c r="AT92" s="45"/>
      <c r="AU92" s="53">
        <v>0</v>
      </c>
      <c r="AV92" s="53"/>
      <c r="AW92" s="53">
        <v>0</v>
      </c>
      <c r="AX92" s="53"/>
      <c r="AY92" s="53">
        <f t="shared" si="21"/>
        <v>306918</v>
      </c>
      <c r="AZ92" s="53"/>
      <c r="BA92" s="35" t="s">
        <v>115</v>
      </c>
      <c r="BC92" s="35" t="s">
        <v>19</v>
      </c>
      <c r="BD92" s="53"/>
      <c r="BE92" s="53">
        <v>0</v>
      </c>
      <c r="BF92" s="53"/>
      <c r="BG92" s="53">
        <v>0</v>
      </c>
      <c r="BH92" s="53"/>
      <c r="BI92" s="53">
        <v>0</v>
      </c>
      <c r="BJ92" s="53"/>
      <c r="BK92" s="53">
        <v>4015311</v>
      </c>
      <c r="BL92" s="53"/>
      <c r="BM92" s="53">
        <f t="shared" si="22"/>
        <v>4015311</v>
      </c>
      <c r="BN92" s="54" t="s">
        <v>347</v>
      </c>
      <c r="BR92" s="51"/>
      <c r="BS92" s="53"/>
      <c r="BT92" s="53"/>
      <c r="BU92" s="53"/>
      <c r="BV92" s="53"/>
      <c r="BW92" s="53"/>
      <c r="BX92" s="45"/>
      <c r="BY92" s="45"/>
      <c r="BZ92" s="53"/>
      <c r="CA92" s="53"/>
      <c r="CB92" s="53"/>
      <c r="CC92" s="53"/>
      <c r="CD92" s="53"/>
      <c r="CE92" s="53"/>
      <c r="CF92" s="35"/>
      <c r="CH92" s="35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4"/>
    </row>
    <row r="93" spans="1:98" s="55" customFormat="1" ht="12.75" customHeight="1">
      <c r="A93" s="35" t="s">
        <v>116</v>
      </c>
      <c r="B93" s="51"/>
      <c r="C93" s="35" t="s">
        <v>80</v>
      </c>
      <c r="D93" s="44"/>
      <c r="E93" s="53">
        <f t="shared" si="23"/>
        <v>726516</v>
      </c>
      <c r="F93" s="53"/>
      <c r="G93" s="53">
        <v>7626939</v>
      </c>
      <c r="H93" s="53"/>
      <c r="I93" s="53">
        <v>8353455</v>
      </c>
      <c r="J93" s="53"/>
      <c r="K93" s="53">
        <f t="shared" si="17"/>
        <v>137107</v>
      </c>
      <c r="L93" s="53"/>
      <c r="M93" s="53">
        <v>338056</v>
      </c>
      <c r="N93" s="53"/>
      <c r="O93" s="53">
        <v>475163</v>
      </c>
      <c r="P93" s="53"/>
      <c r="Q93" s="53">
        <v>7299205</v>
      </c>
      <c r="R93" s="53"/>
      <c r="S93" s="53">
        <v>0</v>
      </c>
      <c r="T93" s="53"/>
      <c r="U93" s="53">
        <v>579087</v>
      </c>
      <c r="V93" s="53"/>
      <c r="W93" s="53">
        <f t="shared" si="18"/>
        <v>7878292</v>
      </c>
      <c r="X93" s="53"/>
      <c r="Y93" s="35" t="s">
        <v>116</v>
      </c>
      <c r="AA93" s="35" t="s">
        <v>80</v>
      </c>
      <c r="AB93" s="35"/>
      <c r="AC93" s="53">
        <v>1895508</v>
      </c>
      <c r="AD93" s="53"/>
      <c r="AE93" s="53">
        <v>1398853</v>
      </c>
      <c r="AF93" s="53"/>
      <c r="AG93" s="53">
        <v>161608</v>
      </c>
      <c r="AH93" s="53"/>
      <c r="AI93" s="45">
        <f t="shared" si="19"/>
        <v>335047</v>
      </c>
      <c r="AJ93" s="45"/>
      <c r="AK93" s="53">
        <v>-297570</v>
      </c>
      <c r="AL93" s="45"/>
      <c r="AM93" s="53">
        <v>0</v>
      </c>
      <c r="AN93" s="53"/>
      <c r="AO93" s="53">
        <v>0</v>
      </c>
      <c r="AP93" s="53"/>
      <c r="AQ93" s="53">
        <v>0</v>
      </c>
      <c r="AR93" s="53"/>
      <c r="AS93" s="45">
        <f t="shared" si="20"/>
        <v>37477</v>
      </c>
      <c r="AT93" s="45"/>
      <c r="AU93" s="53">
        <v>0</v>
      </c>
      <c r="AV93" s="53"/>
      <c r="AW93" s="53">
        <v>0</v>
      </c>
      <c r="AX93" s="53"/>
      <c r="AY93" s="53">
        <f t="shared" si="21"/>
        <v>589409</v>
      </c>
      <c r="AZ93" s="53"/>
      <c r="BA93" s="35" t="s">
        <v>116</v>
      </c>
      <c r="BC93" s="35" t="s">
        <v>80</v>
      </c>
      <c r="BD93" s="53"/>
      <c r="BE93" s="53">
        <v>0</v>
      </c>
      <c r="BF93" s="53"/>
      <c r="BG93" s="53">
        <v>0</v>
      </c>
      <c r="BH93" s="53"/>
      <c r="BI93" s="53">
        <v>300821</v>
      </c>
      <c r="BJ93" s="53"/>
      <c r="BK93" s="53">
        <v>37235</v>
      </c>
      <c r="BL93" s="53"/>
      <c r="BM93" s="53">
        <f t="shared" si="22"/>
        <v>338056</v>
      </c>
      <c r="BN93" s="54" t="s">
        <v>347</v>
      </c>
      <c r="BR93" s="51"/>
      <c r="BS93" s="53"/>
      <c r="BT93" s="53"/>
      <c r="BU93" s="53"/>
      <c r="BV93" s="53"/>
      <c r="BW93" s="53"/>
      <c r="BX93" s="45"/>
      <c r="BY93" s="45"/>
      <c r="BZ93" s="53"/>
      <c r="CA93" s="53"/>
      <c r="CB93" s="53"/>
      <c r="CC93" s="53"/>
      <c r="CD93" s="53"/>
      <c r="CE93" s="53"/>
      <c r="CF93" s="35"/>
      <c r="CH93" s="35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4"/>
    </row>
    <row r="94" spans="1:98" s="159" customFormat="1" ht="12.75" hidden="1" customHeight="1">
      <c r="A94" s="137" t="s">
        <v>117</v>
      </c>
      <c r="B94" s="140"/>
      <c r="C94" s="142" t="s">
        <v>43</v>
      </c>
      <c r="D94" s="137"/>
      <c r="E94" s="156">
        <f t="shared" si="23"/>
        <v>0</v>
      </c>
      <c r="F94" s="156"/>
      <c r="G94" s="156">
        <v>0</v>
      </c>
      <c r="H94" s="156"/>
      <c r="I94" s="156">
        <v>0</v>
      </c>
      <c r="J94" s="156"/>
      <c r="K94" s="156">
        <f t="shared" si="17"/>
        <v>0</v>
      </c>
      <c r="L94" s="156"/>
      <c r="M94" s="156">
        <v>0</v>
      </c>
      <c r="N94" s="156"/>
      <c r="O94" s="156">
        <v>0</v>
      </c>
      <c r="P94" s="156"/>
      <c r="Q94" s="156">
        <v>0</v>
      </c>
      <c r="R94" s="156"/>
      <c r="S94" s="156">
        <v>0</v>
      </c>
      <c r="T94" s="156"/>
      <c r="U94" s="156">
        <v>0</v>
      </c>
      <c r="V94" s="156"/>
      <c r="W94" s="156">
        <f t="shared" si="18"/>
        <v>0</v>
      </c>
      <c r="X94" s="156"/>
      <c r="Y94" s="137" t="s">
        <v>117</v>
      </c>
      <c r="AA94" s="142" t="s">
        <v>43</v>
      </c>
      <c r="AB94" s="142"/>
      <c r="AC94" s="156">
        <v>0</v>
      </c>
      <c r="AD94" s="156"/>
      <c r="AE94" s="156">
        <v>0</v>
      </c>
      <c r="AF94" s="156"/>
      <c r="AG94" s="156">
        <v>0</v>
      </c>
      <c r="AH94" s="156"/>
      <c r="AI94" s="143">
        <f t="shared" si="19"/>
        <v>0</v>
      </c>
      <c r="AJ94" s="143"/>
      <c r="AK94" s="156">
        <v>0</v>
      </c>
      <c r="AL94" s="143"/>
      <c r="AM94" s="156">
        <v>0</v>
      </c>
      <c r="AN94" s="156"/>
      <c r="AO94" s="156">
        <v>0</v>
      </c>
      <c r="AP94" s="156"/>
      <c r="AQ94" s="156">
        <v>0</v>
      </c>
      <c r="AR94" s="156"/>
      <c r="AS94" s="143">
        <f t="shared" si="20"/>
        <v>0</v>
      </c>
      <c r="AT94" s="143"/>
      <c r="AU94" s="156">
        <v>0</v>
      </c>
      <c r="AV94" s="156"/>
      <c r="AW94" s="156">
        <v>0</v>
      </c>
      <c r="AX94" s="156"/>
      <c r="AY94" s="156">
        <f t="shared" si="21"/>
        <v>0</v>
      </c>
      <c r="AZ94" s="156"/>
      <c r="BA94" s="137" t="s">
        <v>117</v>
      </c>
      <c r="BC94" s="142" t="s">
        <v>43</v>
      </c>
      <c r="BD94" s="156"/>
      <c r="BE94" s="156">
        <v>0</v>
      </c>
      <c r="BF94" s="156"/>
      <c r="BG94" s="156">
        <v>0</v>
      </c>
      <c r="BH94" s="156"/>
      <c r="BI94" s="156">
        <v>0</v>
      </c>
      <c r="BJ94" s="156"/>
      <c r="BK94" s="156">
        <v>0</v>
      </c>
      <c r="BL94" s="156"/>
      <c r="BM94" s="156">
        <f t="shared" si="22"/>
        <v>0</v>
      </c>
      <c r="BN94" s="158" t="s">
        <v>347</v>
      </c>
      <c r="BR94" s="140"/>
      <c r="BS94" s="156"/>
      <c r="BT94" s="156"/>
      <c r="BU94" s="156"/>
      <c r="BV94" s="156"/>
      <c r="BW94" s="156"/>
      <c r="BX94" s="143"/>
      <c r="BY94" s="143"/>
      <c r="BZ94" s="156"/>
      <c r="CA94" s="156"/>
      <c r="CB94" s="156"/>
      <c r="CC94" s="156"/>
      <c r="CD94" s="156"/>
      <c r="CE94" s="156"/>
      <c r="CF94" s="142"/>
      <c r="CH94" s="142"/>
      <c r="CI94" s="156"/>
      <c r="CJ94" s="156"/>
      <c r="CK94" s="156"/>
      <c r="CL94" s="156"/>
      <c r="CM94" s="156"/>
      <c r="CN94" s="156"/>
      <c r="CO94" s="156"/>
      <c r="CP94" s="156"/>
      <c r="CQ94" s="156"/>
      <c r="CR94" s="156"/>
      <c r="CS94" s="158"/>
    </row>
    <row r="95" spans="1:98" s="159" customFormat="1" ht="12.75" hidden="1" customHeight="1">
      <c r="A95" s="142" t="s">
        <v>118</v>
      </c>
      <c r="B95" s="140"/>
      <c r="C95" s="142" t="s">
        <v>13</v>
      </c>
      <c r="D95" s="137"/>
      <c r="E95" s="156">
        <f t="shared" si="23"/>
        <v>0</v>
      </c>
      <c r="F95" s="156"/>
      <c r="G95" s="156"/>
      <c r="H95" s="156"/>
      <c r="I95" s="156"/>
      <c r="J95" s="156"/>
      <c r="K95" s="156">
        <f t="shared" si="17"/>
        <v>0</v>
      </c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>
        <f t="shared" si="18"/>
        <v>0</v>
      </c>
      <c r="X95" s="156"/>
      <c r="Y95" s="142" t="s">
        <v>118</v>
      </c>
      <c r="AA95" s="142" t="s">
        <v>13</v>
      </c>
      <c r="AB95" s="142"/>
      <c r="AC95" s="156"/>
      <c r="AD95" s="156"/>
      <c r="AE95" s="156"/>
      <c r="AF95" s="156"/>
      <c r="AG95" s="156"/>
      <c r="AH95" s="156"/>
      <c r="AI95" s="143">
        <f t="shared" si="19"/>
        <v>0</v>
      </c>
      <c r="AJ95" s="143"/>
      <c r="AK95" s="156"/>
      <c r="AL95" s="143"/>
      <c r="AM95" s="156"/>
      <c r="AN95" s="156"/>
      <c r="AO95" s="156"/>
      <c r="AP95" s="156"/>
      <c r="AQ95" s="156"/>
      <c r="AR95" s="156"/>
      <c r="AS95" s="143">
        <f t="shared" si="20"/>
        <v>0</v>
      </c>
      <c r="AT95" s="143"/>
      <c r="AU95" s="156">
        <v>0</v>
      </c>
      <c r="AV95" s="156"/>
      <c r="AW95" s="156">
        <v>0</v>
      </c>
      <c r="AX95" s="156"/>
      <c r="AY95" s="156">
        <f t="shared" si="21"/>
        <v>0</v>
      </c>
      <c r="AZ95" s="156"/>
      <c r="BA95" s="142" t="s">
        <v>118</v>
      </c>
      <c r="BC95" s="142" t="s">
        <v>13</v>
      </c>
      <c r="BD95" s="156"/>
      <c r="BE95" s="156"/>
      <c r="BF95" s="156"/>
      <c r="BG95" s="156"/>
      <c r="BH95" s="156"/>
      <c r="BI95" s="156"/>
      <c r="BJ95" s="156"/>
      <c r="BK95" s="156"/>
      <c r="BL95" s="156"/>
      <c r="BM95" s="156">
        <f t="shared" si="22"/>
        <v>0</v>
      </c>
      <c r="BN95" s="158" t="s">
        <v>347</v>
      </c>
      <c r="BO95" s="142"/>
      <c r="BR95" s="140"/>
      <c r="BS95" s="156"/>
      <c r="BT95" s="156"/>
      <c r="BU95" s="156"/>
      <c r="BV95" s="156"/>
      <c r="BW95" s="143"/>
      <c r="BX95" s="143"/>
      <c r="BY95" s="156"/>
      <c r="BZ95" s="156"/>
      <c r="CA95" s="156"/>
      <c r="CB95" s="156"/>
      <c r="CC95" s="156"/>
      <c r="CD95" s="156"/>
      <c r="CE95" s="156"/>
      <c r="CF95" s="137"/>
      <c r="CH95" s="142"/>
      <c r="CI95" s="156"/>
      <c r="CJ95" s="156"/>
      <c r="CK95" s="156"/>
      <c r="CL95" s="156"/>
      <c r="CM95" s="156"/>
      <c r="CN95" s="156"/>
      <c r="CO95" s="156"/>
      <c r="CP95" s="156"/>
      <c r="CQ95" s="156"/>
      <c r="CR95" s="156"/>
      <c r="CS95" s="158"/>
      <c r="CT95" s="142"/>
    </row>
    <row r="96" spans="1:98" s="55" customFormat="1" ht="12.75" customHeight="1">
      <c r="A96" s="35" t="s">
        <v>120</v>
      </c>
      <c r="B96" s="51"/>
      <c r="C96" s="35" t="s">
        <v>121</v>
      </c>
      <c r="D96" s="44"/>
      <c r="E96" s="53">
        <f t="shared" si="23"/>
        <v>7292506</v>
      </c>
      <c r="F96" s="53"/>
      <c r="G96" s="53">
        <v>3815209</v>
      </c>
      <c r="H96" s="53"/>
      <c r="I96" s="53">
        <v>11107715</v>
      </c>
      <c r="J96" s="53"/>
      <c r="K96" s="53">
        <f t="shared" si="17"/>
        <v>234343</v>
      </c>
      <c r="L96" s="53"/>
      <c r="M96" s="53">
        <v>1917634</v>
      </c>
      <c r="N96" s="53"/>
      <c r="O96" s="53">
        <v>2151977</v>
      </c>
      <c r="P96" s="53"/>
      <c r="Q96" s="53">
        <v>1750209</v>
      </c>
      <c r="R96" s="53"/>
      <c r="S96" s="53">
        <v>0</v>
      </c>
      <c r="T96" s="53"/>
      <c r="U96" s="53">
        <v>7205529</v>
      </c>
      <c r="V96" s="53"/>
      <c r="W96" s="53">
        <f t="shared" si="18"/>
        <v>8955738</v>
      </c>
      <c r="X96" s="53"/>
      <c r="Y96" s="35" t="s">
        <v>120</v>
      </c>
      <c r="AA96" s="35" t="s">
        <v>121</v>
      </c>
      <c r="AB96" s="35"/>
      <c r="AC96" s="53">
        <v>1514406</v>
      </c>
      <c r="AD96" s="53"/>
      <c r="AE96" s="53">
        <v>942010</v>
      </c>
      <c r="AF96" s="53"/>
      <c r="AG96" s="53">
        <v>258978</v>
      </c>
      <c r="AH96" s="53"/>
      <c r="AI96" s="45">
        <f t="shared" si="19"/>
        <v>313418</v>
      </c>
      <c r="AJ96" s="45"/>
      <c r="AK96" s="53">
        <v>110245</v>
      </c>
      <c r="AL96" s="45"/>
      <c r="AM96" s="53">
        <v>0</v>
      </c>
      <c r="AN96" s="53"/>
      <c r="AO96" s="53">
        <v>0</v>
      </c>
      <c r="AP96" s="53"/>
      <c r="AQ96" s="53">
        <v>0</v>
      </c>
      <c r="AR96" s="53"/>
      <c r="AS96" s="45">
        <f t="shared" si="20"/>
        <v>423663</v>
      </c>
      <c r="AT96" s="45"/>
      <c r="AU96" s="53">
        <v>0</v>
      </c>
      <c r="AV96" s="53"/>
      <c r="AW96" s="53">
        <v>0</v>
      </c>
      <c r="AX96" s="53"/>
      <c r="AY96" s="53">
        <f t="shared" si="21"/>
        <v>7058163</v>
      </c>
      <c r="AZ96" s="53"/>
      <c r="BA96" s="35" t="s">
        <v>120</v>
      </c>
      <c r="BC96" s="35" t="s">
        <v>121</v>
      </c>
      <c r="BD96" s="53"/>
      <c r="BE96" s="53">
        <v>0</v>
      </c>
      <c r="BF96" s="53"/>
      <c r="BG96" s="53">
        <v>1895000</v>
      </c>
      <c r="BH96" s="53"/>
      <c r="BI96" s="53">
        <v>0</v>
      </c>
      <c r="BJ96" s="53"/>
      <c r="BK96" s="53">
        <v>22634</v>
      </c>
      <c r="BL96" s="53"/>
      <c r="BM96" s="53">
        <f t="shared" si="22"/>
        <v>1917634</v>
      </c>
      <c r="BN96" s="54" t="s">
        <v>347</v>
      </c>
      <c r="BO96" s="55" t="s">
        <v>404</v>
      </c>
      <c r="BR96" s="65"/>
      <c r="BS96" s="53"/>
      <c r="BT96" s="53"/>
      <c r="BU96" s="53"/>
      <c r="BV96" s="53"/>
      <c r="BW96" s="53"/>
      <c r="BX96" s="45"/>
      <c r="BY96" s="45"/>
      <c r="BZ96" s="53"/>
      <c r="CA96" s="53"/>
      <c r="CB96" s="53"/>
      <c r="CC96" s="53"/>
      <c r="CD96" s="53"/>
      <c r="CE96" s="53"/>
      <c r="CF96" s="35"/>
      <c r="CH96" s="35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4"/>
    </row>
    <row r="97" spans="1:100" s="55" customFormat="1" ht="12.75" customHeight="1">
      <c r="A97" s="35" t="s">
        <v>122</v>
      </c>
      <c r="C97" s="35" t="s">
        <v>43</v>
      </c>
      <c r="D97" s="44"/>
      <c r="E97" s="53">
        <f t="shared" si="23"/>
        <v>3252751</v>
      </c>
      <c r="F97" s="53"/>
      <c r="G97" s="53">
        <v>24782203</v>
      </c>
      <c r="H97" s="53"/>
      <c r="I97" s="53">
        <v>28034954</v>
      </c>
      <c r="J97" s="53"/>
      <c r="K97" s="53">
        <f t="shared" si="17"/>
        <v>118850</v>
      </c>
      <c r="L97" s="53"/>
      <c r="M97" s="53">
        <v>788154</v>
      </c>
      <c r="N97" s="53"/>
      <c r="O97" s="53">
        <v>907004</v>
      </c>
      <c r="P97" s="53"/>
      <c r="Q97" s="53">
        <v>23969694</v>
      </c>
      <c r="R97" s="53"/>
      <c r="S97" s="53">
        <v>0</v>
      </c>
      <c r="T97" s="53"/>
      <c r="U97" s="53">
        <v>3158256</v>
      </c>
      <c r="V97" s="53"/>
      <c r="W97" s="53">
        <f t="shared" si="18"/>
        <v>27127950</v>
      </c>
      <c r="X97" s="53"/>
      <c r="Y97" s="35" t="s">
        <v>122</v>
      </c>
      <c r="AA97" s="35" t="s">
        <v>43</v>
      </c>
      <c r="AB97" s="35"/>
      <c r="AC97" s="53">
        <v>493056</v>
      </c>
      <c r="AD97" s="53"/>
      <c r="AE97" s="53">
        <v>677126</v>
      </c>
      <c r="AF97" s="53"/>
      <c r="AG97" s="53">
        <v>654748</v>
      </c>
      <c r="AH97" s="53"/>
      <c r="AI97" s="45">
        <f t="shared" si="19"/>
        <v>-838818</v>
      </c>
      <c r="AJ97" s="45"/>
      <c r="AK97" s="53">
        <v>-31176</v>
      </c>
      <c r="AL97" s="45"/>
      <c r="AM97" s="53">
        <v>50000</v>
      </c>
      <c r="AN97" s="53"/>
      <c r="AO97" s="53">
        <v>0</v>
      </c>
      <c r="AP97" s="53"/>
      <c r="AQ97" s="53">
        <v>1558441</v>
      </c>
      <c r="AR97" s="53"/>
      <c r="AS97" s="45">
        <f t="shared" si="20"/>
        <v>738447</v>
      </c>
      <c r="AT97" s="45"/>
      <c r="AU97" s="53">
        <v>0</v>
      </c>
      <c r="AV97" s="53"/>
      <c r="AW97" s="53">
        <v>0</v>
      </c>
      <c r="AX97" s="53"/>
      <c r="AY97" s="53">
        <f t="shared" si="21"/>
        <v>3133901</v>
      </c>
      <c r="AZ97" s="53"/>
      <c r="BA97" s="35" t="s">
        <v>122</v>
      </c>
      <c r="BC97" s="35" t="s">
        <v>43</v>
      </c>
      <c r="BD97" s="53"/>
      <c r="BE97" s="53">
        <v>0</v>
      </c>
      <c r="BF97" s="53"/>
      <c r="BG97" s="53">
        <v>0</v>
      </c>
      <c r="BH97" s="53"/>
      <c r="BI97" s="53">
        <v>752651</v>
      </c>
      <c r="BJ97" s="53"/>
      <c r="BK97" s="53">
        <v>35503</v>
      </c>
      <c r="BL97" s="53"/>
      <c r="BM97" s="53">
        <f t="shared" si="22"/>
        <v>788154</v>
      </c>
      <c r="BN97" s="54" t="s">
        <v>347</v>
      </c>
      <c r="BR97" s="51"/>
      <c r="BS97" s="53"/>
      <c r="BT97" s="53"/>
      <c r="BU97" s="53"/>
      <c r="BV97" s="53"/>
      <c r="BW97" s="53"/>
      <c r="BX97" s="45"/>
      <c r="BY97" s="45"/>
      <c r="BZ97" s="53"/>
      <c r="CA97" s="53"/>
      <c r="CB97" s="53"/>
      <c r="CC97" s="53"/>
      <c r="CD97" s="53"/>
      <c r="CE97" s="53"/>
      <c r="CF97" s="35"/>
      <c r="CH97" s="35"/>
      <c r="CI97" s="53"/>
      <c r="CJ97" s="53"/>
      <c r="CK97" s="53"/>
      <c r="CL97" s="53"/>
      <c r="CM97" s="53"/>
      <c r="CN97" s="53"/>
      <c r="CO97" s="53"/>
      <c r="CP97" s="53"/>
      <c r="CQ97" s="53"/>
      <c r="CR97" s="53"/>
      <c r="CS97" s="54"/>
    </row>
    <row r="98" spans="1:100" s="55" customFormat="1" ht="12.75" customHeight="1">
      <c r="A98" s="44" t="s">
        <v>45</v>
      </c>
      <c r="B98" s="51"/>
      <c r="C98" s="35" t="s">
        <v>103</v>
      </c>
      <c r="D98" s="44"/>
      <c r="E98" s="53">
        <f t="shared" si="23"/>
        <v>12929690</v>
      </c>
      <c r="F98" s="53"/>
      <c r="G98" s="53">
        <v>42565331</v>
      </c>
      <c r="H98" s="53"/>
      <c r="I98" s="53">
        <v>55495021</v>
      </c>
      <c r="J98" s="53"/>
      <c r="K98" s="53">
        <f t="shared" si="17"/>
        <v>4598900</v>
      </c>
      <c r="L98" s="53"/>
      <c r="M98" s="53">
        <v>20907097</v>
      </c>
      <c r="N98" s="53"/>
      <c r="O98" s="53">
        <v>25505997</v>
      </c>
      <c r="P98" s="53"/>
      <c r="Q98" s="53">
        <v>18250116</v>
      </c>
      <c r="R98" s="53"/>
      <c r="S98" s="53">
        <v>2544692</v>
      </c>
      <c r="T98" s="53"/>
      <c r="U98" s="53">
        <v>9194216</v>
      </c>
      <c r="V98" s="53"/>
      <c r="W98" s="53">
        <f>SUM(Q98:U98)</f>
        <v>29989024</v>
      </c>
      <c r="X98" s="53"/>
      <c r="Y98" s="44" t="s">
        <v>45</v>
      </c>
      <c r="Z98" s="53"/>
      <c r="AA98" s="35" t="s">
        <v>103</v>
      </c>
      <c r="AB98" s="51"/>
      <c r="AC98" s="53">
        <v>11019239</v>
      </c>
      <c r="AD98" s="53"/>
      <c r="AE98" s="53">
        <v>8142681</v>
      </c>
      <c r="AF98" s="53"/>
      <c r="AG98" s="53">
        <v>2119036</v>
      </c>
      <c r="AH98" s="53"/>
      <c r="AI98" s="45">
        <f t="shared" si="19"/>
        <v>757522</v>
      </c>
      <c r="AJ98" s="45"/>
      <c r="AK98" s="53">
        <v>-523793</v>
      </c>
      <c r="AL98" s="45"/>
      <c r="AM98" s="53">
        <v>0</v>
      </c>
      <c r="AN98" s="53"/>
      <c r="AO98" s="53">
        <v>0</v>
      </c>
      <c r="AP98" s="53"/>
      <c r="AQ98" s="53">
        <v>0</v>
      </c>
      <c r="AR98" s="53"/>
      <c r="AS98" s="45">
        <f t="shared" si="20"/>
        <v>233729</v>
      </c>
      <c r="AT98" s="45"/>
      <c r="AU98" s="53">
        <v>0</v>
      </c>
      <c r="AV98" s="53"/>
      <c r="AW98" s="53">
        <v>0</v>
      </c>
      <c r="AX98" s="53"/>
      <c r="AY98" s="53">
        <f t="shared" si="21"/>
        <v>8330790</v>
      </c>
      <c r="AZ98" s="53"/>
      <c r="BA98" s="44" t="s">
        <v>45</v>
      </c>
      <c r="BC98" s="35" t="s">
        <v>103</v>
      </c>
      <c r="BD98" s="53"/>
      <c r="BE98" s="53">
        <v>0</v>
      </c>
      <c r="BF98" s="53"/>
      <c r="BG98" s="53">
        <v>20599068</v>
      </c>
      <c r="BH98" s="53"/>
      <c r="BI98" s="53">
        <v>0</v>
      </c>
      <c r="BJ98" s="53"/>
      <c r="BK98" s="53">
        <v>308029</v>
      </c>
      <c r="BL98" s="53"/>
      <c r="BM98" s="53">
        <f t="shared" si="22"/>
        <v>20907097</v>
      </c>
      <c r="BN98" s="54" t="s">
        <v>347</v>
      </c>
      <c r="BO98" s="55" t="s">
        <v>404</v>
      </c>
      <c r="BR98" s="51"/>
      <c r="BS98" s="53"/>
      <c r="BT98" s="53"/>
      <c r="BU98" s="53"/>
      <c r="BV98" s="53"/>
      <c r="BW98" s="53"/>
      <c r="BX98" s="45"/>
      <c r="BY98" s="45"/>
      <c r="BZ98" s="53"/>
      <c r="CA98" s="53"/>
      <c r="CB98" s="53"/>
      <c r="CC98" s="53"/>
      <c r="CD98" s="53"/>
      <c r="CE98" s="53"/>
      <c r="CF98" s="35"/>
      <c r="CH98" s="35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4"/>
    </row>
    <row r="99" spans="1:100" s="55" customFormat="1" ht="12.75" customHeight="1">
      <c r="A99" s="44" t="s">
        <v>123</v>
      </c>
      <c r="B99" s="51"/>
      <c r="C99" s="35" t="s">
        <v>45</v>
      </c>
      <c r="D99" s="44"/>
      <c r="E99" s="53">
        <f t="shared" si="23"/>
        <v>7775952</v>
      </c>
      <c r="F99" s="53"/>
      <c r="G99" s="53">
        <v>19444477</v>
      </c>
      <c r="H99" s="53"/>
      <c r="I99" s="53">
        <v>27220429</v>
      </c>
      <c r="J99" s="53"/>
      <c r="K99" s="53">
        <f t="shared" si="17"/>
        <v>6338910</v>
      </c>
      <c r="L99" s="53"/>
      <c r="M99" s="53">
        <v>19876679</v>
      </c>
      <c r="N99" s="53"/>
      <c r="O99" s="53">
        <v>26215589</v>
      </c>
      <c r="P99" s="53"/>
      <c r="Q99" s="53">
        <v>-2415552</v>
      </c>
      <c r="R99" s="53"/>
      <c r="S99" s="53">
        <v>0</v>
      </c>
      <c r="T99" s="53"/>
      <c r="U99" s="53">
        <v>3420392</v>
      </c>
      <c r="V99" s="53"/>
      <c r="W99" s="53">
        <f t="shared" si="18"/>
        <v>1004840</v>
      </c>
      <c r="X99" s="53"/>
      <c r="Y99" s="44" t="s">
        <v>123</v>
      </c>
      <c r="AA99" s="35" t="s">
        <v>45</v>
      </c>
      <c r="AB99" s="35"/>
      <c r="AC99" s="53">
        <v>2180547</v>
      </c>
      <c r="AD99" s="53"/>
      <c r="AE99" s="53">
        <v>889830</v>
      </c>
      <c r="AF99" s="53"/>
      <c r="AG99" s="53">
        <v>685113</v>
      </c>
      <c r="AH99" s="53"/>
      <c r="AI99" s="45">
        <f t="shared" si="19"/>
        <v>605604</v>
      </c>
      <c r="AJ99" s="45"/>
      <c r="AK99" s="53">
        <v>-883673</v>
      </c>
      <c r="AL99" s="45"/>
      <c r="AM99" s="53">
        <v>0</v>
      </c>
      <c r="AN99" s="53"/>
      <c r="AO99" s="53">
        <v>30153</v>
      </c>
      <c r="AP99" s="53"/>
      <c r="AQ99" s="53"/>
      <c r="AR99" s="53"/>
      <c r="AS99" s="45">
        <f t="shared" si="20"/>
        <v>-308222</v>
      </c>
      <c r="AT99" s="45"/>
      <c r="AU99" s="53">
        <v>0</v>
      </c>
      <c r="AV99" s="53"/>
      <c r="AW99" s="53">
        <v>0</v>
      </c>
      <c r="AX99" s="53"/>
      <c r="AY99" s="53">
        <f t="shared" si="21"/>
        <v>1437042</v>
      </c>
      <c r="AZ99" s="53"/>
      <c r="BA99" s="44" t="s">
        <v>123</v>
      </c>
      <c r="BC99" s="35" t="s">
        <v>45</v>
      </c>
      <c r="BD99" s="53"/>
      <c r="BE99" s="53">
        <v>410000</v>
      </c>
      <c r="BF99" s="53"/>
      <c r="BG99" s="53">
        <v>17681077</v>
      </c>
      <c r="BH99" s="53"/>
      <c r="BI99" s="53">
        <v>1753858</v>
      </c>
      <c r="BJ99" s="53"/>
      <c r="BK99" s="53">
        <v>31744</v>
      </c>
      <c r="BL99" s="53"/>
      <c r="BM99" s="53">
        <f t="shared" si="22"/>
        <v>19876679</v>
      </c>
      <c r="BN99" s="54" t="s">
        <v>347</v>
      </c>
      <c r="BR99" s="51"/>
      <c r="BS99" s="53"/>
      <c r="BT99" s="53"/>
      <c r="BU99" s="53"/>
      <c r="BV99" s="53"/>
      <c r="BW99" s="53"/>
      <c r="BX99" s="45"/>
      <c r="BY99" s="45"/>
      <c r="BZ99" s="53"/>
      <c r="CA99" s="53"/>
      <c r="CB99" s="53"/>
      <c r="CC99" s="53"/>
      <c r="CD99" s="53"/>
      <c r="CE99" s="53"/>
      <c r="CF99" s="35"/>
      <c r="CH99" s="35"/>
      <c r="CI99" s="53"/>
      <c r="CJ99" s="53"/>
      <c r="CK99" s="53"/>
      <c r="CL99" s="53"/>
      <c r="CM99" s="53"/>
      <c r="CN99" s="53"/>
      <c r="CO99" s="53"/>
      <c r="CP99" s="53"/>
      <c r="CQ99" s="53"/>
      <c r="CR99" s="53"/>
      <c r="CS99" s="54"/>
    </row>
    <row r="100" spans="1:100" s="90" customFormat="1">
      <c r="A100" s="35" t="s">
        <v>124</v>
      </c>
      <c r="B100" s="51"/>
      <c r="C100" s="35" t="s">
        <v>125</v>
      </c>
      <c r="D100" s="44"/>
      <c r="E100" s="53">
        <f t="shared" si="23"/>
        <v>3075124</v>
      </c>
      <c r="F100" s="53"/>
      <c r="G100" s="53">
        <v>8946280</v>
      </c>
      <c r="H100" s="53"/>
      <c r="I100" s="53">
        <v>12021404</v>
      </c>
      <c r="J100" s="53"/>
      <c r="K100" s="53">
        <f t="shared" si="17"/>
        <v>726909</v>
      </c>
      <c r="L100" s="53"/>
      <c r="M100" s="53">
        <v>4276172</v>
      </c>
      <c r="N100" s="53"/>
      <c r="O100" s="53">
        <v>5003081</v>
      </c>
      <c r="P100" s="53"/>
      <c r="Q100" s="53">
        <v>4151297</v>
      </c>
      <c r="R100" s="53"/>
      <c r="S100" s="53">
        <v>0</v>
      </c>
      <c r="T100" s="53"/>
      <c r="U100" s="53">
        <v>2867026</v>
      </c>
      <c r="V100" s="53"/>
      <c r="W100" s="53">
        <f t="shared" si="18"/>
        <v>7018323</v>
      </c>
      <c r="X100" s="53"/>
      <c r="Y100" s="35" t="s">
        <v>124</v>
      </c>
      <c r="Z100" s="55"/>
      <c r="AA100" s="35" t="s">
        <v>125</v>
      </c>
      <c r="AB100" s="35"/>
      <c r="AC100" s="53">
        <v>2340830</v>
      </c>
      <c r="AD100" s="53"/>
      <c r="AE100" s="53">
        <v>1210908</v>
      </c>
      <c r="AF100" s="53"/>
      <c r="AG100" s="53">
        <v>444355</v>
      </c>
      <c r="AH100" s="53"/>
      <c r="AI100" s="45">
        <f t="shared" si="19"/>
        <v>685567</v>
      </c>
      <c r="AJ100" s="45"/>
      <c r="AK100" s="53">
        <v>-219962</v>
      </c>
      <c r="AL100" s="45"/>
      <c r="AM100" s="53">
        <v>14550</v>
      </c>
      <c r="AN100" s="53"/>
      <c r="AO100" s="53">
        <v>230000</v>
      </c>
      <c r="AP100" s="53"/>
      <c r="AQ100" s="53">
        <v>0</v>
      </c>
      <c r="AR100" s="53"/>
      <c r="AS100" s="45">
        <f t="shared" si="20"/>
        <v>250155</v>
      </c>
      <c r="AT100" s="45"/>
      <c r="AU100" s="53">
        <v>0</v>
      </c>
      <c r="AV100" s="53"/>
      <c r="AW100" s="53">
        <v>0</v>
      </c>
      <c r="AX100" s="53"/>
      <c r="AY100" s="53">
        <f t="shared" si="21"/>
        <v>2348215</v>
      </c>
      <c r="AZ100" s="53"/>
      <c r="BA100" s="35" t="s">
        <v>124</v>
      </c>
      <c r="BB100" s="55"/>
      <c r="BC100" s="35" t="s">
        <v>125</v>
      </c>
      <c r="BD100" s="53"/>
      <c r="BE100" s="53">
        <v>0</v>
      </c>
      <c r="BF100" s="53"/>
      <c r="BG100" s="53">
        <v>0</v>
      </c>
      <c r="BH100" s="53"/>
      <c r="BI100" s="53">
        <v>4241820</v>
      </c>
      <c r="BJ100" s="53"/>
      <c r="BK100" s="53">
        <v>34352</v>
      </c>
      <c r="BL100" s="53"/>
      <c r="BM100" s="53">
        <f t="shared" si="22"/>
        <v>4276172</v>
      </c>
      <c r="BN100" s="91" t="s">
        <v>347</v>
      </c>
      <c r="BR100" s="66"/>
      <c r="BS100" s="79"/>
      <c r="BT100" s="79"/>
      <c r="BU100" s="79"/>
      <c r="BV100" s="79"/>
      <c r="BW100" s="79"/>
      <c r="BX100" s="94"/>
      <c r="BY100" s="94"/>
      <c r="BZ100" s="79"/>
      <c r="CA100" s="79"/>
      <c r="CB100" s="79"/>
      <c r="CC100" s="79"/>
      <c r="CD100" s="79"/>
      <c r="CE100" s="79"/>
      <c r="CF100" s="64"/>
      <c r="CH100" s="64"/>
      <c r="CI100" s="79"/>
      <c r="CJ100" s="79"/>
      <c r="CK100" s="79"/>
      <c r="CL100" s="79"/>
      <c r="CM100" s="79"/>
      <c r="CN100" s="79"/>
      <c r="CO100" s="79"/>
      <c r="CP100" s="79"/>
      <c r="CQ100" s="79"/>
      <c r="CR100" s="79"/>
      <c r="CS100" s="91"/>
    </row>
    <row r="101" spans="1:100" s="159" customFormat="1" ht="12.75" hidden="1" customHeight="1">
      <c r="A101" s="142" t="s">
        <v>126</v>
      </c>
      <c r="B101" s="140"/>
      <c r="C101" s="142" t="s">
        <v>27</v>
      </c>
      <c r="D101" s="137"/>
      <c r="E101" s="156">
        <f t="shared" si="23"/>
        <v>0</v>
      </c>
      <c r="F101" s="156"/>
      <c r="G101" s="156">
        <v>0</v>
      </c>
      <c r="H101" s="156"/>
      <c r="I101" s="156">
        <v>0</v>
      </c>
      <c r="J101" s="156"/>
      <c r="K101" s="156">
        <f t="shared" si="17"/>
        <v>0</v>
      </c>
      <c r="L101" s="156"/>
      <c r="M101" s="156">
        <v>0</v>
      </c>
      <c r="N101" s="156"/>
      <c r="O101" s="156">
        <v>0</v>
      </c>
      <c r="P101" s="156"/>
      <c r="Q101" s="156">
        <v>0</v>
      </c>
      <c r="R101" s="156"/>
      <c r="S101" s="156">
        <v>0</v>
      </c>
      <c r="T101" s="156"/>
      <c r="U101" s="156">
        <v>0</v>
      </c>
      <c r="V101" s="156"/>
      <c r="W101" s="156">
        <f t="shared" si="18"/>
        <v>0</v>
      </c>
      <c r="X101" s="156"/>
      <c r="Y101" s="142" t="s">
        <v>126</v>
      </c>
      <c r="AA101" s="142" t="s">
        <v>27</v>
      </c>
      <c r="AB101" s="142"/>
      <c r="AC101" s="156">
        <v>0</v>
      </c>
      <c r="AD101" s="156"/>
      <c r="AE101" s="156">
        <v>0</v>
      </c>
      <c r="AF101" s="156"/>
      <c r="AG101" s="156">
        <v>0</v>
      </c>
      <c r="AH101" s="156"/>
      <c r="AI101" s="143">
        <f t="shared" si="19"/>
        <v>0</v>
      </c>
      <c r="AJ101" s="143"/>
      <c r="AK101" s="156">
        <v>0</v>
      </c>
      <c r="AL101" s="143"/>
      <c r="AM101" s="156">
        <v>0</v>
      </c>
      <c r="AN101" s="156"/>
      <c r="AO101" s="156">
        <v>0</v>
      </c>
      <c r="AP101" s="156"/>
      <c r="AQ101" s="156">
        <v>0</v>
      </c>
      <c r="AR101" s="156"/>
      <c r="AS101" s="143">
        <f t="shared" si="20"/>
        <v>0</v>
      </c>
      <c r="AT101" s="143"/>
      <c r="AU101" s="156">
        <v>0</v>
      </c>
      <c r="AV101" s="156"/>
      <c r="AW101" s="156">
        <v>0</v>
      </c>
      <c r="AX101" s="156"/>
      <c r="AY101" s="156">
        <f t="shared" si="21"/>
        <v>0</v>
      </c>
      <c r="AZ101" s="156"/>
      <c r="BA101" s="142" t="s">
        <v>126</v>
      </c>
      <c r="BC101" s="142" t="s">
        <v>27</v>
      </c>
      <c r="BD101" s="156"/>
      <c r="BE101" s="156">
        <v>0</v>
      </c>
      <c r="BF101" s="156"/>
      <c r="BG101" s="156">
        <v>0</v>
      </c>
      <c r="BH101" s="156"/>
      <c r="BI101" s="156">
        <v>0</v>
      </c>
      <c r="BJ101" s="156"/>
      <c r="BK101" s="156">
        <v>0</v>
      </c>
      <c r="BL101" s="156"/>
      <c r="BM101" s="156">
        <f t="shared" si="22"/>
        <v>0</v>
      </c>
      <c r="BN101" s="158" t="s">
        <v>347</v>
      </c>
      <c r="BR101" s="140"/>
      <c r="BS101" s="156"/>
      <c r="BT101" s="156"/>
      <c r="BU101" s="156"/>
      <c r="BV101" s="156"/>
      <c r="BW101" s="143"/>
      <c r="BX101" s="143"/>
      <c r="BY101" s="156"/>
      <c r="BZ101" s="156"/>
      <c r="CA101" s="156"/>
      <c r="CB101" s="156"/>
      <c r="CC101" s="156"/>
      <c r="CD101" s="156"/>
      <c r="CE101" s="156"/>
      <c r="CF101" s="142"/>
      <c r="CH101" s="142"/>
      <c r="CI101" s="156"/>
      <c r="CJ101" s="156"/>
      <c r="CK101" s="156"/>
      <c r="CL101" s="156"/>
      <c r="CM101" s="156"/>
      <c r="CN101" s="156"/>
      <c r="CO101" s="156"/>
      <c r="CP101" s="156"/>
      <c r="CQ101" s="156"/>
      <c r="CR101" s="156"/>
      <c r="CS101" s="158"/>
    </row>
    <row r="102" spans="1:100" s="159" customFormat="1" ht="12.75" hidden="1" customHeight="1">
      <c r="A102" s="142" t="s">
        <v>127</v>
      </c>
      <c r="B102" s="140"/>
      <c r="C102" s="142" t="s">
        <v>43</v>
      </c>
      <c r="D102" s="137"/>
      <c r="E102" s="156">
        <f t="shared" si="23"/>
        <v>0</v>
      </c>
      <c r="F102" s="156"/>
      <c r="G102" s="156">
        <v>0</v>
      </c>
      <c r="H102" s="156"/>
      <c r="I102" s="156">
        <v>0</v>
      </c>
      <c r="J102" s="156"/>
      <c r="K102" s="156">
        <f t="shared" si="17"/>
        <v>0</v>
      </c>
      <c r="L102" s="156"/>
      <c r="M102" s="156">
        <v>0</v>
      </c>
      <c r="N102" s="156"/>
      <c r="O102" s="156">
        <v>0</v>
      </c>
      <c r="P102" s="156"/>
      <c r="Q102" s="156">
        <v>0</v>
      </c>
      <c r="R102" s="156"/>
      <c r="S102" s="156">
        <v>0</v>
      </c>
      <c r="T102" s="156"/>
      <c r="U102" s="156">
        <v>0</v>
      </c>
      <c r="V102" s="156"/>
      <c r="W102" s="156">
        <f t="shared" si="18"/>
        <v>0</v>
      </c>
      <c r="X102" s="156"/>
      <c r="Y102" s="142" t="s">
        <v>127</v>
      </c>
      <c r="AA102" s="142" t="s">
        <v>43</v>
      </c>
      <c r="AB102" s="142"/>
      <c r="AC102" s="156">
        <v>0</v>
      </c>
      <c r="AD102" s="156"/>
      <c r="AE102" s="156">
        <v>0</v>
      </c>
      <c r="AF102" s="156"/>
      <c r="AG102" s="156">
        <v>0</v>
      </c>
      <c r="AH102" s="156"/>
      <c r="AI102" s="143">
        <f t="shared" si="19"/>
        <v>0</v>
      </c>
      <c r="AJ102" s="143"/>
      <c r="AK102" s="156">
        <v>0</v>
      </c>
      <c r="AL102" s="143"/>
      <c r="AM102" s="156">
        <v>0</v>
      </c>
      <c r="AN102" s="156"/>
      <c r="AO102" s="156">
        <v>0</v>
      </c>
      <c r="AP102" s="156"/>
      <c r="AQ102" s="156">
        <v>0</v>
      </c>
      <c r="AR102" s="156"/>
      <c r="AS102" s="143">
        <f t="shared" si="20"/>
        <v>0</v>
      </c>
      <c r="AT102" s="143"/>
      <c r="AU102" s="156">
        <v>0</v>
      </c>
      <c r="AV102" s="156"/>
      <c r="AW102" s="156">
        <v>0</v>
      </c>
      <c r="AX102" s="156"/>
      <c r="AY102" s="156">
        <f t="shared" si="21"/>
        <v>0</v>
      </c>
      <c r="AZ102" s="156"/>
      <c r="BA102" s="142" t="s">
        <v>127</v>
      </c>
      <c r="BC102" s="142" t="s">
        <v>43</v>
      </c>
      <c r="BD102" s="156"/>
      <c r="BE102" s="156">
        <v>0</v>
      </c>
      <c r="BF102" s="156"/>
      <c r="BG102" s="156">
        <v>0</v>
      </c>
      <c r="BH102" s="156"/>
      <c r="BI102" s="156">
        <v>0</v>
      </c>
      <c r="BJ102" s="156"/>
      <c r="BK102" s="156">
        <v>0</v>
      </c>
      <c r="BL102" s="156"/>
      <c r="BM102" s="156">
        <f t="shared" si="22"/>
        <v>0</v>
      </c>
      <c r="BN102" s="158" t="s">
        <v>347</v>
      </c>
      <c r="BR102" s="140"/>
      <c r="BS102" s="156"/>
      <c r="BT102" s="156"/>
      <c r="BU102" s="156"/>
      <c r="BV102" s="156"/>
      <c r="BW102" s="143"/>
      <c r="BX102" s="143"/>
      <c r="BY102" s="156"/>
      <c r="BZ102" s="156"/>
      <c r="CA102" s="156"/>
      <c r="CB102" s="156"/>
      <c r="CC102" s="156"/>
      <c r="CD102" s="156"/>
      <c r="CE102" s="156"/>
      <c r="CF102" s="142"/>
      <c r="CH102" s="142"/>
      <c r="CI102" s="156"/>
      <c r="CJ102" s="156"/>
      <c r="CK102" s="156"/>
      <c r="CL102" s="156"/>
      <c r="CM102" s="156"/>
      <c r="CN102" s="156"/>
      <c r="CO102" s="156"/>
      <c r="CP102" s="156"/>
      <c r="CQ102" s="156"/>
      <c r="CR102" s="156"/>
      <c r="CS102" s="158"/>
    </row>
    <row r="103" spans="1:100" s="55" customFormat="1" ht="12.75" customHeight="1">
      <c r="A103" s="35" t="s">
        <v>128</v>
      </c>
      <c r="B103" s="51"/>
      <c r="C103" s="35" t="s">
        <v>119</v>
      </c>
      <c r="D103" s="44"/>
      <c r="E103" s="53">
        <f t="shared" si="23"/>
        <v>2032723</v>
      </c>
      <c r="F103" s="53"/>
      <c r="G103" s="53">
        <v>7368057</v>
      </c>
      <c r="H103" s="53"/>
      <c r="I103" s="53">
        <v>9400780</v>
      </c>
      <c r="J103" s="53"/>
      <c r="K103" s="53">
        <f t="shared" si="17"/>
        <v>780878</v>
      </c>
      <c r="L103" s="53"/>
      <c r="M103" s="53">
        <v>2263206</v>
      </c>
      <c r="N103" s="53"/>
      <c r="O103" s="53">
        <v>3044084</v>
      </c>
      <c r="P103" s="53"/>
      <c r="Q103" s="53">
        <v>5137616</v>
      </c>
      <c r="R103" s="53"/>
      <c r="S103" s="53">
        <v>0</v>
      </c>
      <c r="T103" s="53"/>
      <c r="U103" s="53">
        <v>1219080</v>
      </c>
      <c r="V103" s="53"/>
      <c r="W103" s="53">
        <f t="shared" si="18"/>
        <v>6356696</v>
      </c>
      <c r="X103" s="53"/>
      <c r="Y103" s="35" t="s">
        <v>128</v>
      </c>
      <c r="AA103" s="35" t="s">
        <v>119</v>
      </c>
      <c r="AB103" s="35"/>
      <c r="AC103" s="53">
        <v>1606362</v>
      </c>
      <c r="AD103" s="53"/>
      <c r="AE103" s="53">
        <v>2494296</v>
      </c>
      <c r="AF103" s="53"/>
      <c r="AG103" s="53">
        <v>0</v>
      </c>
      <c r="AH103" s="53"/>
      <c r="AI103" s="45">
        <f t="shared" si="19"/>
        <v>-887934</v>
      </c>
      <c r="AJ103" s="45"/>
      <c r="AK103" s="53">
        <v>999357</v>
      </c>
      <c r="AL103" s="45"/>
      <c r="AM103" s="53">
        <v>0</v>
      </c>
      <c r="AN103" s="53"/>
      <c r="AO103" s="53">
        <v>0</v>
      </c>
      <c r="AP103" s="53"/>
      <c r="AQ103" s="53">
        <v>0</v>
      </c>
      <c r="AR103" s="53"/>
      <c r="AS103" s="45">
        <f t="shared" si="20"/>
        <v>111423</v>
      </c>
      <c r="AT103" s="45"/>
      <c r="AU103" s="53">
        <v>0</v>
      </c>
      <c r="AV103" s="53"/>
      <c r="AW103" s="53">
        <v>0</v>
      </c>
      <c r="AX103" s="53"/>
      <c r="AY103" s="53">
        <f t="shared" si="21"/>
        <v>1251845</v>
      </c>
      <c r="AZ103" s="53"/>
      <c r="BA103" s="35" t="s">
        <v>128</v>
      </c>
      <c r="BC103" s="35" t="s">
        <v>119</v>
      </c>
      <c r="BD103" s="53"/>
      <c r="BE103" s="53">
        <v>0</v>
      </c>
      <c r="BF103" s="53"/>
      <c r="BG103" s="53">
        <v>285000</v>
      </c>
      <c r="BH103" s="53"/>
      <c r="BI103" s="53">
        <v>0</v>
      </c>
      <c r="BJ103" s="53"/>
      <c r="BK103" s="53">
        <v>1978206</v>
      </c>
      <c r="BL103" s="53"/>
      <c r="BM103" s="53">
        <f t="shared" si="22"/>
        <v>2263206</v>
      </c>
      <c r="BN103" s="54" t="s">
        <v>347</v>
      </c>
      <c r="BR103" s="65"/>
      <c r="BS103" s="53"/>
      <c r="BT103" s="53"/>
      <c r="BU103" s="53"/>
      <c r="BV103" s="53"/>
      <c r="BW103" s="53"/>
      <c r="BX103" s="45"/>
      <c r="BY103" s="45"/>
      <c r="BZ103" s="53"/>
      <c r="CA103" s="53"/>
      <c r="CB103" s="53"/>
      <c r="CC103" s="53"/>
      <c r="CD103" s="53"/>
      <c r="CE103" s="53"/>
      <c r="CF103" s="35"/>
      <c r="CH103" s="35"/>
      <c r="CI103" s="53"/>
      <c r="CJ103" s="53"/>
      <c r="CK103" s="53"/>
      <c r="CL103" s="53"/>
      <c r="CM103" s="53"/>
      <c r="CN103" s="53"/>
      <c r="CO103" s="53"/>
      <c r="CP103" s="53"/>
      <c r="CQ103" s="53"/>
      <c r="CR103" s="53"/>
      <c r="CS103" s="54"/>
    </row>
    <row r="104" spans="1:100" s="55" customFormat="1" ht="12.75" customHeight="1">
      <c r="A104" s="35" t="s">
        <v>129</v>
      </c>
      <c r="B104" s="51"/>
      <c r="C104" s="35" t="s">
        <v>80</v>
      </c>
      <c r="D104" s="44"/>
      <c r="E104" s="53">
        <f t="shared" si="23"/>
        <v>1318274</v>
      </c>
      <c r="F104" s="53"/>
      <c r="G104" s="53">
        <v>5930703</v>
      </c>
      <c r="H104" s="53"/>
      <c r="I104" s="53">
        <v>7248977</v>
      </c>
      <c r="J104" s="53"/>
      <c r="K104" s="53">
        <f>O104-M104</f>
        <v>472611</v>
      </c>
      <c r="L104" s="53"/>
      <c r="M104" s="53">
        <v>2287020</v>
      </c>
      <c r="N104" s="53"/>
      <c r="O104" s="53">
        <v>2759631</v>
      </c>
      <c r="P104" s="53"/>
      <c r="Q104" s="53">
        <v>3387875</v>
      </c>
      <c r="R104" s="53"/>
      <c r="S104" s="53">
        <v>0</v>
      </c>
      <c r="T104" s="53"/>
      <c r="U104" s="53">
        <v>1101471</v>
      </c>
      <c r="V104" s="53"/>
      <c r="W104" s="53">
        <f>SUM(Q104:U104)</f>
        <v>4489346</v>
      </c>
      <c r="X104" s="53"/>
      <c r="Y104" s="35" t="s">
        <v>129</v>
      </c>
      <c r="AA104" s="35" t="s">
        <v>80</v>
      </c>
      <c r="AB104" s="35"/>
      <c r="AC104" s="53">
        <v>1228040</v>
      </c>
      <c r="AD104" s="53"/>
      <c r="AE104" s="53">
        <v>888917</v>
      </c>
      <c r="AF104" s="53"/>
      <c r="AG104" s="53">
        <v>255587</v>
      </c>
      <c r="AH104" s="53"/>
      <c r="AI104" s="45">
        <f t="shared" si="19"/>
        <v>83536</v>
      </c>
      <c r="AJ104" s="45"/>
      <c r="AK104" s="53">
        <v>-27361</v>
      </c>
      <c r="AL104" s="45"/>
      <c r="AM104" s="53">
        <v>0</v>
      </c>
      <c r="AN104" s="53"/>
      <c r="AO104" s="53">
        <v>0</v>
      </c>
      <c r="AP104" s="53"/>
      <c r="AQ104" s="53">
        <v>0</v>
      </c>
      <c r="AR104" s="53"/>
      <c r="AS104" s="45">
        <f t="shared" si="20"/>
        <v>56175</v>
      </c>
      <c r="AT104" s="45"/>
      <c r="AU104" s="53">
        <v>0</v>
      </c>
      <c r="AV104" s="53"/>
      <c r="AW104" s="53">
        <v>0</v>
      </c>
      <c r="AX104" s="53"/>
      <c r="AY104" s="53">
        <f t="shared" si="21"/>
        <v>845663</v>
      </c>
      <c r="AZ104" s="53"/>
      <c r="BA104" s="35" t="s">
        <v>129</v>
      </c>
      <c r="BC104" s="35" t="s">
        <v>80</v>
      </c>
      <c r="BD104" s="53"/>
      <c r="BE104" s="53">
        <v>0</v>
      </c>
      <c r="BF104" s="53"/>
      <c r="BG104" s="53">
        <v>2113600</v>
      </c>
      <c r="BH104" s="53"/>
      <c r="BI104" s="53">
        <v>123332</v>
      </c>
      <c r="BJ104" s="53"/>
      <c r="BK104" s="53">
        <v>50088</v>
      </c>
      <c r="BL104" s="53"/>
      <c r="BM104" s="53">
        <f t="shared" si="22"/>
        <v>2287020</v>
      </c>
      <c r="BN104" s="54" t="s">
        <v>347</v>
      </c>
      <c r="BR104" s="51"/>
      <c r="BS104" s="53"/>
      <c r="BT104" s="53"/>
      <c r="BU104" s="53"/>
      <c r="BV104" s="53"/>
      <c r="BW104" s="53"/>
      <c r="BX104" s="45"/>
      <c r="BY104" s="45"/>
      <c r="BZ104" s="53"/>
      <c r="CA104" s="53"/>
      <c r="CB104" s="53"/>
      <c r="CC104" s="53"/>
      <c r="CD104" s="53"/>
      <c r="CE104" s="53"/>
      <c r="CF104" s="35"/>
      <c r="CH104" s="35"/>
      <c r="CI104" s="53"/>
      <c r="CJ104" s="53"/>
      <c r="CK104" s="53"/>
      <c r="CL104" s="53"/>
      <c r="CM104" s="53"/>
      <c r="CN104" s="53"/>
      <c r="CO104" s="53"/>
      <c r="CP104" s="53"/>
      <c r="CQ104" s="53"/>
      <c r="CR104" s="53"/>
      <c r="CS104" s="54"/>
    </row>
    <row r="105" spans="1:100" s="55" customFormat="1" ht="12.75" customHeight="1">
      <c r="A105" s="35" t="s">
        <v>130</v>
      </c>
      <c r="B105" s="51"/>
      <c r="C105" s="35" t="s">
        <v>66</v>
      </c>
      <c r="D105" s="44"/>
      <c r="E105" s="53">
        <f t="shared" si="23"/>
        <v>6891473</v>
      </c>
      <c r="F105" s="53"/>
      <c r="G105" s="53">
        <v>26966100</v>
      </c>
      <c r="H105" s="53"/>
      <c r="I105" s="53">
        <v>33857573</v>
      </c>
      <c r="J105" s="53"/>
      <c r="K105" s="53">
        <f t="shared" si="17"/>
        <v>764870</v>
      </c>
      <c r="L105" s="53"/>
      <c r="M105" s="53">
        <v>3059093</v>
      </c>
      <c r="N105" s="53"/>
      <c r="O105" s="53">
        <v>3823963</v>
      </c>
      <c r="P105" s="53"/>
      <c r="Q105" s="53">
        <v>10218319</v>
      </c>
      <c r="R105" s="53"/>
      <c r="S105" s="53">
        <v>0</v>
      </c>
      <c r="T105" s="53"/>
      <c r="U105" s="53">
        <v>19815291</v>
      </c>
      <c r="V105" s="53"/>
      <c r="W105" s="53">
        <f t="shared" si="18"/>
        <v>30033610</v>
      </c>
      <c r="X105" s="53"/>
      <c r="Y105" s="35" t="s">
        <v>130</v>
      </c>
      <c r="AA105" s="35" t="s">
        <v>66</v>
      </c>
      <c r="AB105" s="35"/>
      <c r="AC105" s="53">
        <v>3876270</v>
      </c>
      <c r="AD105" s="53"/>
      <c r="AE105" s="53">
        <v>2189398</v>
      </c>
      <c r="AF105" s="53"/>
      <c r="AG105" s="53">
        <v>358419</v>
      </c>
      <c r="AH105" s="53"/>
      <c r="AI105" s="45">
        <f t="shared" si="19"/>
        <v>1328453</v>
      </c>
      <c r="AJ105" s="45"/>
      <c r="AK105" s="53">
        <v>1036970</v>
      </c>
      <c r="AL105" s="45"/>
      <c r="AM105" s="53">
        <v>13688</v>
      </c>
      <c r="AN105" s="53"/>
      <c r="AO105" s="53">
        <v>15505</v>
      </c>
      <c r="AP105" s="53"/>
      <c r="AQ105" s="53">
        <v>0</v>
      </c>
      <c r="AR105" s="53"/>
      <c r="AS105" s="45">
        <f t="shared" si="20"/>
        <v>2363606</v>
      </c>
      <c r="AT105" s="45"/>
      <c r="AU105" s="53">
        <v>0</v>
      </c>
      <c r="AV105" s="53"/>
      <c r="AW105" s="53">
        <v>0</v>
      </c>
      <c r="AX105" s="53"/>
      <c r="AY105" s="53">
        <f t="shared" si="21"/>
        <v>6126603</v>
      </c>
      <c r="AZ105" s="53"/>
      <c r="BA105" s="35" t="s">
        <v>130</v>
      </c>
      <c r="BC105" s="35" t="s">
        <v>66</v>
      </c>
      <c r="BD105" s="53"/>
      <c r="BE105" s="53">
        <v>0</v>
      </c>
      <c r="BF105" s="53"/>
      <c r="BG105" s="53">
        <v>0</v>
      </c>
      <c r="BH105" s="53"/>
      <c r="BI105" s="53">
        <v>3059093</v>
      </c>
      <c r="BJ105" s="53"/>
      <c r="BK105" s="53">
        <v>0</v>
      </c>
      <c r="BL105" s="53"/>
      <c r="BM105" s="53">
        <f t="shared" si="22"/>
        <v>3059093</v>
      </c>
      <c r="BN105" s="54" t="s">
        <v>347</v>
      </c>
      <c r="BO105" s="55" t="s">
        <v>404</v>
      </c>
      <c r="BR105" s="51"/>
      <c r="BS105" s="53"/>
      <c r="BT105" s="53"/>
      <c r="BU105" s="53"/>
      <c r="BV105" s="53"/>
      <c r="BW105" s="53"/>
      <c r="BX105" s="45"/>
      <c r="BY105" s="45"/>
      <c r="BZ105" s="53"/>
      <c r="CA105" s="53"/>
      <c r="CB105" s="53"/>
      <c r="CC105" s="53"/>
      <c r="CD105" s="53"/>
      <c r="CE105" s="53"/>
      <c r="CF105" s="35"/>
      <c r="CH105" s="35"/>
      <c r="CI105" s="53"/>
      <c r="CJ105" s="53"/>
      <c r="CK105" s="53"/>
      <c r="CL105" s="53"/>
      <c r="CM105" s="53"/>
      <c r="CN105" s="53"/>
      <c r="CO105" s="53"/>
      <c r="CP105" s="53"/>
      <c r="CQ105" s="53"/>
      <c r="CR105" s="53"/>
      <c r="CS105" s="54"/>
    </row>
    <row r="106" spans="1:100" s="55" customFormat="1" ht="12.75" customHeight="1">
      <c r="A106" s="35" t="s">
        <v>131</v>
      </c>
      <c r="B106" s="65"/>
      <c r="C106" s="35" t="s">
        <v>13</v>
      </c>
      <c r="D106" s="44"/>
      <c r="E106" s="53">
        <f t="shared" si="23"/>
        <v>1785498</v>
      </c>
      <c r="F106" s="53"/>
      <c r="G106" s="53">
        <v>8990679</v>
      </c>
      <c r="H106" s="53"/>
      <c r="I106" s="53">
        <v>10776177</v>
      </c>
      <c r="J106" s="53"/>
      <c r="K106" s="53">
        <f t="shared" si="17"/>
        <v>1274318</v>
      </c>
      <c r="L106" s="53"/>
      <c r="M106" s="53">
        <v>7184901</v>
      </c>
      <c r="N106" s="53"/>
      <c r="O106" s="53">
        <v>8459219</v>
      </c>
      <c r="P106" s="53"/>
      <c r="Q106" s="53">
        <v>1443857</v>
      </c>
      <c r="R106" s="53"/>
      <c r="S106" s="53">
        <v>0</v>
      </c>
      <c r="T106" s="53"/>
      <c r="U106" s="53">
        <v>873101</v>
      </c>
      <c r="V106" s="53"/>
      <c r="W106" s="53">
        <f t="shared" si="18"/>
        <v>2316958</v>
      </c>
      <c r="X106" s="53"/>
      <c r="Y106" s="35" t="s">
        <v>131</v>
      </c>
      <c r="AA106" s="35" t="s">
        <v>13</v>
      </c>
      <c r="AB106" s="35"/>
      <c r="AC106" s="53">
        <v>2019969</v>
      </c>
      <c r="AD106" s="53"/>
      <c r="AE106" s="53">
        <v>2954801</v>
      </c>
      <c r="AF106" s="53"/>
      <c r="AG106" s="53">
        <v>289242</v>
      </c>
      <c r="AH106" s="53"/>
      <c r="AI106" s="45">
        <f t="shared" si="19"/>
        <v>-1224074</v>
      </c>
      <c r="AJ106" s="45"/>
      <c r="AK106" s="53">
        <v>-284238</v>
      </c>
      <c r="AL106" s="45"/>
      <c r="AM106" s="53">
        <v>1800000</v>
      </c>
      <c r="AN106" s="53"/>
      <c r="AO106" s="53">
        <v>0</v>
      </c>
      <c r="AP106" s="53"/>
      <c r="AQ106" s="53">
        <v>0</v>
      </c>
      <c r="AR106" s="53"/>
      <c r="AS106" s="45">
        <f t="shared" si="20"/>
        <v>291688</v>
      </c>
      <c r="AT106" s="45"/>
      <c r="AU106" s="53">
        <v>0</v>
      </c>
      <c r="AV106" s="53"/>
      <c r="AW106" s="53">
        <v>0</v>
      </c>
      <c r="AX106" s="53"/>
      <c r="AY106" s="53">
        <f t="shared" si="21"/>
        <v>511180</v>
      </c>
      <c r="AZ106" s="53"/>
      <c r="BA106" s="35" t="s">
        <v>131</v>
      </c>
      <c r="BC106" s="35" t="s">
        <v>13</v>
      </c>
      <c r="BD106" s="53"/>
      <c r="BE106" s="53">
        <v>1975000</v>
      </c>
      <c r="BF106" s="53"/>
      <c r="BG106" s="53">
        <v>0</v>
      </c>
      <c r="BH106" s="53"/>
      <c r="BI106" s="53">
        <v>4948884</v>
      </c>
      <c r="BJ106" s="53"/>
      <c r="BK106" s="53">
        <v>261017</v>
      </c>
      <c r="BL106" s="53"/>
      <c r="BM106" s="53">
        <f t="shared" si="22"/>
        <v>7184901</v>
      </c>
      <c r="BN106" s="54" t="s">
        <v>347</v>
      </c>
      <c r="BR106" s="65"/>
      <c r="BS106" s="53"/>
      <c r="BT106" s="53"/>
      <c r="BU106" s="53"/>
      <c r="BV106" s="53"/>
      <c r="BW106" s="53"/>
      <c r="BX106" s="45"/>
      <c r="BY106" s="45"/>
      <c r="BZ106" s="53"/>
      <c r="CA106" s="53"/>
      <c r="CB106" s="53"/>
      <c r="CC106" s="53"/>
      <c r="CD106" s="53"/>
      <c r="CE106" s="53"/>
      <c r="CF106" s="35"/>
      <c r="CH106" s="35"/>
      <c r="CI106" s="53"/>
      <c r="CJ106" s="53"/>
      <c r="CK106" s="53"/>
      <c r="CL106" s="53"/>
      <c r="CM106" s="53"/>
      <c r="CN106" s="53"/>
      <c r="CO106" s="53"/>
      <c r="CP106" s="53"/>
      <c r="CQ106" s="53"/>
      <c r="CR106" s="53"/>
      <c r="CS106" s="54"/>
    </row>
    <row r="107" spans="1:100" s="159" customFormat="1" ht="12.75" hidden="1" customHeight="1">
      <c r="A107" s="142" t="s">
        <v>38</v>
      </c>
      <c r="B107" s="140"/>
      <c r="C107" s="142" t="s">
        <v>132</v>
      </c>
      <c r="D107" s="137"/>
      <c r="E107" s="156">
        <f t="shared" si="23"/>
        <v>0</v>
      </c>
      <c r="F107" s="156"/>
      <c r="G107" s="156"/>
      <c r="H107" s="156"/>
      <c r="I107" s="156"/>
      <c r="J107" s="156"/>
      <c r="K107" s="156">
        <f t="shared" si="17"/>
        <v>0</v>
      </c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>
        <f t="shared" si="18"/>
        <v>0</v>
      </c>
      <c r="X107" s="156"/>
      <c r="Y107" s="142" t="s">
        <v>38</v>
      </c>
      <c r="AA107" s="142" t="s">
        <v>132</v>
      </c>
      <c r="AB107" s="142"/>
      <c r="AC107" s="156"/>
      <c r="AD107" s="156"/>
      <c r="AE107" s="156"/>
      <c r="AF107" s="156"/>
      <c r="AG107" s="156"/>
      <c r="AH107" s="156"/>
      <c r="AI107" s="143">
        <f t="shared" si="19"/>
        <v>0</v>
      </c>
      <c r="AJ107" s="143"/>
      <c r="AK107" s="156"/>
      <c r="AL107" s="143"/>
      <c r="AM107" s="156"/>
      <c r="AN107" s="156"/>
      <c r="AO107" s="156"/>
      <c r="AP107" s="156"/>
      <c r="AQ107" s="156"/>
      <c r="AR107" s="156"/>
      <c r="AS107" s="143">
        <f t="shared" si="20"/>
        <v>0</v>
      </c>
      <c r="AT107" s="143"/>
      <c r="AU107" s="156">
        <v>0</v>
      </c>
      <c r="AV107" s="156"/>
      <c r="AW107" s="156">
        <v>0</v>
      </c>
      <c r="AX107" s="156"/>
      <c r="AY107" s="156">
        <f t="shared" si="21"/>
        <v>0</v>
      </c>
      <c r="AZ107" s="156"/>
      <c r="BA107" s="142" t="s">
        <v>38</v>
      </c>
      <c r="BC107" s="142" t="s">
        <v>132</v>
      </c>
      <c r="BD107" s="156"/>
      <c r="BE107" s="156"/>
      <c r="BF107" s="156"/>
      <c r="BG107" s="156"/>
      <c r="BH107" s="156"/>
      <c r="BI107" s="156"/>
      <c r="BJ107" s="156"/>
      <c r="BK107" s="156"/>
      <c r="BL107" s="156"/>
      <c r="BM107" s="156">
        <f t="shared" si="22"/>
        <v>0</v>
      </c>
      <c r="BN107" s="158"/>
      <c r="BR107" s="140"/>
      <c r="BS107" s="156"/>
      <c r="BT107" s="156"/>
      <c r="BU107" s="156"/>
      <c r="BV107" s="156"/>
      <c r="BW107" s="156"/>
      <c r="BX107" s="143"/>
      <c r="BY107" s="143"/>
      <c r="BZ107" s="156"/>
      <c r="CA107" s="156"/>
      <c r="CB107" s="156"/>
      <c r="CC107" s="156"/>
      <c r="CD107" s="156"/>
      <c r="CE107" s="156"/>
      <c r="CF107" s="142"/>
      <c r="CH107" s="142"/>
      <c r="CI107" s="156"/>
      <c r="CJ107" s="156"/>
      <c r="CK107" s="156"/>
      <c r="CL107" s="156"/>
      <c r="CM107" s="156"/>
      <c r="CN107" s="156"/>
      <c r="CO107" s="156"/>
      <c r="CP107" s="156"/>
      <c r="CQ107" s="156"/>
      <c r="CR107" s="156"/>
      <c r="CS107" s="158"/>
    </row>
    <row r="108" spans="1:100" s="159" customFormat="1" ht="12.75" hidden="1" customHeight="1">
      <c r="A108" s="142" t="s">
        <v>133</v>
      </c>
      <c r="B108" s="140"/>
      <c r="C108" s="142" t="s">
        <v>27</v>
      </c>
      <c r="D108" s="137"/>
      <c r="E108" s="156">
        <f t="shared" si="23"/>
        <v>0</v>
      </c>
      <c r="F108" s="156"/>
      <c r="G108" s="156">
        <v>0</v>
      </c>
      <c r="H108" s="156"/>
      <c r="I108" s="156">
        <v>0</v>
      </c>
      <c r="J108" s="156"/>
      <c r="K108" s="156">
        <f t="shared" si="17"/>
        <v>0</v>
      </c>
      <c r="L108" s="156"/>
      <c r="M108" s="156">
        <v>0</v>
      </c>
      <c r="N108" s="156"/>
      <c r="O108" s="156">
        <v>0</v>
      </c>
      <c r="P108" s="156"/>
      <c r="Q108" s="156">
        <v>0</v>
      </c>
      <c r="R108" s="156"/>
      <c r="S108" s="156">
        <v>0</v>
      </c>
      <c r="T108" s="156"/>
      <c r="U108" s="156">
        <v>0</v>
      </c>
      <c r="V108" s="156"/>
      <c r="W108" s="156">
        <f t="shared" si="18"/>
        <v>0</v>
      </c>
      <c r="X108" s="156"/>
      <c r="Y108" s="142" t="s">
        <v>133</v>
      </c>
      <c r="AA108" s="142" t="s">
        <v>27</v>
      </c>
      <c r="AB108" s="142"/>
      <c r="AC108" s="156">
        <v>0</v>
      </c>
      <c r="AD108" s="156"/>
      <c r="AE108" s="156">
        <v>0</v>
      </c>
      <c r="AF108" s="156"/>
      <c r="AG108" s="156">
        <v>0</v>
      </c>
      <c r="AH108" s="156"/>
      <c r="AI108" s="143">
        <f t="shared" si="19"/>
        <v>0</v>
      </c>
      <c r="AJ108" s="143"/>
      <c r="AK108" s="156">
        <v>0</v>
      </c>
      <c r="AL108" s="143"/>
      <c r="AM108" s="156">
        <v>0</v>
      </c>
      <c r="AN108" s="156"/>
      <c r="AO108" s="156">
        <v>0</v>
      </c>
      <c r="AP108" s="156"/>
      <c r="AQ108" s="156">
        <v>0</v>
      </c>
      <c r="AR108" s="156"/>
      <c r="AS108" s="143">
        <f t="shared" si="20"/>
        <v>0</v>
      </c>
      <c r="AT108" s="143"/>
      <c r="AU108" s="156">
        <v>0</v>
      </c>
      <c r="AV108" s="156"/>
      <c r="AW108" s="156">
        <v>0</v>
      </c>
      <c r="AX108" s="156"/>
      <c r="AY108" s="156">
        <f t="shared" si="21"/>
        <v>0</v>
      </c>
      <c r="AZ108" s="156"/>
      <c r="BA108" s="142" t="s">
        <v>133</v>
      </c>
      <c r="BC108" s="142" t="s">
        <v>27</v>
      </c>
      <c r="BD108" s="156"/>
      <c r="BE108" s="156">
        <v>0</v>
      </c>
      <c r="BF108" s="156"/>
      <c r="BG108" s="156">
        <v>0</v>
      </c>
      <c r="BH108" s="156"/>
      <c r="BI108" s="156">
        <v>0</v>
      </c>
      <c r="BJ108" s="156"/>
      <c r="BK108" s="156">
        <v>0</v>
      </c>
      <c r="BL108" s="156"/>
      <c r="BM108" s="156">
        <f t="shared" si="22"/>
        <v>0</v>
      </c>
      <c r="BN108" s="158" t="s">
        <v>347</v>
      </c>
      <c r="BR108" s="140"/>
      <c r="BS108" s="156"/>
      <c r="BT108" s="156"/>
      <c r="BU108" s="156"/>
      <c r="BV108" s="156"/>
      <c r="BW108" s="156"/>
      <c r="BX108" s="143"/>
      <c r="BY108" s="143"/>
      <c r="BZ108" s="156"/>
      <c r="CA108" s="156"/>
      <c r="CB108" s="156"/>
      <c r="CC108" s="156"/>
      <c r="CD108" s="156"/>
      <c r="CE108" s="156"/>
      <c r="CF108" s="142"/>
      <c r="CH108" s="142"/>
      <c r="CI108" s="156"/>
      <c r="CJ108" s="156"/>
      <c r="CK108" s="156"/>
      <c r="CL108" s="156"/>
      <c r="CM108" s="156"/>
      <c r="CN108" s="156"/>
      <c r="CO108" s="156"/>
      <c r="CP108" s="156"/>
      <c r="CQ108" s="156"/>
      <c r="CR108" s="156"/>
      <c r="CS108" s="158"/>
    </row>
    <row r="109" spans="1:100" s="55" customFormat="1" ht="12.75" customHeight="1">
      <c r="A109" s="35" t="s">
        <v>134</v>
      </c>
      <c r="B109" s="51"/>
      <c r="C109" s="35" t="s">
        <v>135</v>
      </c>
      <c r="D109" s="44"/>
      <c r="E109" s="53">
        <f t="shared" si="23"/>
        <v>1222895</v>
      </c>
      <c r="F109" s="53"/>
      <c r="G109" s="53">
        <v>5114046</v>
      </c>
      <c r="H109" s="53"/>
      <c r="I109" s="53">
        <v>6336941</v>
      </c>
      <c r="J109" s="53"/>
      <c r="K109" s="53">
        <f t="shared" si="17"/>
        <v>169715</v>
      </c>
      <c r="L109" s="53"/>
      <c r="M109" s="53">
        <v>291069</v>
      </c>
      <c r="N109" s="53"/>
      <c r="O109" s="53">
        <v>460784</v>
      </c>
      <c r="P109" s="53"/>
      <c r="Q109" s="53">
        <v>4761404</v>
      </c>
      <c r="R109" s="53"/>
      <c r="S109" s="53">
        <v>0</v>
      </c>
      <c r="T109" s="53"/>
      <c r="U109" s="53">
        <v>1114753</v>
      </c>
      <c r="V109" s="53"/>
      <c r="W109" s="53">
        <f t="shared" si="18"/>
        <v>5876157</v>
      </c>
      <c r="X109" s="53"/>
      <c r="Y109" s="35" t="s">
        <v>134</v>
      </c>
      <c r="AA109" s="35" t="s">
        <v>135</v>
      </c>
      <c r="AB109" s="35"/>
      <c r="AC109" s="53">
        <v>1327878</v>
      </c>
      <c r="AD109" s="53"/>
      <c r="AE109" s="53">
        <v>952105</v>
      </c>
      <c r="AF109" s="53"/>
      <c r="AG109" s="53">
        <v>252540</v>
      </c>
      <c r="AH109" s="53"/>
      <c r="AI109" s="45">
        <f t="shared" si="19"/>
        <v>123233</v>
      </c>
      <c r="AJ109" s="45"/>
      <c r="AK109" s="53">
        <v>124803</v>
      </c>
      <c r="AL109" s="45"/>
      <c r="AM109" s="53">
        <v>0</v>
      </c>
      <c r="AN109" s="53"/>
      <c r="AO109" s="53">
        <v>0</v>
      </c>
      <c r="AP109" s="53"/>
      <c r="AQ109" s="53">
        <v>0</v>
      </c>
      <c r="AR109" s="53"/>
      <c r="AS109" s="45">
        <f t="shared" si="20"/>
        <v>248036</v>
      </c>
      <c r="AT109" s="45"/>
      <c r="AU109" s="53">
        <v>0</v>
      </c>
      <c r="AV109" s="53"/>
      <c r="AW109" s="53">
        <v>0</v>
      </c>
      <c r="AX109" s="53"/>
      <c r="AY109" s="53">
        <f t="shared" si="21"/>
        <v>1053180</v>
      </c>
      <c r="AZ109" s="53"/>
      <c r="BA109" s="35" t="s">
        <v>134</v>
      </c>
      <c r="BC109" s="35" t="s">
        <v>135</v>
      </c>
      <c r="BD109" s="53"/>
      <c r="BE109" s="53">
        <v>158884</v>
      </c>
      <c r="BF109" s="53"/>
      <c r="BG109" s="53">
        <v>0</v>
      </c>
      <c r="BH109" s="53"/>
      <c r="BI109" s="53">
        <v>67500</v>
      </c>
      <c r="BJ109" s="53"/>
      <c r="BK109" s="53">
        <v>64685</v>
      </c>
      <c r="BL109" s="53"/>
      <c r="BM109" s="53">
        <f t="shared" si="22"/>
        <v>291069</v>
      </c>
      <c r="BN109" s="54" t="s">
        <v>347</v>
      </c>
      <c r="BR109" s="51"/>
      <c r="BS109" s="53"/>
      <c r="BT109" s="53"/>
      <c r="BU109" s="53"/>
      <c r="BV109" s="53"/>
      <c r="BW109" s="53"/>
      <c r="BX109" s="45"/>
      <c r="BY109" s="45"/>
      <c r="BZ109" s="53"/>
      <c r="CA109" s="53"/>
      <c r="CB109" s="53"/>
      <c r="CC109" s="53"/>
      <c r="CD109" s="53"/>
      <c r="CE109" s="53"/>
      <c r="CF109" s="35"/>
      <c r="CH109" s="35"/>
      <c r="CI109" s="53"/>
      <c r="CJ109" s="53"/>
      <c r="CK109" s="53"/>
      <c r="CL109" s="53"/>
      <c r="CM109" s="53"/>
      <c r="CN109" s="53"/>
      <c r="CO109" s="53"/>
      <c r="CP109" s="53"/>
      <c r="CQ109" s="53"/>
      <c r="CR109" s="53"/>
      <c r="CS109" s="54"/>
    </row>
    <row r="110" spans="1:100" s="55" customFormat="1" ht="12.75" customHeight="1">
      <c r="A110" s="35" t="s">
        <v>136</v>
      </c>
      <c r="B110" s="51"/>
      <c r="C110" s="35" t="s">
        <v>136</v>
      </c>
      <c r="D110" s="44"/>
      <c r="E110" s="53">
        <f t="shared" si="23"/>
        <v>6241878</v>
      </c>
      <c r="F110" s="53"/>
      <c r="G110" s="53">
        <v>6182119</v>
      </c>
      <c r="H110" s="53"/>
      <c r="I110" s="53">
        <v>12423997</v>
      </c>
      <c r="J110" s="53"/>
      <c r="K110" s="53">
        <f t="shared" si="17"/>
        <v>281306</v>
      </c>
      <c r="L110" s="53"/>
      <c r="M110" s="53">
        <v>3532580</v>
      </c>
      <c r="N110" s="53"/>
      <c r="O110" s="53">
        <v>3813886</v>
      </c>
      <c r="P110" s="53"/>
      <c r="Q110" s="53">
        <v>2776464</v>
      </c>
      <c r="R110" s="53"/>
      <c r="S110" s="53">
        <v>0</v>
      </c>
      <c r="T110" s="53"/>
      <c r="U110" s="53">
        <v>5833647</v>
      </c>
      <c r="V110" s="53"/>
      <c r="W110" s="53">
        <f t="shared" si="18"/>
        <v>8610111</v>
      </c>
      <c r="X110" s="53"/>
      <c r="Y110" s="35" t="s">
        <v>136</v>
      </c>
      <c r="AA110" s="35" t="s">
        <v>136</v>
      </c>
      <c r="AB110" s="35"/>
      <c r="AC110" s="53">
        <v>2655920</v>
      </c>
      <c r="AD110" s="53"/>
      <c r="AE110" s="53">
        <v>2689419</v>
      </c>
      <c r="AF110" s="53"/>
      <c r="AG110" s="53">
        <v>205662</v>
      </c>
      <c r="AH110" s="53"/>
      <c r="AI110" s="45">
        <f t="shared" si="19"/>
        <v>-239161</v>
      </c>
      <c r="AJ110" s="45"/>
      <c r="AK110" s="53">
        <v>-1725</v>
      </c>
      <c r="AL110" s="45"/>
      <c r="AM110" s="53">
        <v>0</v>
      </c>
      <c r="AN110" s="53"/>
      <c r="AO110" s="53">
        <v>193881</v>
      </c>
      <c r="AP110" s="53"/>
      <c r="AQ110" s="53">
        <v>0</v>
      </c>
      <c r="AR110" s="53"/>
      <c r="AS110" s="45">
        <f t="shared" si="20"/>
        <v>-434767</v>
      </c>
      <c r="AT110" s="45"/>
      <c r="AU110" s="53">
        <v>0</v>
      </c>
      <c r="AV110" s="53"/>
      <c r="AW110" s="53">
        <v>0</v>
      </c>
      <c r="AX110" s="53"/>
      <c r="AY110" s="53">
        <f t="shared" si="21"/>
        <v>5960572</v>
      </c>
      <c r="AZ110" s="53"/>
      <c r="BA110" s="35" t="s">
        <v>136</v>
      </c>
      <c r="BC110" s="35" t="s">
        <v>136</v>
      </c>
      <c r="BD110" s="53"/>
      <c r="BE110" s="53">
        <v>0</v>
      </c>
      <c r="BF110" s="53"/>
      <c r="BG110" s="53">
        <v>0</v>
      </c>
      <c r="BH110" s="53"/>
      <c r="BI110" s="53">
        <v>2977197</v>
      </c>
      <c r="BJ110" s="53"/>
      <c r="BK110" s="53">
        <v>555383</v>
      </c>
      <c r="BL110" s="53"/>
      <c r="BM110" s="53">
        <f t="shared" si="22"/>
        <v>3532580</v>
      </c>
      <c r="BN110" s="54" t="s">
        <v>347</v>
      </c>
      <c r="BR110" s="51"/>
      <c r="BS110" s="53"/>
      <c r="BT110" s="53"/>
      <c r="BU110" s="53"/>
      <c r="BV110" s="53"/>
      <c r="BW110" s="53"/>
      <c r="BX110" s="45"/>
      <c r="BY110" s="45"/>
      <c r="BZ110" s="53"/>
      <c r="CA110" s="53"/>
      <c r="CB110" s="53"/>
      <c r="CC110" s="53"/>
      <c r="CD110" s="53"/>
      <c r="CE110" s="53"/>
      <c r="CF110" s="35"/>
      <c r="CH110" s="35"/>
      <c r="CI110" s="53"/>
      <c r="CJ110" s="53"/>
      <c r="CK110" s="53"/>
      <c r="CL110" s="53"/>
      <c r="CM110" s="53"/>
      <c r="CN110" s="53"/>
      <c r="CO110" s="53"/>
      <c r="CP110" s="53"/>
      <c r="CQ110" s="53"/>
      <c r="CR110" s="53"/>
      <c r="CS110" s="54"/>
    </row>
    <row r="111" spans="1:100" s="55" customFormat="1" ht="11.25" customHeight="1">
      <c r="A111" s="35" t="s">
        <v>137</v>
      </c>
      <c r="C111" s="35" t="s">
        <v>22</v>
      </c>
      <c r="D111" s="44"/>
      <c r="E111" s="53">
        <f t="shared" si="23"/>
        <v>4447007</v>
      </c>
      <c r="F111" s="53"/>
      <c r="G111" s="53">
        <v>28448214</v>
      </c>
      <c r="H111" s="53"/>
      <c r="I111" s="53">
        <v>32895221</v>
      </c>
      <c r="J111" s="53"/>
      <c r="K111" s="53">
        <f t="shared" si="17"/>
        <v>2743193</v>
      </c>
      <c r="L111" s="53"/>
      <c r="M111" s="53">
        <v>3821962</v>
      </c>
      <c r="N111" s="53"/>
      <c r="O111" s="53">
        <v>6565155</v>
      </c>
      <c r="P111" s="53"/>
      <c r="Q111" s="53">
        <v>22558905</v>
      </c>
      <c r="R111" s="53"/>
      <c r="S111" s="53">
        <v>0</v>
      </c>
      <c r="T111" s="53"/>
      <c r="U111" s="53">
        <v>3771161</v>
      </c>
      <c r="V111" s="53"/>
      <c r="W111" s="53">
        <f t="shared" si="18"/>
        <v>26330066</v>
      </c>
      <c r="X111" s="53"/>
      <c r="Y111" s="35" t="s">
        <v>137</v>
      </c>
      <c r="AA111" s="35" t="s">
        <v>22</v>
      </c>
      <c r="AB111" s="35"/>
      <c r="AC111" s="53">
        <v>3622650</v>
      </c>
      <c r="AD111" s="53"/>
      <c r="AE111" s="53">
        <v>2574379</v>
      </c>
      <c r="AF111" s="53"/>
      <c r="AG111" s="53">
        <v>927510</v>
      </c>
      <c r="AH111" s="53"/>
      <c r="AI111" s="45">
        <f t="shared" si="19"/>
        <v>120761</v>
      </c>
      <c r="AJ111" s="45"/>
      <c r="AK111" s="53">
        <v>-71602</v>
      </c>
      <c r="AL111" s="45"/>
      <c r="AM111" s="53">
        <v>0</v>
      </c>
      <c r="AN111" s="53"/>
      <c r="AO111" s="53">
        <v>0</v>
      </c>
      <c r="AP111" s="53"/>
      <c r="AQ111" s="53">
        <v>156177</v>
      </c>
      <c r="AR111" s="53"/>
      <c r="AS111" s="45">
        <f t="shared" si="20"/>
        <v>205336</v>
      </c>
      <c r="AT111" s="45"/>
      <c r="AU111" s="53">
        <v>0</v>
      </c>
      <c r="AV111" s="53"/>
      <c r="AW111" s="53">
        <v>0</v>
      </c>
      <c r="AX111" s="53"/>
      <c r="AY111" s="53">
        <f t="shared" si="21"/>
        <v>1703814</v>
      </c>
      <c r="AZ111" s="53"/>
      <c r="BA111" s="35" t="s">
        <v>137</v>
      </c>
      <c r="BC111" s="35" t="s">
        <v>22</v>
      </c>
      <c r="BD111" s="53"/>
      <c r="BE111" s="53">
        <v>0</v>
      </c>
      <c r="BF111" s="53"/>
      <c r="BG111" s="53">
        <v>0</v>
      </c>
      <c r="BH111" s="53"/>
      <c r="BI111" s="53">
        <v>0</v>
      </c>
      <c r="BJ111" s="53"/>
      <c r="BK111" s="53">
        <v>960</v>
      </c>
      <c r="BL111" s="53"/>
      <c r="BM111" s="53">
        <f t="shared" si="22"/>
        <v>960</v>
      </c>
      <c r="BN111" s="54" t="s">
        <v>347</v>
      </c>
      <c r="BR111" s="51"/>
      <c r="BS111" s="53"/>
      <c r="BT111" s="53"/>
      <c r="BU111" s="53"/>
      <c r="BV111" s="53"/>
      <c r="BW111" s="53"/>
      <c r="BX111" s="45"/>
      <c r="BY111" s="45"/>
      <c r="BZ111" s="53"/>
      <c r="CA111" s="53"/>
      <c r="CB111" s="53"/>
      <c r="CC111" s="53"/>
      <c r="CD111" s="53"/>
      <c r="CE111" s="53"/>
      <c r="CF111" s="35"/>
      <c r="CH111" s="35"/>
      <c r="CI111" s="53"/>
      <c r="CJ111" s="53"/>
      <c r="CK111" s="53"/>
      <c r="CL111" s="53"/>
      <c r="CM111" s="53"/>
      <c r="CN111" s="53"/>
      <c r="CO111" s="53"/>
      <c r="CP111" s="53"/>
      <c r="CQ111" s="53"/>
      <c r="CR111" s="53"/>
      <c r="CS111" s="54"/>
    </row>
    <row r="112" spans="1:100" s="159" customFormat="1" ht="12.75" hidden="1" customHeight="1">
      <c r="A112" s="142" t="s">
        <v>138</v>
      </c>
      <c r="B112" s="140"/>
      <c r="C112" s="142" t="s">
        <v>139</v>
      </c>
      <c r="D112" s="137"/>
      <c r="E112" s="156">
        <f t="shared" si="23"/>
        <v>0</v>
      </c>
      <c r="F112" s="156"/>
      <c r="G112" s="156"/>
      <c r="H112" s="156"/>
      <c r="I112" s="156"/>
      <c r="J112" s="156"/>
      <c r="K112" s="156">
        <f t="shared" si="17"/>
        <v>0</v>
      </c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>
        <f t="shared" ref="W112:W143" si="24">SUM(Q112:U112)</f>
        <v>0</v>
      </c>
      <c r="X112" s="156"/>
      <c r="Y112" s="142" t="s">
        <v>138</v>
      </c>
      <c r="AA112" s="142" t="s">
        <v>139</v>
      </c>
      <c r="AB112" s="142"/>
      <c r="AC112" s="156">
        <v>1929459</v>
      </c>
      <c r="AD112" s="156"/>
      <c r="AE112" s="156">
        <v>1167351</v>
      </c>
      <c r="AF112" s="156"/>
      <c r="AG112" s="156">
        <v>0</v>
      </c>
      <c r="AH112" s="156"/>
      <c r="AI112" s="143">
        <f t="shared" si="19"/>
        <v>762108</v>
      </c>
      <c r="AJ112" s="143"/>
      <c r="AK112" s="156">
        <v>-799067</v>
      </c>
      <c r="AL112" s="143"/>
      <c r="AM112" s="156">
        <v>0</v>
      </c>
      <c r="AN112" s="156"/>
      <c r="AO112" s="156">
        <v>0</v>
      </c>
      <c r="AP112" s="156"/>
      <c r="AQ112" s="156">
        <v>0</v>
      </c>
      <c r="AR112" s="156"/>
      <c r="AS112" s="143">
        <f t="shared" si="20"/>
        <v>-36959</v>
      </c>
      <c r="AT112" s="143"/>
      <c r="AU112" s="156">
        <v>0</v>
      </c>
      <c r="AV112" s="156"/>
      <c r="AW112" s="156">
        <v>0</v>
      </c>
      <c r="AX112" s="156"/>
      <c r="AY112" s="156">
        <f t="shared" si="21"/>
        <v>0</v>
      </c>
      <c r="AZ112" s="156"/>
      <c r="BA112" s="142" t="s">
        <v>138</v>
      </c>
      <c r="BC112" s="142" t="s">
        <v>139</v>
      </c>
      <c r="BD112" s="156"/>
      <c r="BE112" s="156"/>
      <c r="BF112" s="156"/>
      <c r="BG112" s="156"/>
      <c r="BH112" s="156"/>
      <c r="BI112" s="156"/>
      <c r="BJ112" s="156"/>
      <c r="BK112" s="156"/>
      <c r="BL112" s="156"/>
      <c r="BM112" s="156">
        <f t="shared" si="22"/>
        <v>0</v>
      </c>
      <c r="BN112" s="158" t="s">
        <v>347</v>
      </c>
      <c r="BO112" s="142"/>
      <c r="BP112" s="142"/>
      <c r="BQ112" s="142"/>
      <c r="BR112" s="140"/>
      <c r="BS112" s="156"/>
      <c r="BT112" s="156"/>
      <c r="BU112" s="156"/>
      <c r="BV112" s="156"/>
      <c r="BW112" s="143"/>
      <c r="BX112" s="143"/>
      <c r="BY112" s="156"/>
      <c r="BZ112" s="156"/>
      <c r="CA112" s="156"/>
      <c r="CB112" s="156"/>
      <c r="CC112" s="156"/>
      <c r="CD112" s="156"/>
      <c r="CE112" s="156"/>
      <c r="CF112" s="142"/>
      <c r="CH112" s="142"/>
      <c r="CI112" s="156"/>
      <c r="CJ112" s="156"/>
      <c r="CK112" s="156"/>
      <c r="CL112" s="156"/>
      <c r="CM112" s="156"/>
      <c r="CN112" s="156"/>
      <c r="CO112" s="156"/>
      <c r="CP112" s="156"/>
      <c r="CQ112" s="156"/>
      <c r="CR112" s="156"/>
      <c r="CS112" s="158"/>
      <c r="CT112" s="142"/>
      <c r="CU112" s="142"/>
      <c r="CV112" s="142"/>
    </row>
    <row r="113" spans="1:104" s="159" customFormat="1" ht="12.75" hidden="1" customHeight="1">
      <c r="A113" s="142" t="s">
        <v>140</v>
      </c>
      <c r="B113" s="140"/>
      <c r="C113" s="142" t="s">
        <v>66</v>
      </c>
      <c r="D113" s="137"/>
      <c r="E113" s="156">
        <f t="shared" si="23"/>
        <v>0</v>
      </c>
      <c r="F113" s="156"/>
      <c r="G113" s="156">
        <v>0</v>
      </c>
      <c r="H113" s="156"/>
      <c r="I113" s="156">
        <v>0</v>
      </c>
      <c r="J113" s="156"/>
      <c r="K113" s="156">
        <f t="shared" si="17"/>
        <v>0</v>
      </c>
      <c r="L113" s="156"/>
      <c r="M113" s="156">
        <v>0</v>
      </c>
      <c r="N113" s="156"/>
      <c r="O113" s="156">
        <v>0</v>
      </c>
      <c r="P113" s="156"/>
      <c r="Q113" s="156">
        <v>0</v>
      </c>
      <c r="R113" s="156"/>
      <c r="S113" s="156">
        <v>0</v>
      </c>
      <c r="T113" s="156"/>
      <c r="U113" s="156">
        <v>0</v>
      </c>
      <c r="V113" s="156"/>
      <c r="W113" s="156">
        <f t="shared" si="24"/>
        <v>0</v>
      </c>
      <c r="X113" s="156"/>
      <c r="Y113" s="142" t="s">
        <v>140</v>
      </c>
      <c r="AA113" s="142" t="s">
        <v>66</v>
      </c>
      <c r="AB113" s="142"/>
      <c r="AC113" s="156">
        <v>0</v>
      </c>
      <c r="AD113" s="156"/>
      <c r="AE113" s="156">
        <v>0</v>
      </c>
      <c r="AF113" s="156"/>
      <c r="AG113" s="156">
        <v>0</v>
      </c>
      <c r="AH113" s="156"/>
      <c r="AI113" s="143">
        <f t="shared" si="19"/>
        <v>0</v>
      </c>
      <c r="AJ113" s="143"/>
      <c r="AK113" s="156">
        <v>0</v>
      </c>
      <c r="AL113" s="143"/>
      <c r="AM113" s="156">
        <v>0</v>
      </c>
      <c r="AN113" s="156"/>
      <c r="AO113" s="156">
        <v>0</v>
      </c>
      <c r="AP113" s="156"/>
      <c r="AQ113" s="156">
        <v>0</v>
      </c>
      <c r="AR113" s="156"/>
      <c r="AS113" s="143">
        <f t="shared" si="20"/>
        <v>0</v>
      </c>
      <c r="AT113" s="143"/>
      <c r="AU113" s="156">
        <v>0</v>
      </c>
      <c r="AV113" s="156"/>
      <c r="AW113" s="156">
        <v>0</v>
      </c>
      <c r="AX113" s="156"/>
      <c r="AY113" s="156">
        <f t="shared" si="21"/>
        <v>0</v>
      </c>
      <c r="AZ113" s="156"/>
      <c r="BA113" s="142" t="s">
        <v>140</v>
      </c>
      <c r="BC113" s="142" t="s">
        <v>66</v>
      </c>
      <c r="BD113" s="156"/>
      <c r="BE113" s="156">
        <v>0</v>
      </c>
      <c r="BF113" s="156"/>
      <c r="BG113" s="156">
        <v>0</v>
      </c>
      <c r="BH113" s="156"/>
      <c r="BI113" s="156">
        <v>0</v>
      </c>
      <c r="BJ113" s="156"/>
      <c r="BK113" s="156">
        <v>0</v>
      </c>
      <c r="BL113" s="156"/>
      <c r="BM113" s="156">
        <f t="shared" si="22"/>
        <v>0</v>
      </c>
      <c r="BN113" s="158" t="s">
        <v>347</v>
      </c>
      <c r="BO113" s="142"/>
      <c r="BP113" s="142"/>
      <c r="BQ113" s="142"/>
      <c r="BR113" s="140"/>
      <c r="BS113" s="156"/>
      <c r="BT113" s="156"/>
      <c r="BU113" s="156"/>
      <c r="BV113" s="156"/>
      <c r="BW113" s="143"/>
      <c r="BX113" s="143"/>
      <c r="BY113" s="156"/>
      <c r="BZ113" s="156"/>
      <c r="CA113" s="156"/>
      <c r="CB113" s="156"/>
      <c r="CC113" s="156"/>
      <c r="CD113" s="156"/>
      <c r="CE113" s="156"/>
      <c r="CF113" s="142"/>
      <c r="CH113" s="142"/>
      <c r="CI113" s="156"/>
      <c r="CJ113" s="156"/>
      <c r="CK113" s="156"/>
      <c r="CL113" s="156"/>
      <c r="CM113" s="156"/>
      <c r="CN113" s="156"/>
      <c r="CO113" s="156"/>
      <c r="CP113" s="156"/>
      <c r="CQ113" s="156"/>
      <c r="CR113" s="156"/>
      <c r="CS113" s="158"/>
      <c r="CT113" s="142"/>
      <c r="CU113" s="142"/>
      <c r="CV113" s="142"/>
      <c r="CW113" s="142"/>
      <c r="CX113" s="142"/>
      <c r="CY113" s="142"/>
      <c r="CZ113" s="142"/>
    </row>
    <row r="114" spans="1:104" s="55" customFormat="1" ht="12.75" customHeight="1">
      <c r="A114" s="35" t="s">
        <v>141</v>
      </c>
      <c r="C114" s="35" t="s">
        <v>27</v>
      </c>
      <c r="D114" s="44"/>
      <c r="E114" s="53">
        <f t="shared" si="23"/>
        <v>4838048</v>
      </c>
      <c r="F114" s="53"/>
      <c r="G114" s="53">
        <v>39883472</v>
      </c>
      <c r="H114" s="53"/>
      <c r="I114" s="53">
        <v>44721520</v>
      </c>
      <c r="J114" s="53"/>
      <c r="K114" s="53">
        <f t="shared" si="17"/>
        <v>3954115</v>
      </c>
      <c r="L114" s="53"/>
      <c r="M114" s="53">
        <v>24686126</v>
      </c>
      <c r="N114" s="53"/>
      <c r="O114" s="53">
        <v>28640241</v>
      </c>
      <c r="P114" s="53"/>
      <c r="Q114" s="53">
        <v>13679004</v>
      </c>
      <c r="R114" s="53"/>
      <c r="S114" s="53">
        <v>432316</v>
      </c>
      <c r="T114" s="53"/>
      <c r="U114" s="53">
        <v>1969959</v>
      </c>
      <c r="V114" s="53"/>
      <c r="W114" s="53">
        <f t="shared" si="24"/>
        <v>16081279</v>
      </c>
      <c r="X114" s="53"/>
      <c r="Y114" s="35" t="s">
        <v>141</v>
      </c>
      <c r="AA114" s="35" t="s">
        <v>27</v>
      </c>
      <c r="AB114" s="35"/>
      <c r="AC114" s="53">
        <v>5189301</v>
      </c>
      <c r="AD114" s="53"/>
      <c r="AE114" s="53">
        <f>6491707-591563</f>
        <v>5900144</v>
      </c>
      <c r="AF114" s="53"/>
      <c r="AG114" s="53">
        <v>591563</v>
      </c>
      <c r="AH114" s="53"/>
      <c r="AI114" s="45">
        <f t="shared" si="19"/>
        <v>-1302406</v>
      </c>
      <c r="AJ114" s="45"/>
      <c r="AK114" s="53">
        <v>1324304</v>
      </c>
      <c r="AL114" s="45"/>
      <c r="AM114" s="53">
        <v>0</v>
      </c>
      <c r="AN114" s="53"/>
      <c r="AO114" s="53">
        <v>750000</v>
      </c>
      <c r="AP114" s="53"/>
      <c r="AQ114" s="53">
        <v>0</v>
      </c>
      <c r="AR114" s="53"/>
      <c r="AS114" s="45">
        <f t="shared" si="20"/>
        <v>-728102</v>
      </c>
      <c r="AT114" s="45"/>
      <c r="AU114" s="53">
        <v>0</v>
      </c>
      <c r="AV114" s="53"/>
      <c r="AW114" s="53">
        <v>0</v>
      </c>
      <c r="AX114" s="53"/>
      <c r="AY114" s="53">
        <f t="shared" si="21"/>
        <v>883933</v>
      </c>
      <c r="AZ114" s="53"/>
      <c r="BA114" s="35" t="s">
        <v>141</v>
      </c>
      <c r="BC114" s="35" t="s">
        <v>27</v>
      </c>
      <c r="BD114" s="53"/>
      <c r="BE114" s="53">
        <f>1610000-109708+38244+1970000-144607+3075665+60464+4110313+3602</f>
        <v>10613973</v>
      </c>
      <c r="BF114" s="53"/>
      <c r="BG114" s="53">
        <f>13890000-164882+47808</f>
        <v>13772926</v>
      </c>
      <c r="BH114" s="53"/>
      <c r="BI114" s="53">
        <f>51271+422981</f>
        <v>474252</v>
      </c>
      <c r="BJ114" s="53"/>
      <c r="BK114" s="53">
        <v>574000</v>
      </c>
      <c r="BL114" s="53"/>
      <c r="BM114" s="53">
        <f t="shared" si="22"/>
        <v>25435151</v>
      </c>
      <c r="BN114" s="54" t="s">
        <v>347</v>
      </c>
      <c r="BO114" s="35"/>
      <c r="BP114" s="35"/>
      <c r="BR114" s="51"/>
      <c r="BS114" s="53"/>
      <c r="BT114" s="53"/>
      <c r="BU114" s="53"/>
      <c r="BV114" s="53"/>
      <c r="BW114" s="45"/>
      <c r="BX114" s="45"/>
      <c r="BY114" s="53"/>
      <c r="BZ114" s="53"/>
      <c r="CA114" s="53"/>
      <c r="CB114" s="53"/>
      <c r="CC114" s="53"/>
      <c r="CD114" s="53"/>
      <c r="CE114" s="53"/>
      <c r="CF114" s="35"/>
      <c r="CH114" s="35"/>
      <c r="CI114" s="53"/>
      <c r="CJ114" s="53"/>
      <c r="CK114" s="53"/>
      <c r="CL114" s="53"/>
      <c r="CM114" s="53"/>
      <c r="CN114" s="53"/>
      <c r="CO114" s="53"/>
      <c r="CP114" s="53"/>
      <c r="CQ114" s="53"/>
      <c r="CR114" s="53"/>
      <c r="CS114" s="54"/>
      <c r="CT114" s="35"/>
      <c r="CU114" s="35"/>
    </row>
    <row r="115" spans="1:104" s="55" customFormat="1" ht="12.75" hidden="1" customHeight="1">
      <c r="A115" s="35" t="s">
        <v>142</v>
      </c>
      <c r="B115" s="51"/>
      <c r="C115" s="35" t="s">
        <v>102</v>
      </c>
      <c r="D115" s="44"/>
      <c r="E115" s="53">
        <f t="shared" si="23"/>
        <v>0</v>
      </c>
      <c r="F115" s="53"/>
      <c r="G115" s="53">
        <v>0</v>
      </c>
      <c r="H115" s="53"/>
      <c r="I115" s="53">
        <v>0</v>
      </c>
      <c r="J115" s="53"/>
      <c r="K115" s="53">
        <f t="shared" si="17"/>
        <v>0</v>
      </c>
      <c r="L115" s="53"/>
      <c r="M115" s="53">
        <v>0</v>
      </c>
      <c r="N115" s="53"/>
      <c r="O115" s="53">
        <v>0</v>
      </c>
      <c r="P115" s="53"/>
      <c r="Q115" s="53">
        <v>0</v>
      </c>
      <c r="R115" s="53"/>
      <c r="S115" s="53">
        <v>0</v>
      </c>
      <c r="T115" s="53"/>
      <c r="U115" s="53">
        <v>0</v>
      </c>
      <c r="V115" s="53"/>
      <c r="W115" s="53">
        <v>0</v>
      </c>
      <c r="X115" s="53"/>
      <c r="Y115" s="35" t="s">
        <v>142</v>
      </c>
      <c r="AA115" s="35" t="s">
        <v>102</v>
      </c>
      <c r="AB115" s="35"/>
      <c r="AC115" s="53">
        <v>0</v>
      </c>
      <c r="AD115" s="53"/>
      <c r="AE115" s="53">
        <v>0</v>
      </c>
      <c r="AF115" s="53"/>
      <c r="AG115" s="53">
        <v>0</v>
      </c>
      <c r="AH115" s="53"/>
      <c r="AI115" s="45">
        <f t="shared" si="19"/>
        <v>0</v>
      </c>
      <c r="AJ115" s="45"/>
      <c r="AK115" s="53">
        <v>0</v>
      </c>
      <c r="AL115" s="45"/>
      <c r="AM115" s="53">
        <v>0</v>
      </c>
      <c r="AN115" s="53"/>
      <c r="AO115" s="53">
        <v>0</v>
      </c>
      <c r="AP115" s="53"/>
      <c r="AQ115" s="53">
        <v>0</v>
      </c>
      <c r="AR115" s="53"/>
      <c r="AS115" s="45">
        <f t="shared" si="20"/>
        <v>0</v>
      </c>
      <c r="AT115" s="45"/>
      <c r="AU115" s="53">
        <v>0</v>
      </c>
      <c r="AV115" s="53"/>
      <c r="AW115" s="53">
        <v>0</v>
      </c>
      <c r="AX115" s="53"/>
      <c r="AY115" s="53">
        <f t="shared" si="21"/>
        <v>0</v>
      </c>
      <c r="AZ115" s="53"/>
      <c r="BA115" s="35" t="s">
        <v>142</v>
      </c>
      <c r="BC115" s="35" t="s">
        <v>102</v>
      </c>
      <c r="BD115" s="53"/>
      <c r="BE115" s="53">
        <v>0</v>
      </c>
      <c r="BF115" s="53"/>
      <c r="BG115" s="53">
        <v>11586119</v>
      </c>
      <c r="BH115" s="53"/>
      <c r="BI115" s="53">
        <v>0</v>
      </c>
      <c r="BJ115" s="53"/>
      <c r="BK115" s="53">
        <v>0</v>
      </c>
      <c r="BL115" s="53"/>
      <c r="BM115" s="53">
        <f t="shared" si="22"/>
        <v>11586119</v>
      </c>
      <c r="BN115" s="54" t="s">
        <v>347</v>
      </c>
      <c r="BO115" s="55" t="s">
        <v>405</v>
      </c>
      <c r="BR115" s="51"/>
      <c r="BS115" s="53"/>
      <c r="BT115" s="53"/>
      <c r="BU115" s="53"/>
      <c r="BV115" s="53"/>
      <c r="BW115" s="53"/>
      <c r="BX115" s="45"/>
      <c r="BY115" s="45"/>
      <c r="BZ115" s="53"/>
      <c r="CA115" s="53"/>
      <c r="CB115" s="53"/>
      <c r="CC115" s="53"/>
      <c r="CD115" s="53"/>
      <c r="CE115" s="53"/>
      <c r="CF115" s="35"/>
      <c r="CH115" s="35"/>
      <c r="CI115" s="53"/>
      <c r="CJ115" s="53"/>
      <c r="CK115" s="53"/>
      <c r="CL115" s="53"/>
      <c r="CM115" s="53"/>
      <c r="CN115" s="53"/>
      <c r="CO115" s="53"/>
      <c r="CP115" s="53"/>
      <c r="CQ115" s="53"/>
      <c r="CR115" s="53"/>
      <c r="CS115" s="54"/>
    </row>
    <row r="116" spans="1:104" s="55" customFormat="1" ht="12.75" customHeight="1">
      <c r="A116" s="35" t="s">
        <v>143</v>
      </c>
      <c r="B116" s="51"/>
      <c r="C116" s="35" t="s">
        <v>111</v>
      </c>
      <c r="D116" s="44"/>
      <c r="E116" s="53">
        <f t="shared" si="23"/>
        <v>4450563</v>
      </c>
      <c r="F116" s="53"/>
      <c r="G116" s="53">
        <v>27735448</v>
      </c>
      <c r="H116" s="53"/>
      <c r="I116" s="53">
        <v>32186011</v>
      </c>
      <c r="J116" s="53"/>
      <c r="K116" s="53">
        <f t="shared" si="17"/>
        <v>748357</v>
      </c>
      <c r="L116" s="53"/>
      <c r="M116" s="53">
        <v>10369510</v>
      </c>
      <c r="N116" s="53"/>
      <c r="O116" s="53">
        <v>11117867</v>
      </c>
      <c r="P116" s="53"/>
      <c r="Q116" s="53">
        <v>17399380</v>
      </c>
      <c r="R116" s="53"/>
      <c r="S116" s="53">
        <v>1274552</v>
      </c>
      <c r="T116" s="53"/>
      <c r="U116" s="53">
        <v>2394212</v>
      </c>
      <c r="V116" s="53"/>
      <c r="W116" s="53">
        <f t="shared" si="24"/>
        <v>21068144</v>
      </c>
      <c r="X116" s="53"/>
      <c r="Y116" s="35" t="s">
        <v>143</v>
      </c>
      <c r="AA116" s="35" t="s">
        <v>111</v>
      </c>
      <c r="AB116" s="35"/>
      <c r="AC116" s="53">
        <v>3530108</v>
      </c>
      <c r="AD116" s="53"/>
      <c r="AE116" s="53">
        <v>1719657</v>
      </c>
      <c r="AF116" s="53"/>
      <c r="AG116" s="53">
        <v>967348</v>
      </c>
      <c r="AH116" s="53"/>
      <c r="AI116" s="45">
        <f t="shared" si="19"/>
        <v>843103</v>
      </c>
      <c r="AJ116" s="45"/>
      <c r="AK116" s="53">
        <v>-386878</v>
      </c>
      <c r="AL116" s="45"/>
      <c r="AM116" s="53">
        <v>19528</v>
      </c>
      <c r="AN116" s="53"/>
      <c r="AO116" s="53">
        <v>0</v>
      </c>
      <c r="AP116" s="53"/>
      <c r="AQ116" s="53">
        <v>18018</v>
      </c>
      <c r="AR116" s="53"/>
      <c r="AS116" s="45">
        <f t="shared" si="20"/>
        <v>493771</v>
      </c>
      <c r="AT116" s="45"/>
      <c r="AU116" s="53">
        <v>0</v>
      </c>
      <c r="AV116" s="53"/>
      <c r="AW116" s="53">
        <v>0</v>
      </c>
      <c r="AX116" s="53"/>
      <c r="AY116" s="53">
        <f t="shared" si="21"/>
        <v>3702206</v>
      </c>
      <c r="AZ116" s="53"/>
      <c r="BA116" s="35" t="s">
        <v>143</v>
      </c>
      <c r="BC116" s="35" t="s">
        <v>111</v>
      </c>
      <c r="BD116" s="53"/>
      <c r="BE116" s="53">
        <v>0</v>
      </c>
      <c r="BF116" s="53"/>
      <c r="BG116" s="53">
        <v>10369510</v>
      </c>
      <c r="BH116" s="53"/>
      <c r="BI116" s="53">
        <v>0</v>
      </c>
      <c r="BJ116" s="53"/>
      <c r="BK116" s="53">
        <v>10369510</v>
      </c>
      <c r="BL116" s="53"/>
      <c r="BM116" s="53">
        <f t="shared" si="22"/>
        <v>20739020</v>
      </c>
      <c r="BN116" s="54" t="s">
        <v>347</v>
      </c>
      <c r="BO116" s="35"/>
      <c r="BR116" s="51"/>
      <c r="BS116" s="53"/>
      <c r="BT116" s="53"/>
      <c r="BU116" s="53"/>
      <c r="BV116" s="53"/>
      <c r="BW116" s="45"/>
      <c r="BX116" s="45"/>
      <c r="BY116" s="53"/>
      <c r="BZ116" s="53"/>
      <c r="CA116" s="53"/>
      <c r="CB116" s="53"/>
      <c r="CC116" s="53"/>
      <c r="CD116" s="53"/>
      <c r="CE116" s="53"/>
      <c r="CF116" s="35"/>
      <c r="CH116" s="35"/>
      <c r="CI116" s="53"/>
      <c r="CJ116" s="53"/>
      <c r="CK116" s="53"/>
      <c r="CL116" s="53"/>
      <c r="CM116" s="53"/>
      <c r="CN116" s="53"/>
      <c r="CO116" s="53"/>
      <c r="CP116" s="53"/>
      <c r="CQ116" s="53"/>
      <c r="CR116" s="53"/>
      <c r="CS116" s="54"/>
      <c r="CT116" s="35"/>
    </row>
    <row r="117" spans="1:104" s="55" customFormat="1" ht="12.75" customHeight="1">
      <c r="A117" s="35" t="s">
        <v>144</v>
      </c>
      <c r="B117" s="51"/>
      <c r="C117" s="35" t="s">
        <v>88</v>
      </c>
      <c r="D117" s="44"/>
      <c r="E117" s="53">
        <f t="shared" si="23"/>
        <v>11940405</v>
      </c>
      <c r="F117" s="53"/>
      <c r="G117" s="53">
        <v>31646484</v>
      </c>
      <c r="H117" s="53"/>
      <c r="I117" s="53">
        <v>43586889</v>
      </c>
      <c r="J117" s="53"/>
      <c r="K117" s="53">
        <f t="shared" si="17"/>
        <v>10220458</v>
      </c>
      <c r="L117" s="53"/>
      <c r="M117" s="53">
        <v>11755533</v>
      </c>
      <c r="N117" s="53"/>
      <c r="O117" s="53">
        <v>21975991</v>
      </c>
      <c r="P117" s="53"/>
      <c r="Q117" s="53">
        <v>19224096</v>
      </c>
      <c r="R117" s="53"/>
      <c r="S117" s="53">
        <v>0</v>
      </c>
      <c r="T117" s="53"/>
      <c r="U117" s="53">
        <v>2386802</v>
      </c>
      <c r="V117" s="53"/>
      <c r="W117" s="53">
        <f t="shared" si="24"/>
        <v>21610898</v>
      </c>
      <c r="X117" s="53"/>
      <c r="Y117" s="35" t="s">
        <v>144</v>
      </c>
      <c r="AA117" s="35" t="s">
        <v>88</v>
      </c>
      <c r="AB117" s="35"/>
      <c r="AC117" s="53">
        <v>7825371</v>
      </c>
      <c r="AD117" s="53"/>
      <c r="AE117" s="53">
        <v>5092582</v>
      </c>
      <c r="AF117" s="53"/>
      <c r="AG117" s="53">
        <v>1580775</v>
      </c>
      <c r="AH117" s="53"/>
      <c r="AI117" s="45">
        <f t="shared" si="19"/>
        <v>1152014</v>
      </c>
      <c r="AJ117" s="45"/>
      <c r="AK117" s="53">
        <v>-772726</v>
      </c>
      <c r="AL117" s="45"/>
      <c r="AM117" s="53">
        <v>0</v>
      </c>
      <c r="AN117" s="53"/>
      <c r="AO117" s="53">
        <v>0</v>
      </c>
      <c r="AP117" s="53"/>
      <c r="AQ117" s="53">
        <v>0</v>
      </c>
      <c r="AR117" s="53"/>
      <c r="AS117" s="45">
        <f t="shared" si="20"/>
        <v>379288</v>
      </c>
      <c r="AT117" s="45"/>
      <c r="AU117" s="53">
        <v>0</v>
      </c>
      <c r="AV117" s="53"/>
      <c r="AW117" s="53">
        <v>0</v>
      </c>
      <c r="AX117" s="53"/>
      <c r="AY117" s="53">
        <f t="shared" si="21"/>
        <v>1719947</v>
      </c>
      <c r="AZ117" s="53"/>
      <c r="BA117" s="35" t="s">
        <v>144</v>
      </c>
      <c r="BC117" s="35" t="s">
        <v>88</v>
      </c>
      <c r="BD117" s="53"/>
      <c r="BE117" s="53">
        <v>6248093</v>
      </c>
      <c r="BF117" s="53"/>
      <c r="BG117" s="53">
        <v>0</v>
      </c>
      <c r="BH117" s="53"/>
      <c r="BI117" s="53">
        <v>5146079</v>
      </c>
      <c r="BJ117" s="53"/>
      <c r="BK117" s="53">
        <v>361361</v>
      </c>
      <c r="BL117" s="53"/>
      <c r="BM117" s="53">
        <f t="shared" si="22"/>
        <v>11755533</v>
      </c>
      <c r="BN117" s="54" t="s">
        <v>347</v>
      </c>
      <c r="BR117" s="51"/>
      <c r="BS117" s="53"/>
      <c r="BT117" s="53"/>
      <c r="BU117" s="53"/>
      <c r="BV117" s="53"/>
      <c r="BW117" s="53"/>
      <c r="BX117" s="45"/>
      <c r="BY117" s="45"/>
      <c r="BZ117" s="53"/>
      <c r="CA117" s="53"/>
      <c r="CB117" s="53"/>
      <c r="CC117" s="53"/>
      <c r="CD117" s="53"/>
      <c r="CE117" s="53"/>
      <c r="CF117" s="44"/>
      <c r="CH117" s="35"/>
      <c r="CI117" s="53"/>
      <c r="CJ117" s="53"/>
      <c r="CK117" s="53"/>
      <c r="CL117" s="53"/>
      <c r="CM117" s="53"/>
      <c r="CN117" s="53"/>
      <c r="CO117" s="53"/>
      <c r="CP117" s="53"/>
      <c r="CQ117" s="53"/>
      <c r="CR117" s="53"/>
      <c r="CS117" s="54"/>
    </row>
    <row r="118" spans="1:104" s="55" customFormat="1" ht="12.75" customHeight="1">
      <c r="A118" s="35" t="s">
        <v>36</v>
      </c>
      <c r="B118" s="51"/>
      <c r="C118" s="35" t="s">
        <v>145</v>
      </c>
      <c r="D118" s="44"/>
      <c r="E118" s="53">
        <f t="shared" si="23"/>
        <v>760610</v>
      </c>
      <c r="F118" s="53"/>
      <c r="G118" s="53">
        <v>7620658</v>
      </c>
      <c r="H118" s="53"/>
      <c r="I118" s="53">
        <v>8381268</v>
      </c>
      <c r="J118" s="53"/>
      <c r="K118" s="53">
        <f t="shared" si="17"/>
        <v>602110</v>
      </c>
      <c r="L118" s="53"/>
      <c r="M118" s="53">
        <v>1125488</v>
      </c>
      <c r="N118" s="53"/>
      <c r="O118" s="53">
        <v>1727598</v>
      </c>
      <c r="P118" s="53"/>
      <c r="Q118" s="53">
        <v>6256573</v>
      </c>
      <c r="R118" s="53"/>
      <c r="S118" s="53">
        <v>0</v>
      </c>
      <c r="T118" s="53"/>
      <c r="U118" s="53">
        <v>397097</v>
      </c>
      <c r="V118" s="53"/>
      <c r="W118" s="53">
        <f t="shared" si="24"/>
        <v>6653670</v>
      </c>
      <c r="X118" s="53"/>
      <c r="Y118" s="35" t="s">
        <v>36</v>
      </c>
      <c r="AA118" s="35" t="s">
        <v>145</v>
      </c>
      <c r="AB118" s="35"/>
      <c r="AC118" s="53">
        <v>1179297</v>
      </c>
      <c r="AD118" s="53"/>
      <c r="AE118" s="53">
        <v>675683</v>
      </c>
      <c r="AF118" s="53"/>
      <c r="AG118" s="53">
        <v>215478</v>
      </c>
      <c r="AH118" s="53"/>
      <c r="AI118" s="45">
        <f t="shared" si="19"/>
        <v>288136</v>
      </c>
      <c r="AJ118" s="45"/>
      <c r="AK118" s="53">
        <v>-85977</v>
      </c>
      <c r="AL118" s="45"/>
      <c r="AM118" s="53">
        <v>0</v>
      </c>
      <c r="AN118" s="53"/>
      <c r="AO118" s="53">
        <v>0</v>
      </c>
      <c r="AP118" s="53"/>
      <c r="AQ118" s="53">
        <v>0</v>
      </c>
      <c r="AR118" s="53"/>
      <c r="AS118" s="45">
        <f t="shared" si="20"/>
        <v>202159</v>
      </c>
      <c r="AT118" s="45"/>
      <c r="AU118" s="53">
        <v>0</v>
      </c>
      <c r="AV118" s="53"/>
      <c r="AW118" s="53">
        <v>0</v>
      </c>
      <c r="AX118" s="53"/>
      <c r="AY118" s="53">
        <f t="shared" si="21"/>
        <v>158500</v>
      </c>
      <c r="AZ118" s="53"/>
      <c r="BA118" s="35" t="s">
        <v>36</v>
      </c>
      <c r="BC118" s="35" t="s">
        <v>145</v>
      </c>
      <c r="BD118" s="53"/>
      <c r="BE118" s="53">
        <v>0</v>
      </c>
      <c r="BF118" s="53"/>
      <c r="BG118" s="53">
        <v>270000</v>
      </c>
      <c r="BH118" s="53"/>
      <c r="BI118" s="53">
        <v>824958</v>
      </c>
      <c r="BJ118" s="53"/>
      <c r="BK118" s="53">
        <v>30530</v>
      </c>
      <c r="BL118" s="53"/>
      <c r="BM118" s="53">
        <f t="shared" si="22"/>
        <v>1125488</v>
      </c>
      <c r="BN118" s="54" t="s">
        <v>347</v>
      </c>
      <c r="BR118" s="51"/>
      <c r="BS118" s="53"/>
      <c r="BT118" s="53"/>
      <c r="BU118" s="53"/>
      <c r="BV118" s="53"/>
      <c r="BW118" s="53"/>
      <c r="BX118" s="45"/>
      <c r="BY118" s="45"/>
      <c r="BZ118" s="53"/>
      <c r="CA118" s="53"/>
      <c r="CB118" s="53"/>
      <c r="CC118" s="53"/>
      <c r="CD118" s="53"/>
      <c r="CE118" s="53"/>
      <c r="CF118" s="35"/>
      <c r="CH118" s="35"/>
      <c r="CI118" s="53"/>
      <c r="CJ118" s="53"/>
      <c r="CK118" s="53"/>
      <c r="CL118" s="53"/>
      <c r="CM118" s="53"/>
      <c r="CN118" s="53"/>
      <c r="CO118" s="53"/>
      <c r="CP118" s="53"/>
      <c r="CQ118" s="53"/>
      <c r="CR118" s="53"/>
      <c r="CS118" s="54"/>
    </row>
    <row r="119" spans="1:104" s="55" customFormat="1" ht="12.75" customHeight="1">
      <c r="A119" s="35" t="s">
        <v>146</v>
      </c>
      <c r="C119" s="35" t="s">
        <v>147</v>
      </c>
      <c r="D119" s="44"/>
      <c r="E119" s="53">
        <f t="shared" si="23"/>
        <v>7666141</v>
      </c>
      <c r="F119" s="53"/>
      <c r="G119" s="53">
        <v>31371068</v>
      </c>
      <c r="H119" s="53"/>
      <c r="I119" s="53">
        <v>39037209</v>
      </c>
      <c r="J119" s="53"/>
      <c r="K119" s="53">
        <f t="shared" si="17"/>
        <v>3034536</v>
      </c>
      <c r="L119" s="53"/>
      <c r="M119" s="53">
        <v>30748368</v>
      </c>
      <c r="N119" s="53"/>
      <c r="O119" s="53">
        <v>33782904</v>
      </c>
      <c r="P119" s="53"/>
      <c r="Q119" s="53">
        <v>202326</v>
      </c>
      <c r="R119" s="53"/>
      <c r="S119" s="53">
        <v>0</v>
      </c>
      <c r="T119" s="53"/>
      <c r="U119" s="53">
        <v>5051979</v>
      </c>
      <c r="V119" s="53"/>
      <c r="W119" s="53">
        <f t="shared" si="24"/>
        <v>5254305</v>
      </c>
      <c r="X119" s="53"/>
      <c r="Y119" s="35" t="s">
        <v>146</v>
      </c>
      <c r="AA119" s="35" t="s">
        <v>147</v>
      </c>
      <c r="AB119" s="35"/>
      <c r="AC119" s="53">
        <v>2386943</v>
      </c>
      <c r="AD119" s="53"/>
      <c r="AE119" s="53">
        <v>1143430</v>
      </c>
      <c r="AF119" s="53"/>
      <c r="AG119" s="53">
        <v>279913</v>
      </c>
      <c r="AH119" s="53"/>
      <c r="AI119" s="45">
        <f t="shared" si="19"/>
        <v>963600</v>
      </c>
      <c r="AJ119" s="45"/>
      <c r="AK119" s="53">
        <v>-188186</v>
      </c>
      <c r="AL119" s="45"/>
      <c r="AM119" s="53">
        <v>92008</v>
      </c>
      <c r="AN119" s="53"/>
      <c r="AO119" s="53">
        <v>-66000</v>
      </c>
      <c r="AP119" s="53"/>
      <c r="AQ119" s="53">
        <v>0</v>
      </c>
      <c r="AR119" s="53"/>
      <c r="AS119" s="45">
        <f t="shared" si="20"/>
        <v>933422</v>
      </c>
      <c r="AT119" s="45"/>
      <c r="AU119" s="53">
        <v>0</v>
      </c>
      <c r="AV119" s="53"/>
      <c r="AW119" s="53">
        <v>0</v>
      </c>
      <c r="AX119" s="53"/>
      <c r="AY119" s="53">
        <f t="shared" si="21"/>
        <v>4631605</v>
      </c>
      <c r="AZ119" s="53"/>
      <c r="BA119" s="35" t="s">
        <v>146</v>
      </c>
      <c r="BC119" s="35" t="s">
        <v>147</v>
      </c>
      <c r="BD119" s="53"/>
      <c r="BE119" s="53">
        <v>0</v>
      </c>
      <c r="BF119" s="53"/>
      <c r="BG119" s="53">
        <v>0</v>
      </c>
      <c r="BH119" s="53"/>
      <c r="BI119" s="53">
        <v>30727558</v>
      </c>
      <c r="BJ119" s="53"/>
      <c r="BK119" s="53">
        <v>20810</v>
      </c>
      <c r="BL119" s="53"/>
      <c r="BM119" s="53">
        <f t="shared" si="22"/>
        <v>30748368</v>
      </c>
      <c r="BN119" s="54" t="s">
        <v>347</v>
      </c>
      <c r="BR119" s="51"/>
      <c r="BS119" s="53"/>
      <c r="BT119" s="53"/>
      <c r="BU119" s="53"/>
      <c r="BV119" s="53"/>
      <c r="BW119" s="53"/>
      <c r="BX119" s="45"/>
      <c r="BY119" s="45"/>
      <c r="BZ119" s="53"/>
      <c r="CA119" s="53"/>
      <c r="CB119" s="53"/>
      <c r="CC119" s="53"/>
      <c r="CD119" s="53"/>
      <c r="CE119" s="53"/>
      <c r="CF119" s="35"/>
      <c r="CH119" s="35"/>
      <c r="CI119" s="53"/>
      <c r="CJ119" s="53"/>
      <c r="CK119" s="53"/>
      <c r="CL119" s="53"/>
      <c r="CM119" s="53"/>
      <c r="CN119" s="53"/>
      <c r="CO119" s="53"/>
      <c r="CP119" s="53"/>
      <c r="CQ119" s="53"/>
      <c r="CR119" s="53"/>
      <c r="CS119" s="54"/>
    </row>
    <row r="120" spans="1:104" s="55" customFormat="1" ht="12.75" hidden="1" customHeight="1">
      <c r="A120" s="35" t="s">
        <v>17</v>
      </c>
      <c r="B120" s="51"/>
      <c r="C120" s="35" t="s">
        <v>17</v>
      </c>
      <c r="D120" s="44"/>
      <c r="E120" s="53">
        <f t="shared" si="23"/>
        <v>0</v>
      </c>
      <c r="F120" s="53"/>
      <c r="G120" s="53">
        <v>0</v>
      </c>
      <c r="H120" s="53"/>
      <c r="I120" s="53">
        <v>0</v>
      </c>
      <c r="J120" s="53"/>
      <c r="K120" s="53">
        <f t="shared" si="17"/>
        <v>0</v>
      </c>
      <c r="L120" s="53"/>
      <c r="M120" s="53">
        <v>0</v>
      </c>
      <c r="N120" s="53"/>
      <c r="O120" s="53">
        <v>0</v>
      </c>
      <c r="P120" s="53"/>
      <c r="Q120" s="53">
        <v>0</v>
      </c>
      <c r="R120" s="53"/>
      <c r="S120" s="53">
        <v>0</v>
      </c>
      <c r="T120" s="53"/>
      <c r="U120" s="53">
        <v>0</v>
      </c>
      <c r="V120" s="53"/>
      <c r="W120" s="53">
        <f t="shared" si="24"/>
        <v>0</v>
      </c>
      <c r="X120" s="53"/>
      <c r="Y120" s="35" t="s">
        <v>17</v>
      </c>
      <c r="AA120" s="35" t="s">
        <v>17</v>
      </c>
      <c r="AB120" s="35"/>
      <c r="AC120" s="53">
        <v>0</v>
      </c>
      <c r="AD120" s="53"/>
      <c r="AE120" s="53">
        <v>0</v>
      </c>
      <c r="AF120" s="53"/>
      <c r="AG120" s="53">
        <v>0</v>
      </c>
      <c r="AH120" s="53"/>
      <c r="AI120" s="45">
        <f t="shared" si="19"/>
        <v>0</v>
      </c>
      <c r="AJ120" s="45"/>
      <c r="AK120" s="53">
        <v>0</v>
      </c>
      <c r="AL120" s="45"/>
      <c r="AM120" s="53">
        <v>0</v>
      </c>
      <c r="AN120" s="53"/>
      <c r="AO120" s="53">
        <v>0</v>
      </c>
      <c r="AP120" s="53"/>
      <c r="AQ120" s="53">
        <v>0</v>
      </c>
      <c r="AR120" s="53"/>
      <c r="AS120" s="45">
        <f t="shared" si="20"/>
        <v>0</v>
      </c>
      <c r="AT120" s="45"/>
      <c r="AU120" s="53">
        <v>0</v>
      </c>
      <c r="AV120" s="53"/>
      <c r="AW120" s="53">
        <v>0</v>
      </c>
      <c r="AX120" s="53"/>
      <c r="AY120" s="53">
        <f t="shared" si="21"/>
        <v>0</v>
      </c>
      <c r="AZ120" s="53"/>
      <c r="BA120" s="35" t="s">
        <v>17</v>
      </c>
      <c r="BC120" s="35" t="s">
        <v>17</v>
      </c>
      <c r="BD120" s="53"/>
      <c r="BE120" s="53">
        <v>190890</v>
      </c>
      <c r="BF120" s="53"/>
      <c r="BG120" s="53">
        <f>2670000-8354-180479</f>
        <v>2481167</v>
      </c>
      <c r="BH120" s="53"/>
      <c r="BI120" s="53">
        <v>0</v>
      </c>
      <c r="BJ120" s="53"/>
      <c r="BK120" s="53">
        <v>0</v>
      </c>
      <c r="BL120" s="53"/>
      <c r="BM120" s="53">
        <f t="shared" si="22"/>
        <v>2672057</v>
      </c>
      <c r="BN120" s="54" t="s">
        <v>347</v>
      </c>
      <c r="BR120" s="51"/>
      <c r="BS120" s="53"/>
      <c r="BT120" s="53"/>
      <c r="BU120" s="53"/>
      <c r="BV120" s="53"/>
      <c r="BW120" s="53"/>
      <c r="BX120" s="45"/>
      <c r="BY120" s="45"/>
      <c r="BZ120" s="53"/>
      <c r="CA120" s="53"/>
      <c r="CB120" s="53"/>
      <c r="CC120" s="53"/>
      <c r="CD120" s="53"/>
      <c r="CE120" s="53"/>
      <c r="CF120" s="35"/>
      <c r="CH120" s="35"/>
      <c r="CI120" s="53"/>
      <c r="CJ120" s="53"/>
      <c r="CK120" s="53"/>
      <c r="CL120" s="53"/>
      <c r="CM120" s="53"/>
      <c r="CN120" s="53"/>
      <c r="CO120" s="53"/>
      <c r="CP120" s="53"/>
      <c r="CQ120" s="53"/>
      <c r="CR120" s="53"/>
      <c r="CS120" s="54"/>
    </row>
    <row r="121" spans="1:104" s="55" customFormat="1" ht="12.75" customHeight="1">
      <c r="A121" s="35" t="s">
        <v>148</v>
      </c>
      <c r="B121" s="51"/>
      <c r="C121" s="35" t="s">
        <v>15</v>
      </c>
      <c r="D121" s="44"/>
      <c r="E121" s="53">
        <f t="shared" si="23"/>
        <v>1288809</v>
      </c>
      <c r="F121" s="53"/>
      <c r="G121" s="53">
        <v>3317460</v>
      </c>
      <c r="H121" s="53"/>
      <c r="I121" s="53">
        <v>4606269</v>
      </c>
      <c r="J121" s="53"/>
      <c r="K121" s="53">
        <f t="shared" si="17"/>
        <v>323788</v>
      </c>
      <c r="L121" s="53"/>
      <c r="M121" s="53">
        <v>1514706</v>
      </c>
      <c r="N121" s="53"/>
      <c r="O121" s="53">
        <v>1838494</v>
      </c>
      <c r="P121" s="53"/>
      <c r="Q121" s="53">
        <v>1567237</v>
      </c>
      <c r="R121" s="53"/>
      <c r="S121" s="53">
        <v>0</v>
      </c>
      <c r="T121" s="53"/>
      <c r="U121" s="53">
        <v>1200538</v>
      </c>
      <c r="V121" s="53"/>
      <c r="W121" s="53">
        <f t="shared" si="24"/>
        <v>2767775</v>
      </c>
      <c r="X121" s="53"/>
      <c r="Y121" s="35" t="s">
        <v>148</v>
      </c>
      <c r="AA121" s="35" t="s">
        <v>15</v>
      </c>
      <c r="AB121" s="35"/>
      <c r="AC121" s="53">
        <v>936872</v>
      </c>
      <c r="AD121" s="53"/>
      <c r="AE121" s="53">
        <f>842956-147424</f>
        <v>695532</v>
      </c>
      <c r="AF121" s="53"/>
      <c r="AG121" s="53">
        <v>147424</v>
      </c>
      <c r="AH121" s="53"/>
      <c r="AI121" s="45">
        <f t="shared" si="19"/>
        <v>93916</v>
      </c>
      <c r="AJ121" s="45"/>
      <c r="AK121" s="53">
        <v>391945</v>
      </c>
      <c r="AL121" s="45"/>
      <c r="AM121" s="53">
        <v>0</v>
      </c>
      <c r="AN121" s="53"/>
      <c r="AO121" s="53">
        <v>0</v>
      </c>
      <c r="AP121" s="53"/>
      <c r="AQ121" s="53">
        <v>0</v>
      </c>
      <c r="AR121" s="53"/>
      <c r="AS121" s="45">
        <f t="shared" si="20"/>
        <v>485861</v>
      </c>
      <c r="AT121" s="45"/>
      <c r="AU121" s="53">
        <v>0</v>
      </c>
      <c r="AV121" s="53"/>
      <c r="AW121" s="53">
        <v>0</v>
      </c>
      <c r="AX121" s="53"/>
      <c r="AY121" s="53">
        <f t="shared" si="21"/>
        <v>965021</v>
      </c>
      <c r="AZ121" s="53"/>
      <c r="BA121" s="35" t="s">
        <v>148</v>
      </c>
      <c r="BC121" s="35" t="s">
        <v>15</v>
      </c>
      <c r="BD121" s="53"/>
      <c r="BE121" s="53">
        <v>3179670</v>
      </c>
      <c r="BF121" s="53"/>
      <c r="BG121" s="53">
        <v>0</v>
      </c>
      <c r="BH121" s="53"/>
      <c r="BI121" s="53">
        <v>0</v>
      </c>
      <c r="BJ121" s="53"/>
      <c r="BK121" s="53">
        <v>0</v>
      </c>
      <c r="BL121" s="53"/>
      <c r="BM121" s="53">
        <f t="shared" si="22"/>
        <v>3179670</v>
      </c>
      <c r="BN121" s="54" t="s">
        <v>347</v>
      </c>
      <c r="BR121" s="51"/>
      <c r="BS121" s="53"/>
      <c r="BT121" s="53"/>
      <c r="BU121" s="53"/>
      <c r="BV121" s="53"/>
      <c r="BW121" s="53"/>
      <c r="BX121" s="45"/>
      <c r="BY121" s="45"/>
      <c r="BZ121" s="53"/>
      <c r="CA121" s="53"/>
      <c r="CB121" s="53"/>
      <c r="CC121" s="53"/>
      <c r="CD121" s="53"/>
      <c r="CE121" s="53"/>
      <c r="CF121" s="35"/>
      <c r="CH121" s="35"/>
      <c r="CI121" s="53"/>
      <c r="CJ121" s="53"/>
      <c r="CK121" s="53"/>
      <c r="CL121" s="53"/>
      <c r="CM121" s="53"/>
      <c r="CN121" s="53"/>
      <c r="CO121" s="53"/>
      <c r="CP121" s="53"/>
      <c r="CQ121" s="53"/>
      <c r="CR121" s="53"/>
      <c r="CS121" s="54"/>
    </row>
    <row r="122" spans="1:104" s="55" customFormat="1" ht="12.75" customHeight="1">
      <c r="A122" s="35" t="s">
        <v>149</v>
      </c>
      <c r="B122" s="51"/>
      <c r="C122" s="35" t="s">
        <v>45</v>
      </c>
      <c r="D122" s="44"/>
      <c r="E122" s="53">
        <f t="shared" si="23"/>
        <v>792087</v>
      </c>
      <c r="F122" s="53"/>
      <c r="G122" s="53">
        <f>63118+1503530</f>
        <v>1566648</v>
      </c>
      <c r="H122" s="53"/>
      <c r="I122" s="53">
        <v>2358735</v>
      </c>
      <c r="J122" s="53"/>
      <c r="K122" s="53">
        <f t="shared" si="17"/>
        <v>2959</v>
      </c>
      <c r="L122" s="53"/>
      <c r="M122" s="53">
        <f>19135+3169</f>
        <v>22304</v>
      </c>
      <c r="N122" s="53"/>
      <c r="O122" s="53">
        <v>25263</v>
      </c>
      <c r="P122" s="53"/>
      <c r="Q122" s="53">
        <v>1563479</v>
      </c>
      <c r="R122" s="53"/>
      <c r="S122" s="53">
        <v>0</v>
      </c>
      <c r="T122" s="53"/>
      <c r="U122" s="53">
        <v>769993</v>
      </c>
      <c r="V122" s="53"/>
      <c r="W122" s="53">
        <f t="shared" si="24"/>
        <v>2333472</v>
      </c>
      <c r="X122" s="53"/>
      <c r="Y122" s="35" t="s">
        <v>149</v>
      </c>
      <c r="AA122" s="35" t="s">
        <v>45</v>
      </c>
      <c r="AB122" s="35"/>
      <c r="AC122" s="53">
        <v>2143691</v>
      </c>
      <c r="AD122" s="53"/>
      <c r="AE122" s="53">
        <f>2047807-67173</f>
        <v>1980634</v>
      </c>
      <c r="AF122" s="53"/>
      <c r="AG122" s="53">
        <v>67173</v>
      </c>
      <c r="AH122" s="53"/>
      <c r="AI122" s="45">
        <f t="shared" si="19"/>
        <v>95884</v>
      </c>
      <c r="AJ122" s="45"/>
      <c r="AK122" s="53">
        <v>-876</v>
      </c>
      <c r="AL122" s="45"/>
      <c r="AM122" s="53">
        <v>0</v>
      </c>
      <c r="AN122" s="53"/>
      <c r="AO122" s="53">
        <v>0</v>
      </c>
      <c r="AP122" s="53"/>
      <c r="AQ122" s="53">
        <v>0</v>
      </c>
      <c r="AR122" s="53"/>
      <c r="AS122" s="45">
        <f t="shared" si="20"/>
        <v>95008</v>
      </c>
      <c r="AT122" s="45"/>
      <c r="AU122" s="53">
        <v>0</v>
      </c>
      <c r="AV122" s="53"/>
      <c r="AW122" s="53">
        <v>0</v>
      </c>
      <c r="AX122" s="53"/>
      <c r="AY122" s="53">
        <f t="shared" si="21"/>
        <v>789128</v>
      </c>
      <c r="AZ122" s="53"/>
      <c r="BA122" s="35" t="s">
        <v>149</v>
      </c>
      <c r="BC122" s="35" t="s">
        <v>45</v>
      </c>
      <c r="BD122" s="53"/>
      <c r="BE122" s="53">
        <f>3015000-1630000</f>
        <v>1385000</v>
      </c>
      <c r="BF122" s="53"/>
      <c r="BG122" s="53">
        <v>0</v>
      </c>
      <c r="BH122" s="53"/>
      <c r="BI122" s="53">
        <v>0</v>
      </c>
      <c r="BJ122" s="53"/>
      <c r="BK122" s="53">
        <v>0</v>
      </c>
      <c r="BL122" s="53"/>
      <c r="BM122" s="53">
        <f t="shared" si="22"/>
        <v>1385000</v>
      </c>
      <c r="BN122" s="54" t="s">
        <v>347</v>
      </c>
      <c r="BR122" s="51"/>
      <c r="BS122" s="53"/>
      <c r="BT122" s="53"/>
      <c r="BU122" s="53"/>
      <c r="BV122" s="53"/>
      <c r="BW122" s="45"/>
      <c r="BX122" s="45"/>
      <c r="BY122" s="53"/>
      <c r="BZ122" s="53"/>
      <c r="CA122" s="53"/>
      <c r="CB122" s="53"/>
      <c r="CC122" s="53"/>
      <c r="CD122" s="53"/>
      <c r="CE122" s="53"/>
      <c r="CF122" s="35"/>
      <c r="CH122" s="35"/>
      <c r="CI122" s="53"/>
      <c r="CJ122" s="53"/>
      <c r="CK122" s="53"/>
      <c r="CL122" s="53"/>
      <c r="CM122" s="53"/>
      <c r="CN122" s="53"/>
      <c r="CO122" s="53"/>
      <c r="CP122" s="53"/>
      <c r="CQ122" s="53"/>
      <c r="CR122" s="53"/>
      <c r="CS122" s="54"/>
    </row>
    <row r="123" spans="1:104" s="159" customFormat="1" ht="12.75" hidden="1" customHeight="1">
      <c r="A123" s="142" t="s">
        <v>150</v>
      </c>
      <c r="B123" s="140"/>
      <c r="C123" s="142" t="s">
        <v>27</v>
      </c>
      <c r="D123" s="137"/>
      <c r="E123" s="156">
        <f t="shared" si="23"/>
        <v>0</v>
      </c>
      <c r="F123" s="156"/>
      <c r="G123" s="156">
        <v>0</v>
      </c>
      <c r="H123" s="156"/>
      <c r="I123" s="156">
        <v>0</v>
      </c>
      <c r="J123" s="156"/>
      <c r="K123" s="156">
        <f t="shared" si="17"/>
        <v>0</v>
      </c>
      <c r="L123" s="156"/>
      <c r="M123" s="156">
        <v>0</v>
      </c>
      <c r="N123" s="156"/>
      <c r="O123" s="156">
        <v>0</v>
      </c>
      <c r="P123" s="156"/>
      <c r="Q123" s="156">
        <v>0</v>
      </c>
      <c r="R123" s="156"/>
      <c r="S123" s="156">
        <v>0</v>
      </c>
      <c r="T123" s="156"/>
      <c r="U123" s="156">
        <v>0</v>
      </c>
      <c r="V123" s="156"/>
      <c r="W123" s="156">
        <f t="shared" si="24"/>
        <v>0</v>
      </c>
      <c r="X123" s="156"/>
      <c r="Y123" s="142" t="s">
        <v>150</v>
      </c>
      <c r="AA123" s="142" t="s">
        <v>27</v>
      </c>
      <c r="AB123" s="142"/>
      <c r="AC123" s="156">
        <v>0</v>
      </c>
      <c r="AD123" s="156"/>
      <c r="AE123" s="156">
        <v>0</v>
      </c>
      <c r="AF123" s="156"/>
      <c r="AG123" s="156">
        <v>0</v>
      </c>
      <c r="AH123" s="156"/>
      <c r="AI123" s="143">
        <f t="shared" si="19"/>
        <v>0</v>
      </c>
      <c r="AJ123" s="143"/>
      <c r="AK123" s="156">
        <v>0</v>
      </c>
      <c r="AL123" s="143"/>
      <c r="AM123" s="156">
        <v>0</v>
      </c>
      <c r="AN123" s="156"/>
      <c r="AO123" s="156">
        <v>0</v>
      </c>
      <c r="AP123" s="156"/>
      <c r="AQ123" s="156">
        <v>0</v>
      </c>
      <c r="AR123" s="156"/>
      <c r="AS123" s="143">
        <f t="shared" si="20"/>
        <v>0</v>
      </c>
      <c r="AT123" s="143"/>
      <c r="AU123" s="156">
        <v>0</v>
      </c>
      <c r="AV123" s="156"/>
      <c r="AW123" s="156">
        <v>0</v>
      </c>
      <c r="AX123" s="156"/>
      <c r="AY123" s="156">
        <f t="shared" si="21"/>
        <v>0</v>
      </c>
      <c r="AZ123" s="156"/>
      <c r="BA123" s="142" t="s">
        <v>150</v>
      </c>
      <c r="BC123" s="142" t="s">
        <v>27</v>
      </c>
      <c r="BD123" s="156"/>
      <c r="BE123" s="156">
        <v>0</v>
      </c>
      <c r="BF123" s="156"/>
      <c r="BG123" s="156">
        <v>0</v>
      </c>
      <c r="BH123" s="156"/>
      <c r="BI123" s="156">
        <v>0</v>
      </c>
      <c r="BJ123" s="156"/>
      <c r="BK123" s="156">
        <v>0</v>
      </c>
      <c r="BL123" s="156"/>
      <c r="BM123" s="156">
        <f t="shared" si="22"/>
        <v>0</v>
      </c>
      <c r="BN123" s="158" t="s">
        <v>347</v>
      </c>
      <c r="BO123" s="142"/>
      <c r="BR123" s="140"/>
      <c r="BS123" s="156"/>
      <c r="BT123" s="156"/>
      <c r="BU123" s="156"/>
      <c r="BV123" s="156"/>
      <c r="BW123" s="143"/>
      <c r="BX123" s="143"/>
      <c r="BY123" s="156"/>
      <c r="BZ123" s="156"/>
      <c r="CA123" s="156"/>
      <c r="CB123" s="156"/>
      <c r="CC123" s="156"/>
      <c r="CD123" s="156"/>
      <c r="CE123" s="156"/>
      <c r="CF123" s="142"/>
      <c r="CH123" s="142"/>
      <c r="CI123" s="156"/>
      <c r="CJ123" s="156"/>
      <c r="CK123" s="156"/>
      <c r="CL123" s="156"/>
      <c r="CM123" s="156"/>
      <c r="CN123" s="156"/>
      <c r="CO123" s="156"/>
      <c r="CP123" s="156"/>
      <c r="CQ123" s="156"/>
      <c r="CR123" s="156"/>
      <c r="CS123" s="158"/>
      <c r="CT123" s="142"/>
    </row>
    <row r="124" spans="1:104" s="159" customFormat="1" ht="12.75" hidden="1" customHeight="1">
      <c r="A124" s="142" t="s">
        <v>151</v>
      </c>
      <c r="B124" s="140"/>
      <c r="C124" s="142" t="s">
        <v>13</v>
      </c>
      <c r="D124" s="137"/>
      <c r="E124" s="156">
        <f t="shared" ref="E124:E143" si="25">I124-G124</f>
        <v>0</v>
      </c>
      <c r="F124" s="156"/>
      <c r="G124" s="156">
        <v>0</v>
      </c>
      <c r="H124" s="156"/>
      <c r="I124" s="156">
        <v>0</v>
      </c>
      <c r="J124" s="156"/>
      <c r="K124" s="156">
        <f t="shared" si="17"/>
        <v>0</v>
      </c>
      <c r="L124" s="156"/>
      <c r="M124" s="156">
        <v>0</v>
      </c>
      <c r="N124" s="156"/>
      <c r="O124" s="156">
        <v>0</v>
      </c>
      <c r="P124" s="156"/>
      <c r="Q124" s="156">
        <v>0</v>
      </c>
      <c r="R124" s="156"/>
      <c r="S124" s="156">
        <v>0</v>
      </c>
      <c r="T124" s="156"/>
      <c r="U124" s="156">
        <v>0</v>
      </c>
      <c r="V124" s="156"/>
      <c r="W124" s="156">
        <f t="shared" si="24"/>
        <v>0</v>
      </c>
      <c r="X124" s="156"/>
      <c r="Y124" s="142" t="s">
        <v>151</v>
      </c>
      <c r="AA124" s="142" t="s">
        <v>13</v>
      </c>
      <c r="AB124" s="142"/>
      <c r="AC124" s="156">
        <v>0</v>
      </c>
      <c r="AD124" s="156"/>
      <c r="AE124" s="156">
        <v>0</v>
      </c>
      <c r="AF124" s="156"/>
      <c r="AG124" s="156">
        <v>0</v>
      </c>
      <c r="AH124" s="156"/>
      <c r="AI124" s="143">
        <f t="shared" si="19"/>
        <v>0</v>
      </c>
      <c r="AJ124" s="143"/>
      <c r="AK124" s="156">
        <v>0</v>
      </c>
      <c r="AL124" s="143"/>
      <c r="AM124" s="156">
        <v>0</v>
      </c>
      <c r="AN124" s="156"/>
      <c r="AO124" s="156">
        <v>0</v>
      </c>
      <c r="AP124" s="156"/>
      <c r="AQ124" s="156">
        <v>0</v>
      </c>
      <c r="AR124" s="156"/>
      <c r="AS124" s="143">
        <f t="shared" si="20"/>
        <v>0</v>
      </c>
      <c r="AT124" s="143"/>
      <c r="AU124" s="156">
        <v>0</v>
      </c>
      <c r="AV124" s="156"/>
      <c r="AW124" s="156">
        <v>0</v>
      </c>
      <c r="AX124" s="156"/>
      <c r="AY124" s="156">
        <f t="shared" si="21"/>
        <v>0</v>
      </c>
      <c r="AZ124" s="156"/>
      <c r="BA124" s="142" t="s">
        <v>151</v>
      </c>
      <c r="BC124" s="142" t="s">
        <v>13</v>
      </c>
      <c r="BD124" s="156"/>
      <c r="BE124" s="156">
        <v>0</v>
      </c>
      <c r="BF124" s="156"/>
      <c r="BG124" s="156">
        <v>0</v>
      </c>
      <c r="BH124" s="156"/>
      <c r="BI124" s="156">
        <v>0</v>
      </c>
      <c r="BJ124" s="156"/>
      <c r="BK124" s="156">
        <v>0</v>
      </c>
      <c r="BL124" s="156"/>
      <c r="BM124" s="156">
        <f t="shared" si="22"/>
        <v>0</v>
      </c>
      <c r="BN124" s="158" t="s">
        <v>347</v>
      </c>
      <c r="BR124" s="140"/>
      <c r="BS124" s="156"/>
      <c r="BT124" s="156"/>
      <c r="BU124" s="156"/>
      <c r="BV124" s="156"/>
      <c r="BW124" s="156"/>
      <c r="BX124" s="143"/>
      <c r="BY124" s="143"/>
      <c r="BZ124" s="156"/>
      <c r="CA124" s="156"/>
      <c r="CB124" s="156"/>
      <c r="CC124" s="156"/>
      <c r="CD124" s="156"/>
      <c r="CE124" s="156"/>
      <c r="CF124" s="142"/>
      <c r="CH124" s="142"/>
      <c r="CI124" s="156"/>
      <c r="CJ124" s="156"/>
      <c r="CK124" s="156"/>
      <c r="CL124" s="156"/>
      <c r="CM124" s="156"/>
      <c r="CN124" s="156"/>
      <c r="CO124" s="156"/>
      <c r="CP124" s="156"/>
      <c r="CQ124" s="156"/>
      <c r="CR124" s="156"/>
      <c r="CS124" s="158"/>
    </row>
    <row r="125" spans="1:104" s="55" customFormat="1" ht="12.75" customHeight="1">
      <c r="A125" s="35" t="s">
        <v>152</v>
      </c>
      <c r="B125" s="51"/>
      <c r="C125" s="35" t="s">
        <v>153</v>
      </c>
      <c r="D125" s="44"/>
      <c r="E125" s="53">
        <f t="shared" si="25"/>
        <v>12992194</v>
      </c>
      <c r="F125" s="53"/>
      <c r="G125" s="53">
        <v>28392702</v>
      </c>
      <c r="H125" s="53"/>
      <c r="I125" s="53">
        <v>41384896</v>
      </c>
      <c r="J125" s="53"/>
      <c r="K125" s="53">
        <f t="shared" si="17"/>
        <v>621338</v>
      </c>
      <c r="L125" s="53"/>
      <c r="M125" s="53">
        <v>2465927</v>
      </c>
      <c r="N125" s="53"/>
      <c r="O125" s="53">
        <v>3087265</v>
      </c>
      <c r="P125" s="53"/>
      <c r="Q125" s="53">
        <v>26327702</v>
      </c>
      <c r="R125" s="53"/>
      <c r="S125" s="53">
        <v>3979276</v>
      </c>
      <c r="T125" s="53"/>
      <c r="U125" s="53">
        <v>7990653</v>
      </c>
      <c r="V125" s="53"/>
      <c r="W125" s="53">
        <f t="shared" si="24"/>
        <v>38297631</v>
      </c>
      <c r="X125" s="53"/>
      <c r="Y125" s="35" t="s">
        <v>152</v>
      </c>
      <c r="AA125" s="35" t="s">
        <v>153</v>
      </c>
      <c r="AB125" s="35"/>
      <c r="AC125" s="53">
        <v>8481960</v>
      </c>
      <c r="AD125" s="53"/>
      <c r="AE125" s="53">
        <v>5951405</v>
      </c>
      <c r="AF125" s="53"/>
      <c r="AG125" s="53">
        <v>1862552</v>
      </c>
      <c r="AH125" s="53"/>
      <c r="AI125" s="45">
        <f t="shared" si="19"/>
        <v>668003</v>
      </c>
      <c r="AJ125" s="45"/>
      <c r="AK125" s="53">
        <v>-97731</v>
      </c>
      <c r="AL125" s="45"/>
      <c r="AM125" s="53">
        <v>0</v>
      </c>
      <c r="AN125" s="53"/>
      <c r="AO125" s="53">
        <v>0</v>
      </c>
      <c r="AP125" s="53"/>
      <c r="AQ125" s="53">
        <v>585755</v>
      </c>
      <c r="AR125" s="53"/>
      <c r="AS125" s="45">
        <f t="shared" si="20"/>
        <v>1156027</v>
      </c>
      <c r="AT125" s="45"/>
      <c r="AU125" s="53">
        <v>0</v>
      </c>
      <c r="AV125" s="53"/>
      <c r="AW125" s="53">
        <v>0</v>
      </c>
      <c r="AX125" s="53"/>
      <c r="AY125" s="53">
        <f t="shared" si="21"/>
        <v>12370856</v>
      </c>
      <c r="AZ125" s="53"/>
      <c r="BA125" s="35" t="s">
        <v>152</v>
      </c>
      <c r="BC125" s="35" t="s">
        <v>153</v>
      </c>
      <c r="BD125" s="53"/>
      <c r="BE125" s="53">
        <v>0</v>
      </c>
      <c r="BF125" s="53"/>
      <c r="BG125" s="53">
        <v>0</v>
      </c>
      <c r="BH125" s="53"/>
      <c r="BI125" s="53">
        <v>2065000</v>
      </c>
      <c r="BJ125" s="53"/>
      <c r="BK125" s="53">
        <v>400927</v>
      </c>
      <c r="BL125" s="53"/>
      <c r="BM125" s="53">
        <f t="shared" si="22"/>
        <v>2465927</v>
      </c>
      <c r="BN125" s="54" t="s">
        <v>347</v>
      </c>
      <c r="BO125" s="55" t="s">
        <v>405</v>
      </c>
      <c r="BP125" s="35"/>
      <c r="BQ125" s="35"/>
      <c r="BR125" s="51"/>
      <c r="BS125" s="53"/>
      <c r="BT125" s="53"/>
      <c r="BU125" s="53"/>
      <c r="BV125" s="53"/>
      <c r="BW125" s="45"/>
      <c r="BX125" s="45"/>
      <c r="BY125" s="53"/>
      <c r="BZ125" s="53"/>
      <c r="CA125" s="53"/>
      <c r="CB125" s="53"/>
      <c r="CC125" s="53"/>
      <c r="CD125" s="53"/>
      <c r="CE125" s="53"/>
      <c r="CF125" s="35"/>
      <c r="CH125" s="35"/>
      <c r="CI125" s="53"/>
      <c r="CJ125" s="53"/>
      <c r="CK125" s="53"/>
      <c r="CL125" s="53"/>
      <c r="CM125" s="53"/>
      <c r="CN125" s="53"/>
      <c r="CO125" s="53"/>
      <c r="CP125" s="53"/>
      <c r="CQ125" s="53"/>
      <c r="CR125" s="53"/>
      <c r="CS125" s="54"/>
      <c r="CU125" s="35"/>
      <c r="CV125" s="35"/>
      <c r="CW125" s="35"/>
      <c r="CX125" s="35"/>
      <c r="CY125" s="35"/>
      <c r="CZ125" s="35"/>
    </row>
    <row r="126" spans="1:104" s="159" customFormat="1" ht="12.75" hidden="1" customHeight="1">
      <c r="A126" s="142" t="s">
        <v>154</v>
      </c>
      <c r="B126" s="140"/>
      <c r="C126" s="142" t="s">
        <v>27</v>
      </c>
      <c r="D126" s="137"/>
      <c r="E126" s="156">
        <f t="shared" si="25"/>
        <v>0</v>
      </c>
      <c r="F126" s="156"/>
      <c r="G126" s="156"/>
      <c r="H126" s="156"/>
      <c r="I126" s="156"/>
      <c r="J126" s="156"/>
      <c r="K126" s="156">
        <f t="shared" si="17"/>
        <v>0</v>
      </c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>
        <f t="shared" si="24"/>
        <v>0</v>
      </c>
      <c r="X126" s="156"/>
      <c r="Y126" s="142" t="s">
        <v>154</v>
      </c>
      <c r="AA126" s="142" t="s">
        <v>27</v>
      </c>
      <c r="AB126" s="142"/>
      <c r="AC126" s="156"/>
      <c r="AD126" s="156"/>
      <c r="AE126" s="156"/>
      <c r="AF126" s="156"/>
      <c r="AG126" s="156"/>
      <c r="AH126" s="156"/>
      <c r="AI126" s="143">
        <f t="shared" si="19"/>
        <v>0</v>
      </c>
      <c r="AJ126" s="143"/>
      <c r="AK126" s="156"/>
      <c r="AL126" s="143"/>
      <c r="AM126" s="156"/>
      <c r="AN126" s="156"/>
      <c r="AO126" s="156"/>
      <c r="AP126" s="156"/>
      <c r="AQ126" s="156"/>
      <c r="AR126" s="156"/>
      <c r="AS126" s="143">
        <f t="shared" si="20"/>
        <v>0</v>
      </c>
      <c r="AT126" s="143"/>
      <c r="AU126" s="156">
        <v>0</v>
      </c>
      <c r="AV126" s="156"/>
      <c r="AW126" s="156">
        <v>0</v>
      </c>
      <c r="AX126" s="156"/>
      <c r="AY126" s="156">
        <f t="shared" si="21"/>
        <v>0</v>
      </c>
      <c r="AZ126" s="156"/>
      <c r="BA126" s="142" t="s">
        <v>154</v>
      </c>
      <c r="BC126" s="142" t="s">
        <v>27</v>
      </c>
      <c r="BD126" s="156"/>
      <c r="BE126" s="156"/>
      <c r="BF126" s="156"/>
      <c r="BG126" s="156"/>
      <c r="BH126" s="156"/>
      <c r="BI126" s="156"/>
      <c r="BJ126" s="156"/>
      <c r="BK126" s="156"/>
      <c r="BL126" s="156"/>
      <c r="BM126" s="156">
        <f t="shared" si="22"/>
        <v>0</v>
      </c>
      <c r="BN126" s="158" t="s">
        <v>347</v>
      </c>
      <c r="BR126" s="140"/>
      <c r="BS126" s="156"/>
      <c r="BT126" s="156"/>
      <c r="BU126" s="156"/>
      <c r="BV126" s="156"/>
      <c r="BW126" s="143"/>
      <c r="BX126" s="143"/>
      <c r="BY126" s="156"/>
      <c r="BZ126" s="156"/>
      <c r="CA126" s="156"/>
      <c r="CB126" s="156"/>
      <c r="CC126" s="156"/>
      <c r="CD126" s="156"/>
      <c r="CE126" s="156"/>
      <c r="CF126" s="142"/>
      <c r="CH126" s="142"/>
      <c r="CI126" s="156"/>
      <c r="CJ126" s="156"/>
      <c r="CK126" s="156"/>
      <c r="CL126" s="156"/>
      <c r="CM126" s="156"/>
      <c r="CN126" s="156"/>
      <c r="CO126" s="156"/>
      <c r="CP126" s="156"/>
      <c r="CQ126" s="156"/>
      <c r="CR126" s="156"/>
      <c r="CS126" s="158"/>
    </row>
    <row r="127" spans="1:104" s="55" customFormat="1" ht="12.75" customHeight="1">
      <c r="A127" s="35" t="s">
        <v>155</v>
      </c>
      <c r="C127" s="35" t="s">
        <v>40</v>
      </c>
      <c r="D127" s="44"/>
      <c r="E127" s="53">
        <f t="shared" si="25"/>
        <v>2704594</v>
      </c>
      <c r="F127" s="53"/>
      <c r="G127" s="53">
        <v>7128280</v>
      </c>
      <c r="H127" s="53"/>
      <c r="I127" s="53">
        <v>9832874</v>
      </c>
      <c r="J127" s="53"/>
      <c r="K127" s="53">
        <f t="shared" si="17"/>
        <v>245481</v>
      </c>
      <c r="L127" s="53"/>
      <c r="M127" s="53">
        <v>894004</v>
      </c>
      <c r="N127" s="53"/>
      <c r="O127" s="53">
        <v>1139485</v>
      </c>
      <c r="P127" s="53"/>
      <c r="Q127" s="53">
        <v>6351180</v>
      </c>
      <c r="R127" s="53"/>
      <c r="S127" s="53">
        <v>0</v>
      </c>
      <c r="T127" s="53"/>
      <c r="U127" s="53">
        <v>2342209</v>
      </c>
      <c r="V127" s="53"/>
      <c r="W127" s="53">
        <f t="shared" si="24"/>
        <v>8693389</v>
      </c>
      <c r="X127" s="53"/>
      <c r="Y127" s="35" t="s">
        <v>155</v>
      </c>
      <c r="AA127" s="35" t="s">
        <v>40</v>
      </c>
      <c r="AB127" s="35"/>
      <c r="AC127" s="53">
        <v>2522992</v>
      </c>
      <c r="AD127" s="53"/>
      <c r="AE127" s="53">
        <f>239284-524565</f>
        <v>-285281</v>
      </c>
      <c r="AF127" s="53"/>
      <c r="AG127" s="53">
        <v>524565</v>
      </c>
      <c r="AH127" s="53"/>
      <c r="AI127" s="45">
        <f t="shared" si="19"/>
        <v>2283708</v>
      </c>
      <c r="AJ127" s="45"/>
      <c r="AK127" s="53">
        <v>-44732</v>
      </c>
      <c r="AL127" s="45"/>
      <c r="AM127" s="53">
        <v>0</v>
      </c>
      <c r="AN127" s="53"/>
      <c r="AO127" s="53">
        <v>0</v>
      </c>
      <c r="AP127" s="53"/>
      <c r="AQ127" s="53">
        <v>0</v>
      </c>
      <c r="AR127" s="53"/>
      <c r="AS127" s="45">
        <f t="shared" si="20"/>
        <v>2238976</v>
      </c>
      <c r="AT127" s="45"/>
      <c r="AU127" s="53">
        <v>0</v>
      </c>
      <c r="AV127" s="53"/>
      <c r="AW127" s="53">
        <v>0</v>
      </c>
      <c r="AX127" s="53"/>
      <c r="AY127" s="53">
        <f t="shared" si="21"/>
        <v>2459113</v>
      </c>
      <c r="AZ127" s="53"/>
      <c r="BA127" s="35" t="s">
        <v>155</v>
      </c>
      <c r="BC127" s="35" t="s">
        <v>40</v>
      </c>
      <c r="BD127" s="53"/>
      <c r="BE127" s="53">
        <v>0</v>
      </c>
      <c r="BF127" s="53"/>
      <c r="BG127" s="53">
        <v>0</v>
      </c>
      <c r="BH127" s="53"/>
      <c r="BI127" s="53">
        <f>51997+383682+341421</f>
        <v>777100</v>
      </c>
      <c r="BJ127" s="53"/>
      <c r="BK127" s="53">
        <v>234236</v>
      </c>
      <c r="BL127" s="53"/>
      <c r="BM127" s="53">
        <f t="shared" si="22"/>
        <v>1011336</v>
      </c>
      <c r="BN127" s="54" t="s">
        <v>347</v>
      </c>
      <c r="BO127" s="55" t="s">
        <v>406</v>
      </c>
      <c r="BR127" s="51"/>
      <c r="BS127" s="53"/>
      <c r="BT127" s="53"/>
      <c r="BU127" s="53"/>
      <c r="BV127" s="53"/>
      <c r="BW127" s="53"/>
      <c r="BX127" s="45"/>
      <c r="BY127" s="45"/>
      <c r="BZ127" s="53"/>
      <c r="CA127" s="53"/>
      <c r="CB127" s="53"/>
      <c r="CC127" s="53"/>
      <c r="CD127" s="53"/>
      <c r="CE127" s="53"/>
      <c r="CF127" s="35"/>
      <c r="CH127" s="35"/>
      <c r="CI127" s="53"/>
      <c r="CJ127" s="53"/>
      <c r="CK127" s="53"/>
      <c r="CL127" s="53"/>
      <c r="CM127" s="53"/>
      <c r="CN127" s="53"/>
      <c r="CO127" s="53"/>
      <c r="CP127" s="53"/>
      <c r="CQ127" s="53"/>
      <c r="CR127" s="53"/>
      <c r="CS127" s="54"/>
    </row>
    <row r="128" spans="1:104" s="55" customFormat="1" ht="12.75" customHeight="1">
      <c r="A128" s="35" t="s">
        <v>156</v>
      </c>
      <c r="B128" s="51"/>
      <c r="C128" s="35" t="s">
        <v>156</v>
      </c>
      <c r="D128" s="44"/>
      <c r="E128" s="53">
        <f t="shared" si="25"/>
        <v>5538175</v>
      </c>
      <c r="F128" s="53"/>
      <c r="G128" s="53">
        <v>26504763</v>
      </c>
      <c r="H128" s="53"/>
      <c r="I128" s="53">
        <v>32042938</v>
      </c>
      <c r="J128" s="53"/>
      <c r="K128" s="53">
        <f t="shared" si="17"/>
        <v>3724218</v>
      </c>
      <c r="L128" s="53"/>
      <c r="M128" s="53">
        <v>24822678</v>
      </c>
      <c r="N128" s="53"/>
      <c r="O128" s="53">
        <v>28546896</v>
      </c>
      <c r="P128" s="53"/>
      <c r="Q128" s="53">
        <v>2628679</v>
      </c>
      <c r="R128" s="53"/>
      <c r="S128" s="53">
        <v>0</v>
      </c>
      <c r="T128" s="53"/>
      <c r="U128" s="53">
        <v>867363</v>
      </c>
      <c r="V128" s="53"/>
      <c r="W128" s="53">
        <f t="shared" si="24"/>
        <v>3496042</v>
      </c>
      <c r="X128" s="53"/>
      <c r="Y128" s="35" t="s">
        <v>156</v>
      </c>
      <c r="AA128" s="35" t="s">
        <v>156</v>
      </c>
      <c r="AB128" s="35"/>
      <c r="AC128" s="53">
        <v>6010026</v>
      </c>
      <c r="AD128" s="53"/>
      <c r="AE128" s="53">
        <v>3324993</v>
      </c>
      <c r="AF128" s="53"/>
      <c r="AG128" s="53">
        <v>1878659</v>
      </c>
      <c r="AH128" s="53"/>
      <c r="AI128" s="45">
        <f t="shared" si="19"/>
        <v>806374</v>
      </c>
      <c r="AJ128" s="45"/>
      <c r="AK128" s="53">
        <v>-594702</v>
      </c>
      <c r="AL128" s="45"/>
      <c r="AM128" s="53">
        <v>0</v>
      </c>
      <c r="AN128" s="53"/>
      <c r="AO128" s="53">
        <v>0</v>
      </c>
      <c r="AP128" s="53"/>
      <c r="AQ128" s="53">
        <v>0</v>
      </c>
      <c r="AR128" s="53"/>
      <c r="AS128" s="45">
        <f t="shared" si="20"/>
        <v>211672</v>
      </c>
      <c r="AT128" s="45"/>
      <c r="AU128" s="53">
        <v>0</v>
      </c>
      <c r="AV128" s="53"/>
      <c r="AW128" s="53">
        <v>0</v>
      </c>
      <c r="AX128" s="53"/>
      <c r="AY128" s="53">
        <f t="shared" si="21"/>
        <v>1813957</v>
      </c>
      <c r="AZ128" s="53"/>
      <c r="BA128" s="35" t="s">
        <v>156</v>
      </c>
      <c r="BC128" s="35" t="s">
        <v>156</v>
      </c>
      <c r="BD128" s="53"/>
      <c r="BE128" s="53">
        <v>1892044</v>
      </c>
      <c r="BF128" s="53"/>
      <c r="BG128" s="53">
        <v>22629619</v>
      </c>
      <c r="BH128" s="53"/>
      <c r="BI128" s="53">
        <v>0</v>
      </c>
      <c r="BJ128" s="53"/>
      <c r="BK128" s="53">
        <v>301015</v>
      </c>
      <c r="BL128" s="53"/>
      <c r="BM128" s="53">
        <f t="shared" si="22"/>
        <v>24822678</v>
      </c>
      <c r="BN128" s="54" t="s">
        <v>347</v>
      </c>
      <c r="BO128" s="35"/>
      <c r="BR128" s="51"/>
      <c r="BS128" s="53"/>
      <c r="BT128" s="53"/>
      <c r="BU128" s="53"/>
      <c r="BV128" s="53"/>
      <c r="BW128" s="45"/>
      <c r="BX128" s="45"/>
      <c r="BY128" s="53"/>
      <c r="BZ128" s="53"/>
      <c r="CA128" s="53"/>
      <c r="CB128" s="53"/>
      <c r="CC128" s="53"/>
      <c r="CD128" s="53"/>
      <c r="CE128" s="53"/>
      <c r="CF128" s="35"/>
      <c r="CH128" s="35"/>
      <c r="CI128" s="53"/>
      <c r="CJ128" s="53"/>
      <c r="CK128" s="53"/>
      <c r="CL128" s="53"/>
      <c r="CM128" s="53"/>
      <c r="CN128" s="53"/>
      <c r="CO128" s="53"/>
      <c r="CP128" s="53"/>
      <c r="CQ128" s="53"/>
      <c r="CR128" s="53"/>
      <c r="CS128" s="54"/>
      <c r="CT128" s="35"/>
    </row>
    <row r="129" spans="1:98" s="55" customFormat="1" ht="12.75" customHeight="1">
      <c r="A129" s="35" t="s">
        <v>157</v>
      </c>
      <c r="B129" s="51"/>
      <c r="C129" s="35" t="s">
        <v>33</v>
      </c>
      <c r="D129" s="44"/>
      <c r="E129" s="53">
        <f t="shared" si="25"/>
        <v>54663</v>
      </c>
      <c r="F129" s="53"/>
      <c r="G129" s="53">
        <v>194676</v>
      </c>
      <c r="H129" s="53"/>
      <c r="I129" s="53">
        <v>249339</v>
      </c>
      <c r="J129" s="53"/>
      <c r="K129" s="53">
        <f t="shared" si="17"/>
        <v>30443</v>
      </c>
      <c r="L129" s="53"/>
      <c r="M129" s="53">
        <v>16694</v>
      </c>
      <c r="N129" s="53"/>
      <c r="O129" s="53">
        <v>47137</v>
      </c>
      <c r="P129" s="53"/>
      <c r="Q129" s="53">
        <v>192661</v>
      </c>
      <c r="R129" s="53"/>
      <c r="S129" s="53">
        <v>0</v>
      </c>
      <c r="T129" s="53"/>
      <c r="U129" s="53">
        <v>9541</v>
      </c>
      <c r="V129" s="53"/>
      <c r="W129" s="53">
        <f t="shared" si="24"/>
        <v>202202</v>
      </c>
      <c r="X129" s="53"/>
      <c r="Y129" s="35" t="s">
        <v>157</v>
      </c>
      <c r="AA129" s="35" t="s">
        <v>33</v>
      </c>
      <c r="AB129" s="35"/>
      <c r="AC129" s="53">
        <v>652699</v>
      </c>
      <c r="AD129" s="53"/>
      <c r="AE129" s="53">
        <v>632324</v>
      </c>
      <c r="AF129" s="53"/>
      <c r="AG129" s="53">
        <v>18011</v>
      </c>
      <c r="AH129" s="53"/>
      <c r="AI129" s="45">
        <f t="shared" si="19"/>
        <v>2364</v>
      </c>
      <c r="AJ129" s="45"/>
      <c r="AK129" s="53">
        <v>0</v>
      </c>
      <c r="AL129" s="45"/>
      <c r="AM129" s="53">
        <v>10000</v>
      </c>
      <c r="AN129" s="53"/>
      <c r="AO129" s="53">
        <v>0</v>
      </c>
      <c r="AP129" s="53"/>
      <c r="AQ129" s="53">
        <v>0</v>
      </c>
      <c r="AR129" s="53"/>
      <c r="AS129" s="45">
        <f t="shared" si="20"/>
        <v>12364</v>
      </c>
      <c r="AT129" s="45"/>
      <c r="AU129" s="53">
        <v>0</v>
      </c>
      <c r="AV129" s="53"/>
      <c r="AW129" s="53">
        <v>0</v>
      </c>
      <c r="AX129" s="53"/>
      <c r="AY129" s="53">
        <f t="shared" si="21"/>
        <v>24220</v>
      </c>
      <c r="AZ129" s="53"/>
      <c r="BA129" s="35" t="s">
        <v>157</v>
      </c>
      <c r="BC129" s="35" t="s">
        <v>33</v>
      </c>
      <c r="BD129" s="53"/>
      <c r="BE129" s="53">
        <v>0</v>
      </c>
      <c r="BF129" s="53"/>
      <c r="BG129" s="53">
        <v>0</v>
      </c>
      <c r="BH129" s="53"/>
      <c r="BI129" s="53">
        <v>0</v>
      </c>
      <c r="BJ129" s="53"/>
      <c r="BK129" s="53">
        <v>16694</v>
      </c>
      <c r="BL129" s="53"/>
      <c r="BM129" s="53">
        <f t="shared" si="22"/>
        <v>16694</v>
      </c>
      <c r="BN129" s="54" t="s">
        <v>347</v>
      </c>
      <c r="BR129" s="51"/>
      <c r="BS129" s="53"/>
      <c r="BT129" s="53"/>
      <c r="BU129" s="53"/>
      <c r="BV129" s="53"/>
      <c r="BW129" s="53"/>
      <c r="BX129" s="45"/>
      <c r="BY129" s="45"/>
      <c r="BZ129" s="53"/>
      <c r="CA129" s="53"/>
      <c r="CB129" s="53"/>
      <c r="CC129" s="53"/>
      <c r="CD129" s="53"/>
      <c r="CE129" s="53"/>
      <c r="CF129" s="35"/>
      <c r="CH129" s="35"/>
      <c r="CI129" s="53"/>
      <c r="CJ129" s="53"/>
      <c r="CK129" s="53"/>
      <c r="CL129" s="53"/>
      <c r="CM129" s="53"/>
      <c r="CN129" s="53"/>
      <c r="CO129" s="53"/>
      <c r="CP129" s="53"/>
      <c r="CQ129" s="53"/>
      <c r="CR129" s="53"/>
      <c r="CS129" s="54"/>
    </row>
    <row r="130" spans="1:98" s="55" customFormat="1" ht="12.75" customHeight="1">
      <c r="A130" s="35" t="s">
        <v>158</v>
      </c>
      <c r="B130" s="51"/>
      <c r="C130" s="35" t="s">
        <v>159</v>
      </c>
      <c r="D130" s="44"/>
      <c r="E130" s="53">
        <f t="shared" si="25"/>
        <v>86495384</v>
      </c>
      <c r="F130" s="53"/>
      <c r="G130" s="53">
        <v>87454869</v>
      </c>
      <c r="H130" s="53"/>
      <c r="I130" s="53">
        <v>173950253</v>
      </c>
      <c r="J130" s="53"/>
      <c r="K130" s="53">
        <f t="shared" si="17"/>
        <v>35611607</v>
      </c>
      <c r="L130" s="53"/>
      <c r="M130" s="53">
        <v>120092231</v>
      </c>
      <c r="N130" s="53"/>
      <c r="O130" s="53">
        <v>155703838</v>
      </c>
      <c r="P130" s="53"/>
      <c r="Q130" s="53">
        <v>7312975</v>
      </c>
      <c r="R130" s="53"/>
      <c r="S130" s="53">
        <v>76137906</v>
      </c>
      <c r="T130" s="53"/>
      <c r="U130" s="53">
        <v>-65204466</v>
      </c>
      <c r="V130" s="53"/>
      <c r="W130" s="53">
        <f t="shared" si="24"/>
        <v>18246415</v>
      </c>
      <c r="X130" s="53"/>
      <c r="Y130" s="35" t="s">
        <v>158</v>
      </c>
      <c r="AA130" s="35" t="s">
        <v>159</v>
      </c>
      <c r="AB130" s="35"/>
      <c r="AC130" s="53">
        <v>8200823</v>
      </c>
      <c r="AD130" s="53"/>
      <c r="AE130" s="53">
        <v>2907984</v>
      </c>
      <c r="AF130" s="53"/>
      <c r="AG130" s="53">
        <v>766954</v>
      </c>
      <c r="AH130" s="53"/>
      <c r="AI130" s="45">
        <f t="shared" si="19"/>
        <v>4525885</v>
      </c>
      <c r="AJ130" s="45"/>
      <c r="AK130" s="53">
        <v>-3378783</v>
      </c>
      <c r="AL130" s="45"/>
      <c r="AM130" s="53">
        <v>0</v>
      </c>
      <c r="AN130" s="53"/>
      <c r="AO130" s="53">
        <v>0</v>
      </c>
      <c r="AP130" s="53"/>
      <c r="AQ130" s="53">
        <v>707441</v>
      </c>
      <c r="AR130" s="53"/>
      <c r="AS130" s="45">
        <f t="shared" si="20"/>
        <v>1854543</v>
      </c>
      <c r="AT130" s="45"/>
      <c r="AU130" s="53">
        <v>0</v>
      </c>
      <c r="AV130" s="53"/>
      <c r="AW130" s="53">
        <v>0</v>
      </c>
      <c r="AX130" s="53"/>
      <c r="AY130" s="53">
        <f t="shared" si="21"/>
        <v>50883777</v>
      </c>
      <c r="AZ130" s="53"/>
      <c r="BA130" s="35" t="s">
        <v>158</v>
      </c>
      <c r="BC130" s="35" t="s">
        <v>159</v>
      </c>
      <c r="BD130" s="53"/>
      <c r="BE130" s="53">
        <v>785172</v>
      </c>
      <c r="BF130" s="53"/>
      <c r="BG130" s="53">
        <v>119236480</v>
      </c>
      <c r="BH130" s="53"/>
      <c r="BI130" s="53">
        <v>49566</v>
      </c>
      <c r="BJ130" s="53"/>
      <c r="BK130" s="53">
        <v>21013</v>
      </c>
      <c r="BL130" s="53"/>
      <c r="BM130" s="53">
        <f t="shared" si="22"/>
        <v>120092231</v>
      </c>
      <c r="BN130" s="54" t="s">
        <v>347</v>
      </c>
      <c r="BR130" s="51"/>
      <c r="BS130" s="53"/>
      <c r="BT130" s="53"/>
      <c r="BU130" s="53"/>
      <c r="BV130" s="53"/>
      <c r="BW130" s="53"/>
      <c r="BX130" s="45"/>
      <c r="BY130" s="45"/>
      <c r="BZ130" s="53"/>
      <c r="CA130" s="53"/>
      <c r="CB130" s="53"/>
      <c r="CC130" s="53"/>
      <c r="CD130" s="53"/>
      <c r="CE130" s="53"/>
      <c r="CF130" s="35"/>
      <c r="CH130" s="35"/>
      <c r="CI130" s="53"/>
      <c r="CJ130" s="53"/>
      <c r="CK130" s="53"/>
      <c r="CL130" s="53"/>
      <c r="CM130" s="53"/>
      <c r="CN130" s="53"/>
      <c r="CO130" s="53"/>
      <c r="CP130" s="53"/>
      <c r="CQ130" s="53"/>
      <c r="CR130" s="53"/>
      <c r="CS130" s="54"/>
    </row>
    <row r="131" spans="1:98" s="55" customFormat="1" ht="12.75" customHeight="1">
      <c r="A131" s="35" t="s">
        <v>160</v>
      </c>
      <c r="B131" s="51"/>
      <c r="C131" s="35" t="s">
        <v>111</v>
      </c>
      <c r="D131" s="44"/>
      <c r="E131" s="53">
        <f t="shared" si="25"/>
        <v>17072519</v>
      </c>
      <c r="F131" s="53"/>
      <c r="G131" s="53">
        <v>71840438</v>
      </c>
      <c r="H131" s="53"/>
      <c r="I131" s="53">
        <v>88912957</v>
      </c>
      <c r="J131" s="53"/>
      <c r="K131" s="53">
        <f t="shared" si="17"/>
        <v>1638350</v>
      </c>
      <c r="L131" s="53"/>
      <c r="M131" s="53">
        <v>32825308</v>
      </c>
      <c r="N131" s="53"/>
      <c r="O131" s="53">
        <v>34463658</v>
      </c>
      <c r="P131" s="53"/>
      <c r="Q131" s="53">
        <v>38057438</v>
      </c>
      <c r="R131" s="53"/>
      <c r="S131" s="53">
        <v>10283063</v>
      </c>
      <c r="T131" s="53"/>
      <c r="U131" s="53">
        <v>6108798</v>
      </c>
      <c r="V131" s="53"/>
      <c r="W131" s="53">
        <f t="shared" si="24"/>
        <v>54449299</v>
      </c>
      <c r="X131" s="53"/>
      <c r="Y131" s="35" t="s">
        <v>160</v>
      </c>
      <c r="AA131" s="35" t="s">
        <v>111</v>
      </c>
      <c r="AB131" s="35"/>
      <c r="AC131" s="53">
        <v>5529145</v>
      </c>
      <c r="AD131" s="53"/>
      <c r="AE131" s="53">
        <v>2620680</v>
      </c>
      <c r="AF131" s="53"/>
      <c r="AG131" s="53">
        <v>2144028</v>
      </c>
      <c r="AH131" s="53"/>
      <c r="AI131" s="45">
        <f t="shared" si="19"/>
        <v>764437</v>
      </c>
      <c r="AJ131" s="45"/>
      <c r="AK131" s="53">
        <v>-542255</v>
      </c>
      <c r="AL131" s="45"/>
      <c r="AM131" s="53">
        <v>4000</v>
      </c>
      <c r="AN131" s="53"/>
      <c r="AO131" s="53">
        <v>0</v>
      </c>
      <c r="AP131" s="53"/>
      <c r="AQ131" s="53">
        <v>1572895</v>
      </c>
      <c r="AR131" s="53"/>
      <c r="AS131" s="45">
        <f t="shared" si="20"/>
        <v>1799077</v>
      </c>
      <c r="AT131" s="45"/>
      <c r="AU131" s="53">
        <v>0</v>
      </c>
      <c r="AV131" s="53"/>
      <c r="AW131" s="53">
        <v>0</v>
      </c>
      <c r="AX131" s="53"/>
      <c r="AY131" s="53">
        <f t="shared" si="21"/>
        <v>15434169</v>
      </c>
      <c r="AZ131" s="53"/>
      <c r="BA131" s="35" t="s">
        <v>160</v>
      </c>
      <c r="BC131" s="35" t="s">
        <v>111</v>
      </c>
      <c r="BD131" s="53"/>
      <c r="BE131" s="53">
        <v>0</v>
      </c>
      <c r="BF131" s="53"/>
      <c r="BG131" s="53">
        <v>0</v>
      </c>
      <c r="BH131" s="53"/>
      <c r="BI131" s="53">
        <v>0</v>
      </c>
      <c r="BJ131" s="53"/>
      <c r="BK131" s="53">
        <v>32825308</v>
      </c>
      <c r="BL131" s="53"/>
      <c r="BM131" s="53">
        <f t="shared" si="22"/>
        <v>32825308</v>
      </c>
      <c r="BN131" s="54" t="s">
        <v>347</v>
      </c>
      <c r="BR131" s="51"/>
      <c r="BS131" s="53"/>
      <c r="BT131" s="53"/>
      <c r="BU131" s="53"/>
      <c r="BV131" s="53"/>
      <c r="BW131" s="53"/>
      <c r="BX131" s="45"/>
      <c r="BY131" s="45"/>
      <c r="BZ131" s="53"/>
      <c r="CA131" s="53"/>
      <c r="CB131" s="53"/>
      <c r="CC131" s="53"/>
      <c r="CD131" s="53"/>
      <c r="CE131" s="53"/>
      <c r="CF131" s="35"/>
      <c r="CH131" s="35"/>
      <c r="CI131" s="53"/>
      <c r="CJ131" s="53"/>
      <c r="CK131" s="53"/>
      <c r="CL131" s="53"/>
      <c r="CM131" s="53"/>
      <c r="CN131" s="53"/>
      <c r="CO131" s="53"/>
      <c r="CP131" s="53"/>
      <c r="CQ131" s="53"/>
      <c r="CR131" s="53"/>
      <c r="CS131" s="54"/>
    </row>
    <row r="132" spans="1:98" s="55" customFormat="1" ht="12.75" customHeight="1">
      <c r="A132" s="35" t="s">
        <v>161</v>
      </c>
      <c r="C132" s="35" t="s">
        <v>15</v>
      </c>
      <c r="D132" s="44"/>
      <c r="E132" s="53">
        <f t="shared" si="25"/>
        <v>5502754</v>
      </c>
      <c r="F132" s="53"/>
      <c r="G132" s="53">
        <v>45083587</v>
      </c>
      <c r="H132" s="53"/>
      <c r="I132" s="53">
        <v>50586341</v>
      </c>
      <c r="J132" s="53"/>
      <c r="K132" s="53">
        <f t="shared" si="17"/>
        <v>1221985</v>
      </c>
      <c r="L132" s="53"/>
      <c r="M132" s="53">
        <v>36205943</v>
      </c>
      <c r="N132" s="53"/>
      <c r="O132" s="53">
        <v>37427928</v>
      </c>
      <c r="P132" s="53"/>
      <c r="Q132" s="53">
        <v>14690942</v>
      </c>
      <c r="R132" s="53"/>
      <c r="S132" s="53">
        <v>0</v>
      </c>
      <c r="T132" s="53"/>
      <c r="U132" s="53">
        <v>-1532529</v>
      </c>
      <c r="V132" s="53"/>
      <c r="W132" s="53">
        <f t="shared" si="24"/>
        <v>13158413</v>
      </c>
      <c r="X132" s="53"/>
      <c r="Y132" s="35" t="s">
        <v>161</v>
      </c>
      <c r="AA132" s="35" t="s">
        <v>15</v>
      </c>
      <c r="AB132" s="35"/>
      <c r="AC132" s="53">
        <v>8019971</v>
      </c>
      <c r="AD132" s="53"/>
      <c r="AE132" s="53">
        <v>5221994</v>
      </c>
      <c r="AF132" s="53"/>
      <c r="AG132" s="53">
        <v>1411412</v>
      </c>
      <c r="AH132" s="53"/>
      <c r="AI132" s="45">
        <f t="shared" si="19"/>
        <v>1386565</v>
      </c>
      <c r="AJ132" s="45"/>
      <c r="AK132" s="53">
        <v>-517069</v>
      </c>
      <c r="AL132" s="45"/>
      <c r="AM132" s="53">
        <v>0</v>
      </c>
      <c r="AN132" s="53"/>
      <c r="AO132" s="53">
        <v>0</v>
      </c>
      <c r="AP132" s="53"/>
      <c r="AQ132" s="53">
        <v>0</v>
      </c>
      <c r="AR132" s="53"/>
      <c r="AS132" s="45">
        <f t="shared" si="20"/>
        <v>869496</v>
      </c>
      <c r="AT132" s="45"/>
      <c r="AU132" s="53">
        <v>0</v>
      </c>
      <c r="AV132" s="53"/>
      <c r="AW132" s="53">
        <v>0</v>
      </c>
      <c r="AX132" s="53"/>
      <c r="AY132" s="53">
        <f t="shared" si="21"/>
        <v>4280769</v>
      </c>
      <c r="AZ132" s="53"/>
      <c r="BA132" s="35" t="s">
        <v>161</v>
      </c>
      <c r="BC132" s="35" t="s">
        <v>15</v>
      </c>
      <c r="BD132" s="53"/>
      <c r="BE132" s="53"/>
      <c r="BF132" s="53"/>
      <c r="BG132" s="53"/>
      <c r="BH132" s="53"/>
      <c r="BI132" s="53">
        <v>35833908</v>
      </c>
      <c r="BJ132" s="53"/>
      <c r="BK132" s="53">
        <v>372035</v>
      </c>
      <c r="BL132" s="53"/>
      <c r="BM132" s="53">
        <f t="shared" si="22"/>
        <v>36205943</v>
      </c>
      <c r="BN132" s="54" t="s">
        <v>347</v>
      </c>
      <c r="BR132" s="51"/>
      <c r="BS132" s="53"/>
      <c r="BT132" s="53"/>
      <c r="BU132" s="53"/>
      <c r="BV132" s="53"/>
      <c r="BW132" s="53"/>
      <c r="BX132" s="45"/>
      <c r="BY132" s="45"/>
      <c r="BZ132" s="53"/>
      <c r="CA132" s="53"/>
      <c r="CB132" s="53"/>
      <c r="CC132" s="53"/>
      <c r="CD132" s="53"/>
      <c r="CE132" s="53"/>
      <c r="CF132" s="35"/>
      <c r="CH132" s="35"/>
      <c r="CI132" s="53"/>
      <c r="CJ132" s="53"/>
      <c r="CK132" s="53"/>
      <c r="CL132" s="53"/>
      <c r="CM132" s="53"/>
      <c r="CN132" s="53"/>
      <c r="CO132" s="53"/>
      <c r="CP132" s="53"/>
      <c r="CQ132" s="53"/>
      <c r="CR132" s="53"/>
      <c r="CS132" s="54"/>
    </row>
    <row r="133" spans="1:98" s="55" customFormat="1" ht="12.75" customHeight="1">
      <c r="A133" s="35" t="s">
        <v>162</v>
      </c>
      <c r="B133" s="51"/>
      <c r="C133" s="35" t="s">
        <v>163</v>
      </c>
      <c r="D133" s="44"/>
      <c r="E133" s="53">
        <f t="shared" si="25"/>
        <v>641785</v>
      </c>
      <c r="F133" s="53"/>
      <c r="G133" s="53">
        <v>4543012</v>
      </c>
      <c r="H133" s="53"/>
      <c r="I133" s="53">
        <v>5184797</v>
      </c>
      <c r="J133" s="53"/>
      <c r="K133" s="53">
        <f t="shared" si="17"/>
        <v>1723981</v>
      </c>
      <c r="L133" s="53"/>
      <c r="M133" s="53">
        <v>124582</v>
      </c>
      <c r="N133" s="53"/>
      <c r="O133" s="53">
        <v>1848563</v>
      </c>
      <c r="P133" s="53"/>
      <c r="Q133" s="53">
        <v>4543012</v>
      </c>
      <c r="R133" s="53"/>
      <c r="S133" s="53">
        <v>0</v>
      </c>
      <c r="T133" s="53"/>
      <c r="U133" s="53">
        <v>-1206778</v>
      </c>
      <c r="V133" s="53"/>
      <c r="W133" s="53">
        <f t="shared" si="24"/>
        <v>3336234</v>
      </c>
      <c r="X133" s="53"/>
      <c r="Y133" s="35" t="s">
        <v>162</v>
      </c>
      <c r="AA133" s="35" t="s">
        <v>163</v>
      </c>
      <c r="AB133" s="35"/>
      <c r="AC133" s="53">
        <v>2034675</v>
      </c>
      <c r="AD133" s="53"/>
      <c r="AE133" s="53">
        <v>1854644</v>
      </c>
      <c r="AF133" s="53"/>
      <c r="AG133" s="53">
        <v>296377</v>
      </c>
      <c r="AH133" s="53"/>
      <c r="AI133" s="45">
        <f t="shared" si="19"/>
        <v>-116346</v>
      </c>
      <c r="AJ133" s="45"/>
      <c r="AK133" s="53">
        <v>0</v>
      </c>
      <c r="AL133" s="45"/>
      <c r="AM133" s="53">
        <v>0</v>
      </c>
      <c r="AN133" s="53"/>
      <c r="AO133" s="53">
        <v>27000</v>
      </c>
      <c r="AP133" s="53"/>
      <c r="AQ133" s="53">
        <v>0</v>
      </c>
      <c r="AR133" s="53"/>
      <c r="AS133" s="45">
        <f t="shared" si="20"/>
        <v>-143346</v>
      </c>
      <c r="AT133" s="45"/>
      <c r="AU133" s="53">
        <v>0</v>
      </c>
      <c r="AV133" s="53"/>
      <c r="AW133" s="53">
        <v>0</v>
      </c>
      <c r="AX133" s="53"/>
      <c r="AY133" s="53">
        <f t="shared" si="21"/>
        <v>-1082196</v>
      </c>
      <c r="AZ133" s="53"/>
      <c r="BA133" s="35" t="s">
        <v>162</v>
      </c>
      <c r="BC133" s="35" t="s">
        <v>163</v>
      </c>
      <c r="BD133" s="53"/>
      <c r="BE133" s="53">
        <v>0</v>
      </c>
      <c r="BF133" s="53"/>
      <c r="BG133" s="53">
        <v>0</v>
      </c>
      <c r="BH133" s="53"/>
      <c r="BI133" s="53">
        <v>0</v>
      </c>
      <c r="BJ133" s="53"/>
      <c r="BK133" s="53">
        <v>124582</v>
      </c>
      <c r="BL133" s="53"/>
      <c r="BM133" s="53">
        <f t="shared" si="22"/>
        <v>124582</v>
      </c>
      <c r="BN133" s="54" t="s">
        <v>347</v>
      </c>
      <c r="BO133" s="55" t="s">
        <v>407</v>
      </c>
      <c r="BR133" s="51"/>
      <c r="BS133" s="53"/>
      <c r="BT133" s="53"/>
      <c r="BU133" s="53"/>
      <c r="BV133" s="53"/>
      <c r="BW133" s="53"/>
      <c r="BX133" s="45"/>
      <c r="BY133" s="45"/>
      <c r="BZ133" s="53"/>
      <c r="CA133" s="53"/>
      <c r="CB133" s="53"/>
      <c r="CC133" s="53"/>
      <c r="CD133" s="53"/>
      <c r="CE133" s="53"/>
      <c r="CF133" s="35"/>
      <c r="CH133" s="35"/>
      <c r="CI133" s="53"/>
      <c r="CJ133" s="53"/>
      <c r="CK133" s="53"/>
      <c r="CL133" s="53"/>
      <c r="CM133" s="53"/>
      <c r="CN133" s="53"/>
      <c r="CO133" s="53"/>
      <c r="CP133" s="53"/>
      <c r="CQ133" s="53"/>
      <c r="CR133" s="53"/>
      <c r="CS133" s="54"/>
    </row>
    <row r="134" spans="1:98" s="159" customFormat="1" ht="12.75" hidden="1" customHeight="1">
      <c r="A134" s="142" t="s">
        <v>164</v>
      </c>
      <c r="B134" s="140"/>
      <c r="C134" s="142" t="s">
        <v>27</v>
      </c>
      <c r="D134" s="137"/>
      <c r="E134" s="156">
        <f t="shared" si="25"/>
        <v>0</v>
      </c>
      <c r="F134" s="156"/>
      <c r="G134" s="156">
        <v>0</v>
      </c>
      <c r="H134" s="156"/>
      <c r="I134" s="156">
        <v>0</v>
      </c>
      <c r="J134" s="156"/>
      <c r="K134" s="156">
        <f t="shared" si="17"/>
        <v>0</v>
      </c>
      <c r="L134" s="156"/>
      <c r="M134" s="156">
        <v>0</v>
      </c>
      <c r="N134" s="156"/>
      <c r="O134" s="156">
        <v>0</v>
      </c>
      <c r="P134" s="156"/>
      <c r="Q134" s="156">
        <v>0</v>
      </c>
      <c r="R134" s="156"/>
      <c r="S134" s="156">
        <v>0</v>
      </c>
      <c r="T134" s="156"/>
      <c r="U134" s="156">
        <v>0</v>
      </c>
      <c r="V134" s="156"/>
      <c r="W134" s="156">
        <f t="shared" si="24"/>
        <v>0</v>
      </c>
      <c r="X134" s="156"/>
      <c r="Y134" s="142" t="s">
        <v>164</v>
      </c>
      <c r="AA134" s="142" t="s">
        <v>27</v>
      </c>
      <c r="AB134" s="142"/>
      <c r="AC134" s="156">
        <v>0</v>
      </c>
      <c r="AD134" s="156"/>
      <c r="AE134" s="156">
        <v>0</v>
      </c>
      <c r="AF134" s="156"/>
      <c r="AG134" s="156">
        <v>0</v>
      </c>
      <c r="AH134" s="156"/>
      <c r="AI134" s="143">
        <f t="shared" si="19"/>
        <v>0</v>
      </c>
      <c r="AJ134" s="143"/>
      <c r="AK134" s="156">
        <v>0</v>
      </c>
      <c r="AL134" s="143"/>
      <c r="AM134" s="156">
        <v>0</v>
      </c>
      <c r="AN134" s="156"/>
      <c r="AO134" s="156">
        <v>0</v>
      </c>
      <c r="AP134" s="156"/>
      <c r="AQ134" s="156">
        <v>0</v>
      </c>
      <c r="AR134" s="156"/>
      <c r="AS134" s="143">
        <f t="shared" si="20"/>
        <v>0</v>
      </c>
      <c r="AT134" s="143"/>
      <c r="AU134" s="156">
        <v>0</v>
      </c>
      <c r="AV134" s="156"/>
      <c r="AW134" s="156">
        <v>0</v>
      </c>
      <c r="AX134" s="156"/>
      <c r="AY134" s="156">
        <f t="shared" si="21"/>
        <v>0</v>
      </c>
      <c r="AZ134" s="156"/>
      <c r="BA134" s="142" t="s">
        <v>164</v>
      </c>
      <c r="BC134" s="142" t="s">
        <v>27</v>
      </c>
      <c r="BD134" s="156"/>
      <c r="BE134" s="156">
        <v>0</v>
      </c>
      <c r="BF134" s="156"/>
      <c r="BG134" s="156">
        <v>0</v>
      </c>
      <c r="BH134" s="156"/>
      <c r="BI134" s="156">
        <v>0</v>
      </c>
      <c r="BJ134" s="156"/>
      <c r="BK134" s="156">
        <v>0</v>
      </c>
      <c r="BL134" s="156"/>
      <c r="BM134" s="156">
        <f t="shared" si="22"/>
        <v>0</v>
      </c>
      <c r="BN134" s="158" t="s">
        <v>347</v>
      </c>
      <c r="BO134" s="142" t="s">
        <v>366</v>
      </c>
      <c r="BR134" s="140"/>
      <c r="BS134" s="156"/>
      <c r="BT134" s="156"/>
      <c r="BU134" s="156"/>
      <c r="BV134" s="156"/>
      <c r="BW134" s="156"/>
      <c r="BX134" s="143"/>
      <c r="BY134" s="143"/>
      <c r="BZ134" s="156"/>
      <c r="CA134" s="156"/>
      <c r="CB134" s="156"/>
      <c r="CC134" s="156"/>
      <c r="CD134" s="156"/>
      <c r="CE134" s="156"/>
      <c r="CF134" s="142"/>
      <c r="CH134" s="142"/>
      <c r="CI134" s="156"/>
      <c r="CJ134" s="156"/>
      <c r="CK134" s="156"/>
      <c r="CL134" s="156"/>
      <c r="CM134" s="156"/>
      <c r="CN134" s="156"/>
      <c r="CO134" s="156"/>
      <c r="CP134" s="156"/>
      <c r="CQ134" s="156"/>
      <c r="CR134" s="156"/>
      <c r="CS134" s="158"/>
      <c r="CT134" s="142"/>
    </row>
    <row r="135" spans="1:98" s="55" customFormat="1" ht="12.75" customHeight="1">
      <c r="A135" s="35" t="s">
        <v>53</v>
      </c>
      <c r="B135" s="51"/>
      <c r="C135" s="35" t="s">
        <v>53</v>
      </c>
      <c r="D135" s="44"/>
      <c r="E135" s="53">
        <f t="shared" si="25"/>
        <v>1877432</v>
      </c>
      <c r="F135" s="53"/>
      <c r="G135" s="53">
        <v>125691</v>
      </c>
      <c r="H135" s="53"/>
      <c r="I135" s="53">
        <v>2003123</v>
      </c>
      <c r="J135" s="53"/>
      <c r="K135" s="53">
        <f t="shared" si="17"/>
        <v>114651</v>
      </c>
      <c r="L135" s="53"/>
      <c r="M135" s="53">
        <v>27789</v>
      </c>
      <c r="N135" s="53"/>
      <c r="O135" s="53">
        <v>142440</v>
      </c>
      <c r="P135" s="53"/>
      <c r="Q135" s="53">
        <v>125691</v>
      </c>
      <c r="R135" s="53"/>
      <c r="S135" s="53">
        <v>0</v>
      </c>
      <c r="T135" s="53"/>
      <c r="U135" s="53">
        <v>1734992</v>
      </c>
      <c r="V135" s="53"/>
      <c r="W135" s="53">
        <f t="shared" si="24"/>
        <v>1860683</v>
      </c>
      <c r="X135" s="53"/>
      <c r="Y135" s="35" t="s">
        <v>53</v>
      </c>
      <c r="AA135" s="35" t="s">
        <v>53</v>
      </c>
      <c r="AB135" s="35"/>
      <c r="AC135" s="53">
        <v>3223175</v>
      </c>
      <c r="AD135" s="53"/>
      <c r="AE135" s="53">
        <v>2852605</v>
      </c>
      <c r="AF135" s="53"/>
      <c r="AG135" s="53">
        <v>117516</v>
      </c>
      <c r="AH135" s="53"/>
      <c r="AI135" s="45">
        <f t="shared" si="19"/>
        <v>253054</v>
      </c>
      <c r="AJ135" s="45"/>
      <c r="AK135" s="53">
        <v>41832</v>
      </c>
      <c r="AL135" s="45"/>
      <c r="AM135" s="53">
        <v>0</v>
      </c>
      <c r="AN135" s="53"/>
      <c r="AO135" s="53">
        <v>0</v>
      </c>
      <c r="AP135" s="53"/>
      <c r="AQ135" s="53">
        <v>0</v>
      </c>
      <c r="AR135" s="53"/>
      <c r="AS135" s="45">
        <f t="shared" si="20"/>
        <v>294886</v>
      </c>
      <c r="AT135" s="45"/>
      <c r="AU135" s="53">
        <v>0</v>
      </c>
      <c r="AV135" s="53"/>
      <c r="AW135" s="53">
        <v>0</v>
      </c>
      <c r="AX135" s="53"/>
      <c r="AY135" s="53">
        <f t="shared" si="21"/>
        <v>1762781</v>
      </c>
      <c r="AZ135" s="53"/>
      <c r="BA135" s="35" t="s">
        <v>53</v>
      </c>
      <c r="BC135" s="35" t="s">
        <v>53</v>
      </c>
      <c r="BD135" s="53"/>
      <c r="BE135" s="53">
        <v>0</v>
      </c>
      <c r="BF135" s="53"/>
      <c r="BG135" s="53">
        <v>0</v>
      </c>
      <c r="BH135" s="53"/>
      <c r="BI135" s="53">
        <v>0</v>
      </c>
      <c r="BJ135" s="53"/>
      <c r="BK135" s="53">
        <v>27789</v>
      </c>
      <c r="BL135" s="53"/>
      <c r="BM135" s="53">
        <f t="shared" si="22"/>
        <v>27789</v>
      </c>
      <c r="BN135" s="54" t="s">
        <v>347</v>
      </c>
      <c r="BR135" s="51"/>
      <c r="BS135" s="53"/>
      <c r="BT135" s="53"/>
      <c r="BU135" s="53"/>
      <c r="BV135" s="53"/>
      <c r="BW135" s="53"/>
      <c r="BX135" s="45"/>
      <c r="BY135" s="45"/>
      <c r="BZ135" s="53"/>
      <c r="CA135" s="53"/>
      <c r="CB135" s="53"/>
      <c r="CC135" s="53"/>
      <c r="CD135" s="53"/>
      <c r="CE135" s="53"/>
      <c r="CF135" s="35"/>
      <c r="CH135" s="35"/>
      <c r="CI135" s="53"/>
      <c r="CJ135" s="53"/>
      <c r="CK135" s="53"/>
      <c r="CL135" s="53"/>
      <c r="CM135" s="53"/>
      <c r="CN135" s="53"/>
      <c r="CO135" s="53"/>
      <c r="CP135" s="53"/>
      <c r="CQ135" s="53"/>
      <c r="CR135" s="53"/>
      <c r="CS135" s="54"/>
    </row>
    <row r="136" spans="1:98" s="159" customFormat="1" ht="12.75" hidden="1" customHeight="1">
      <c r="A136" s="142" t="s">
        <v>165</v>
      </c>
      <c r="B136" s="140"/>
      <c r="C136" s="142" t="s">
        <v>92</v>
      </c>
      <c r="D136" s="137"/>
      <c r="E136" s="156">
        <f t="shared" si="25"/>
        <v>0</v>
      </c>
      <c r="F136" s="156"/>
      <c r="G136" s="156">
        <v>0</v>
      </c>
      <c r="H136" s="156"/>
      <c r="I136" s="156">
        <v>0</v>
      </c>
      <c r="J136" s="156"/>
      <c r="K136" s="156">
        <f t="shared" si="17"/>
        <v>0</v>
      </c>
      <c r="L136" s="156"/>
      <c r="M136" s="156">
        <v>0</v>
      </c>
      <c r="N136" s="156"/>
      <c r="O136" s="156">
        <v>0</v>
      </c>
      <c r="P136" s="156"/>
      <c r="Q136" s="156">
        <v>0</v>
      </c>
      <c r="R136" s="156"/>
      <c r="S136" s="156">
        <v>0</v>
      </c>
      <c r="T136" s="156"/>
      <c r="U136" s="156">
        <v>0</v>
      </c>
      <c r="V136" s="156"/>
      <c r="W136" s="156">
        <f t="shared" si="24"/>
        <v>0</v>
      </c>
      <c r="X136" s="156"/>
      <c r="Y136" s="142" t="s">
        <v>165</v>
      </c>
      <c r="AA136" s="142" t="s">
        <v>92</v>
      </c>
      <c r="AB136" s="142"/>
      <c r="AC136" s="156">
        <v>0</v>
      </c>
      <c r="AD136" s="156"/>
      <c r="AE136" s="156">
        <v>0</v>
      </c>
      <c r="AF136" s="156"/>
      <c r="AG136" s="156">
        <v>0</v>
      </c>
      <c r="AH136" s="156"/>
      <c r="AI136" s="143">
        <f t="shared" si="19"/>
        <v>0</v>
      </c>
      <c r="AJ136" s="143"/>
      <c r="AK136" s="156">
        <v>0</v>
      </c>
      <c r="AL136" s="143"/>
      <c r="AM136" s="156">
        <v>0</v>
      </c>
      <c r="AN136" s="156"/>
      <c r="AO136" s="156">
        <v>0</v>
      </c>
      <c r="AP136" s="156"/>
      <c r="AQ136" s="156">
        <v>0</v>
      </c>
      <c r="AR136" s="156"/>
      <c r="AS136" s="143">
        <f t="shared" si="20"/>
        <v>0</v>
      </c>
      <c r="AT136" s="143"/>
      <c r="AU136" s="156">
        <v>0</v>
      </c>
      <c r="AV136" s="156"/>
      <c r="AW136" s="156">
        <v>0</v>
      </c>
      <c r="AX136" s="156"/>
      <c r="AY136" s="156">
        <f t="shared" si="21"/>
        <v>0</v>
      </c>
      <c r="AZ136" s="156"/>
      <c r="BA136" s="142" t="s">
        <v>165</v>
      </c>
      <c r="BC136" s="142" t="s">
        <v>92</v>
      </c>
      <c r="BD136" s="156"/>
      <c r="BE136" s="156">
        <v>0</v>
      </c>
      <c r="BF136" s="156"/>
      <c r="BG136" s="156">
        <v>0</v>
      </c>
      <c r="BH136" s="156"/>
      <c r="BI136" s="156">
        <v>0</v>
      </c>
      <c r="BJ136" s="156"/>
      <c r="BK136" s="156">
        <v>0</v>
      </c>
      <c r="BL136" s="156"/>
      <c r="BM136" s="156">
        <f t="shared" si="22"/>
        <v>0</v>
      </c>
      <c r="BN136" s="158" t="s">
        <v>347</v>
      </c>
      <c r="BR136" s="140"/>
      <c r="BS136" s="156"/>
      <c r="BT136" s="156"/>
      <c r="BU136" s="156"/>
      <c r="BV136" s="156"/>
      <c r="BW136" s="156"/>
      <c r="BX136" s="143"/>
      <c r="BY136" s="143"/>
      <c r="BZ136" s="156"/>
      <c r="CA136" s="156"/>
      <c r="CB136" s="156"/>
      <c r="CC136" s="156"/>
      <c r="CD136" s="156"/>
      <c r="CE136" s="156"/>
      <c r="CF136" s="142"/>
      <c r="CH136" s="142"/>
      <c r="CI136" s="156"/>
      <c r="CJ136" s="156"/>
      <c r="CK136" s="156"/>
      <c r="CL136" s="156"/>
      <c r="CM136" s="156"/>
      <c r="CN136" s="156"/>
      <c r="CO136" s="156"/>
      <c r="CP136" s="156"/>
      <c r="CQ136" s="156"/>
      <c r="CR136" s="156"/>
      <c r="CS136" s="158"/>
    </row>
    <row r="137" spans="1:98" s="159" customFormat="1" ht="12.75" hidden="1" customHeight="1">
      <c r="A137" s="142" t="s">
        <v>166</v>
      </c>
      <c r="B137" s="140"/>
      <c r="C137" s="142" t="s">
        <v>92</v>
      </c>
      <c r="D137" s="137"/>
      <c r="E137" s="156">
        <f t="shared" si="25"/>
        <v>0</v>
      </c>
      <c r="F137" s="156"/>
      <c r="G137" s="156">
        <v>0</v>
      </c>
      <c r="H137" s="156"/>
      <c r="I137" s="156">
        <v>0</v>
      </c>
      <c r="J137" s="156"/>
      <c r="K137" s="156">
        <f t="shared" si="17"/>
        <v>0</v>
      </c>
      <c r="L137" s="156"/>
      <c r="M137" s="156">
        <v>0</v>
      </c>
      <c r="N137" s="156"/>
      <c r="O137" s="156">
        <v>0</v>
      </c>
      <c r="P137" s="156"/>
      <c r="Q137" s="156">
        <v>0</v>
      </c>
      <c r="R137" s="156"/>
      <c r="S137" s="156">
        <v>0</v>
      </c>
      <c r="T137" s="156"/>
      <c r="U137" s="156">
        <v>0</v>
      </c>
      <c r="V137" s="156"/>
      <c r="W137" s="156">
        <f t="shared" si="24"/>
        <v>0</v>
      </c>
      <c r="X137" s="156"/>
      <c r="Y137" s="142" t="s">
        <v>166</v>
      </c>
      <c r="AA137" s="142" t="s">
        <v>92</v>
      </c>
      <c r="AB137" s="142"/>
      <c r="AC137" s="156">
        <v>0</v>
      </c>
      <c r="AD137" s="156"/>
      <c r="AE137" s="156">
        <v>0</v>
      </c>
      <c r="AF137" s="156"/>
      <c r="AG137" s="156">
        <v>0</v>
      </c>
      <c r="AH137" s="156"/>
      <c r="AI137" s="143">
        <f t="shared" si="19"/>
        <v>0</v>
      </c>
      <c r="AJ137" s="143"/>
      <c r="AK137" s="156">
        <v>0</v>
      </c>
      <c r="AL137" s="143"/>
      <c r="AM137" s="156">
        <v>0</v>
      </c>
      <c r="AN137" s="156"/>
      <c r="AO137" s="156">
        <v>0</v>
      </c>
      <c r="AP137" s="156"/>
      <c r="AQ137" s="156">
        <v>0</v>
      </c>
      <c r="AR137" s="156"/>
      <c r="AS137" s="143">
        <f t="shared" si="20"/>
        <v>0</v>
      </c>
      <c r="AT137" s="143"/>
      <c r="AU137" s="156">
        <v>0</v>
      </c>
      <c r="AV137" s="156"/>
      <c r="AW137" s="156">
        <v>0</v>
      </c>
      <c r="AX137" s="156"/>
      <c r="AY137" s="156">
        <f t="shared" si="21"/>
        <v>0</v>
      </c>
      <c r="AZ137" s="156"/>
      <c r="BA137" s="142" t="s">
        <v>166</v>
      </c>
      <c r="BC137" s="142" t="s">
        <v>92</v>
      </c>
      <c r="BD137" s="156"/>
      <c r="BE137" s="156">
        <v>0</v>
      </c>
      <c r="BF137" s="156"/>
      <c r="BG137" s="156">
        <v>0</v>
      </c>
      <c r="BH137" s="156"/>
      <c r="BI137" s="156">
        <v>0</v>
      </c>
      <c r="BJ137" s="156"/>
      <c r="BK137" s="156">
        <v>0</v>
      </c>
      <c r="BL137" s="156"/>
      <c r="BM137" s="156">
        <f t="shared" si="22"/>
        <v>0</v>
      </c>
      <c r="BN137" s="158"/>
      <c r="BR137" s="140"/>
      <c r="BS137" s="156"/>
      <c r="BT137" s="156"/>
      <c r="BU137" s="156"/>
      <c r="BV137" s="156"/>
      <c r="BW137" s="156"/>
      <c r="BX137" s="143"/>
      <c r="BY137" s="143"/>
      <c r="BZ137" s="156"/>
      <c r="CA137" s="156"/>
      <c r="CB137" s="156"/>
      <c r="CC137" s="156"/>
      <c r="CD137" s="156"/>
      <c r="CE137" s="156"/>
      <c r="CF137" s="142"/>
      <c r="CH137" s="142"/>
      <c r="CI137" s="156"/>
      <c r="CJ137" s="156"/>
      <c r="CK137" s="156"/>
      <c r="CL137" s="156"/>
      <c r="CM137" s="156"/>
      <c r="CN137" s="156"/>
      <c r="CO137" s="156"/>
      <c r="CP137" s="156"/>
      <c r="CQ137" s="156"/>
      <c r="CR137" s="156"/>
      <c r="CS137" s="158"/>
    </row>
    <row r="138" spans="1:98" s="159" customFormat="1" ht="12.75" hidden="1" customHeight="1">
      <c r="A138" s="142" t="s">
        <v>167</v>
      </c>
      <c r="B138" s="140"/>
      <c r="C138" s="142" t="s">
        <v>66</v>
      </c>
      <c r="D138" s="137"/>
      <c r="E138" s="156">
        <f t="shared" si="25"/>
        <v>0</v>
      </c>
      <c r="F138" s="156"/>
      <c r="G138" s="156">
        <v>0</v>
      </c>
      <c r="H138" s="156"/>
      <c r="I138" s="156">
        <v>0</v>
      </c>
      <c r="J138" s="156"/>
      <c r="K138" s="156">
        <f t="shared" si="17"/>
        <v>0</v>
      </c>
      <c r="L138" s="156"/>
      <c r="M138" s="156">
        <v>0</v>
      </c>
      <c r="N138" s="156"/>
      <c r="O138" s="156">
        <v>0</v>
      </c>
      <c r="P138" s="156"/>
      <c r="Q138" s="156">
        <v>0</v>
      </c>
      <c r="R138" s="156"/>
      <c r="S138" s="156">
        <v>0</v>
      </c>
      <c r="T138" s="156"/>
      <c r="U138" s="156">
        <v>0</v>
      </c>
      <c r="V138" s="156"/>
      <c r="W138" s="156">
        <f t="shared" si="24"/>
        <v>0</v>
      </c>
      <c r="X138" s="156"/>
      <c r="Y138" s="142" t="s">
        <v>167</v>
      </c>
      <c r="AA138" s="142" t="s">
        <v>66</v>
      </c>
      <c r="AB138" s="142"/>
      <c r="AC138" s="156">
        <v>0</v>
      </c>
      <c r="AD138" s="156"/>
      <c r="AE138" s="156">
        <v>0</v>
      </c>
      <c r="AF138" s="156"/>
      <c r="AG138" s="156">
        <v>0</v>
      </c>
      <c r="AH138" s="156"/>
      <c r="AI138" s="143">
        <f t="shared" si="19"/>
        <v>0</v>
      </c>
      <c r="AJ138" s="143"/>
      <c r="AK138" s="156">
        <v>0</v>
      </c>
      <c r="AL138" s="143"/>
      <c r="AM138" s="156">
        <v>0</v>
      </c>
      <c r="AN138" s="156"/>
      <c r="AO138" s="156">
        <v>0</v>
      </c>
      <c r="AP138" s="156"/>
      <c r="AQ138" s="156">
        <v>0</v>
      </c>
      <c r="AR138" s="156"/>
      <c r="AS138" s="143">
        <f t="shared" si="20"/>
        <v>0</v>
      </c>
      <c r="AT138" s="143"/>
      <c r="AU138" s="156">
        <v>0</v>
      </c>
      <c r="AV138" s="156"/>
      <c r="AW138" s="156">
        <v>0</v>
      </c>
      <c r="AX138" s="156"/>
      <c r="AY138" s="156">
        <f t="shared" si="21"/>
        <v>0</v>
      </c>
      <c r="AZ138" s="156"/>
      <c r="BA138" s="142" t="s">
        <v>167</v>
      </c>
      <c r="BC138" s="142" t="s">
        <v>66</v>
      </c>
      <c r="BD138" s="156"/>
      <c r="BE138" s="156">
        <v>0</v>
      </c>
      <c r="BF138" s="156"/>
      <c r="BG138" s="156">
        <v>0</v>
      </c>
      <c r="BH138" s="156"/>
      <c r="BI138" s="156">
        <v>0</v>
      </c>
      <c r="BJ138" s="156"/>
      <c r="BK138" s="156">
        <v>0</v>
      </c>
      <c r="BL138" s="156"/>
      <c r="BM138" s="156">
        <f t="shared" si="22"/>
        <v>0</v>
      </c>
      <c r="BN138" s="158" t="s">
        <v>347</v>
      </c>
      <c r="BR138" s="140"/>
      <c r="BS138" s="156"/>
      <c r="BT138" s="156"/>
      <c r="BU138" s="156"/>
      <c r="BV138" s="156"/>
      <c r="BW138" s="156"/>
      <c r="BX138" s="143"/>
      <c r="BY138" s="143"/>
      <c r="BZ138" s="156"/>
      <c r="CA138" s="156"/>
      <c r="CB138" s="156"/>
      <c r="CC138" s="156"/>
      <c r="CD138" s="156"/>
      <c r="CE138" s="156"/>
      <c r="CF138" s="142"/>
      <c r="CH138" s="142"/>
      <c r="CI138" s="156"/>
      <c r="CJ138" s="156"/>
      <c r="CK138" s="156"/>
      <c r="CL138" s="156"/>
      <c r="CM138" s="156"/>
      <c r="CN138" s="156"/>
      <c r="CO138" s="156"/>
      <c r="CP138" s="156"/>
      <c r="CQ138" s="156"/>
      <c r="CR138" s="156"/>
      <c r="CS138" s="158"/>
    </row>
    <row r="139" spans="1:98" s="159" customFormat="1" ht="12.75" hidden="1" customHeight="1">
      <c r="A139" s="137" t="s">
        <v>168</v>
      </c>
      <c r="B139" s="140"/>
      <c r="C139" s="137" t="s">
        <v>27</v>
      </c>
      <c r="D139" s="137"/>
      <c r="E139" s="156">
        <f t="shared" si="25"/>
        <v>0</v>
      </c>
      <c r="F139" s="156"/>
      <c r="G139" s="156">
        <v>0</v>
      </c>
      <c r="H139" s="156"/>
      <c r="I139" s="156">
        <v>0</v>
      </c>
      <c r="J139" s="156"/>
      <c r="K139" s="156">
        <f t="shared" si="17"/>
        <v>0</v>
      </c>
      <c r="L139" s="156"/>
      <c r="M139" s="156">
        <v>0</v>
      </c>
      <c r="N139" s="156"/>
      <c r="O139" s="156">
        <v>0</v>
      </c>
      <c r="P139" s="156"/>
      <c r="Q139" s="156">
        <v>0</v>
      </c>
      <c r="R139" s="156"/>
      <c r="S139" s="156">
        <v>0</v>
      </c>
      <c r="T139" s="156"/>
      <c r="U139" s="156">
        <v>0</v>
      </c>
      <c r="V139" s="156"/>
      <c r="W139" s="156">
        <f t="shared" si="24"/>
        <v>0</v>
      </c>
      <c r="X139" s="156"/>
      <c r="Y139" s="137" t="s">
        <v>168</v>
      </c>
      <c r="AA139" s="137" t="s">
        <v>27</v>
      </c>
      <c r="AB139" s="137"/>
      <c r="AC139" s="156">
        <v>0</v>
      </c>
      <c r="AD139" s="156"/>
      <c r="AE139" s="156">
        <v>0</v>
      </c>
      <c r="AF139" s="156"/>
      <c r="AG139" s="156">
        <v>0</v>
      </c>
      <c r="AH139" s="156"/>
      <c r="AI139" s="143">
        <f t="shared" si="19"/>
        <v>0</v>
      </c>
      <c r="AJ139" s="143"/>
      <c r="AK139" s="156">
        <v>0</v>
      </c>
      <c r="AL139" s="143"/>
      <c r="AM139" s="156">
        <v>0</v>
      </c>
      <c r="AN139" s="156"/>
      <c r="AO139" s="156">
        <v>0</v>
      </c>
      <c r="AP139" s="156"/>
      <c r="AQ139" s="156">
        <v>0</v>
      </c>
      <c r="AR139" s="156"/>
      <c r="AS139" s="143">
        <f t="shared" si="20"/>
        <v>0</v>
      </c>
      <c r="AT139" s="143"/>
      <c r="AU139" s="156">
        <v>0</v>
      </c>
      <c r="AV139" s="156"/>
      <c r="AW139" s="156">
        <v>0</v>
      </c>
      <c r="AX139" s="156"/>
      <c r="AY139" s="156">
        <f t="shared" si="21"/>
        <v>0</v>
      </c>
      <c r="AZ139" s="156"/>
      <c r="BA139" s="137" t="s">
        <v>168</v>
      </c>
      <c r="BC139" s="137" t="s">
        <v>27</v>
      </c>
      <c r="BD139" s="156"/>
      <c r="BE139" s="156">
        <v>0</v>
      </c>
      <c r="BF139" s="156"/>
      <c r="BG139" s="156">
        <v>0</v>
      </c>
      <c r="BH139" s="156"/>
      <c r="BI139" s="156">
        <v>0</v>
      </c>
      <c r="BJ139" s="156"/>
      <c r="BK139" s="156">
        <v>0</v>
      </c>
      <c r="BL139" s="156"/>
      <c r="BM139" s="156">
        <f t="shared" si="22"/>
        <v>0</v>
      </c>
      <c r="BN139" s="158" t="s">
        <v>347</v>
      </c>
      <c r="BR139" s="140"/>
      <c r="BS139" s="156"/>
      <c r="BT139" s="156"/>
      <c r="BU139" s="156"/>
      <c r="BV139" s="156"/>
      <c r="BW139" s="156"/>
      <c r="BX139" s="143"/>
      <c r="BY139" s="143"/>
      <c r="BZ139" s="156"/>
      <c r="CA139" s="156"/>
      <c r="CB139" s="156"/>
      <c r="CC139" s="156"/>
      <c r="CD139" s="156"/>
      <c r="CE139" s="156"/>
      <c r="CF139" s="142"/>
      <c r="CH139" s="142"/>
      <c r="CI139" s="156"/>
      <c r="CJ139" s="156"/>
      <c r="CK139" s="156"/>
      <c r="CL139" s="156"/>
      <c r="CM139" s="156"/>
      <c r="CN139" s="156"/>
      <c r="CO139" s="156"/>
      <c r="CP139" s="156"/>
      <c r="CQ139" s="156"/>
      <c r="CR139" s="156"/>
      <c r="CS139" s="158"/>
    </row>
    <row r="140" spans="1:98" s="55" customFormat="1" ht="12.75" customHeight="1">
      <c r="A140" s="35" t="s">
        <v>169</v>
      </c>
      <c r="B140" s="51"/>
      <c r="C140" s="35" t="s">
        <v>103</v>
      </c>
      <c r="D140" s="44"/>
      <c r="E140" s="53">
        <f t="shared" si="25"/>
        <v>7441477</v>
      </c>
      <c r="F140" s="53"/>
      <c r="G140" s="53">
        <v>22536358</v>
      </c>
      <c r="H140" s="53"/>
      <c r="I140" s="53">
        <v>29977835</v>
      </c>
      <c r="J140" s="53"/>
      <c r="K140" s="53">
        <f t="shared" si="17"/>
        <v>583554</v>
      </c>
      <c r="L140" s="53"/>
      <c r="M140" s="53">
        <v>3504841</v>
      </c>
      <c r="N140" s="53"/>
      <c r="O140" s="53">
        <v>4088395</v>
      </c>
      <c r="P140" s="53"/>
      <c r="Q140" s="53">
        <v>18805476</v>
      </c>
      <c r="R140" s="53"/>
      <c r="S140" s="53">
        <v>480124</v>
      </c>
      <c r="T140" s="53"/>
      <c r="U140" s="53">
        <v>6603840</v>
      </c>
      <c r="V140" s="53"/>
      <c r="W140" s="53">
        <f t="shared" si="24"/>
        <v>25889440</v>
      </c>
      <c r="X140" s="53"/>
      <c r="Y140" s="35" t="s">
        <v>169</v>
      </c>
      <c r="AA140" s="35" t="s">
        <v>103</v>
      </c>
      <c r="AB140" s="35"/>
      <c r="AC140" s="53">
        <v>6672678</v>
      </c>
      <c r="AD140" s="53"/>
      <c r="AE140" s="53">
        <v>5359714</v>
      </c>
      <c r="AF140" s="53"/>
      <c r="AG140" s="53">
        <v>1238332</v>
      </c>
      <c r="AH140" s="53"/>
      <c r="AI140" s="45">
        <f t="shared" si="19"/>
        <v>74632</v>
      </c>
      <c r="AJ140" s="45"/>
      <c r="AK140" s="53">
        <v>126689</v>
      </c>
      <c r="AL140" s="45"/>
      <c r="AM140" s="53">
        <v>0</v>
      </c>
      <c r="AN140" s="53"/>
      <c r="AO140" s="53">
        <v>0</v>
      </c>
      <c r="AP140" s="53"/>
      <c r="AQ140" s="53">
        <v>0</v>
      </c>
      <c r="AR140" s="53"/>
      <c r="AS140" s="45">
        <f t="shared" si="20"/>
        <v>201321</v>
      </c>
      <c r="AT140" s="45"/>
      <c r="AU140" s="53">
        <v>0</v>
      </c>
      <c r="AV140" s="53"/>
      <c r="AW140" s="53">
        <v>0</v>
      </c>
      <c r="AX140" s="53"/>
      <c r="AY140" s="53">
        <f t="shared" si="21"/>
        <v>6857923</v>
      </c>
      <c r="AZ140" s="53"/>
      <c r="BA140" s="35" t="s">
        <v>169</v>
      </c>
      <c r="BC140" s="35" t="s">
        <v>103</v>
      </c>
      <c r="BD140" s="53"/>
      <c r="BE140" s="53">
        <v>0</v>
      </c>
      <c r="BF140" s="53"/>
      <c r="BG140" s="53">
        <v>0</v>
      </c>
      <c r="BH140" s="53"/>
      <c r="BI140" s="53">
        <v>0</v>
      </c>
      <c r="BJ140" s="53"/>
      <c r="BK140" s="53">
        <v>3504841</v>
      </c>
      <c r="BL140" s="53"/>
      <c r="BM140" s="53">
        <f t="shared" si="22"/>
        <v>3504841</v>
      </c>
      <c r="BN140" s="54" t="s">
        <v>347</v>
      </c>
      <c r="BR140" s="51"/>
      <c r="BS140" s="53"/>
      <c r="BT140" s="53"/>
      <c r="BU140" s="53"/>
      <c r="BV140" s="53"/>
      <c r="BW140" s="53"/>
      <c r="BX140" s="45"/>
      <c r="BY140" s="45"/>
      <c r="BZ140" s="53"/>
      <c r="CA140" s="53"/>
      <c r="CB140" s="53"/>
      <c r="CC140" s="53"/>
      <c r="CD140" s="53"/>
      <c r="CE140" s="53"/>
      <c r="CF140" s="35"/>
      <c r="CH140" s="35"/>
      <c r="CI140" s="53"/>
      <c r="CJ140" s="53"/>
      <c r="CK140" s="53"/>
      <c r="CL140" s="53"/>
      <c r="CM140" s="53"/>
      <c r="CN140" s="53"/>
      <c r="CO140" s="53"/>
      <c r="CP140" s="53"/>
      <c r="CQ140" s="53"/>
      <c r="CR140" s="53"/>
      <c r="CS140" s="54"/>
    </row>
    <row r="141" spans="1:98" s="55" customFormat="1" ht="12.75" customHeight="1">
      <c r="A141" s="35" t="s">
        <v>170</v>
      </c>
      <c r="B141" s="51"/>
      <c r="C141" s="35" t="s">
        <v>171</v>
      </c>
      <c r="D141" s="44"/>
      <c r="E141" s="53">
        <f t="shared" si="25"/>
        <v>3153773</v>
      </c>
      <c r="F141" s="53"/>
      <c r="G141" s="53">
        <v>8645981</v>
      </c>
      <c r="H141" s="53"/>
      <c r="I141" s="53">
        <v>11799754</v>
      </c>
      <c r="J141" s="53"/>
      <c r="K141" s="53">
        <f t="shared" si="17"/>
        <v>270319</v>
      </c>
      <c r="L141" s="53"/>
      <c r="M141" s="53">
        <v>269740</v>
      </c>
      <c r="N141" s="53"/>
      <c r="O141" s="53">
        <v>540059</v>
      </c>
      <c r="P141" s="53"/>
      <c r="Q141" s="53">
        <v>8303296</v>
      </c>
      <c r="R141" s="53"/>
      <c r="S141" s="53">
        <v>0</v>
      </c>
      <c r="T141" s="53"/>
      <c r="U141" s="53">
        <v>2956399</v>
      </c>
      <c r="V141" s="53"/>
      <c r="W141" s="53">
        <f t="shared" si="24"/>
        <v>11259695</v>
      </c>
      <c r="X141" s="53"/>
      <c r="Y141" s="35" t="s">
        <v>170</v>
      </c>
      <c r="AA141" s="35" t="s">
        <v>171</v>
      </c>
      <c r="AB141" s="35"/>
      <c r="AC141" s="53">
        <v>1139809</v>
      </c>
      <c r="AD141" s="53"/>
      <c r="AE141" s="53">
        <v>575081</v>
      </c>
      <c r="AF141" s="53"/>
      <c r="AG141" s="53">
        <v>268806</v>
      </c>
      <c r="AH141" s="53"/>
      <c r="AI141" s="45">
        <f t="shared" si="19"/>
        <v>295922</v>
      </c>
      <c r="AJ141" s="45"/>
      <c r="AK141" s="53">
        <v>1246912</v>
      </c>
      <c r="AL141" s="45"/>
      <c r="AM141" s="53">
        <v>0</v>
      </c>
      <c r="AN141" s="53"/>
      <c r="AO141" s="53">
        <v>188654</v>
      </c>
      <c r="AP141" s="53"/>
      <c r="AQ141" s="53">
        <v>0</v>
      </c>
      <c r="AR141" s="53"/>
      <c r="AS141" s="45">
        <f t="shared" si="20"/>
        <v>1354180</v>
      </c>
      <c r="AT141" s="45"/>
      <c r="AU141" s="53">
        <v>0</v>
      </c>
      <c r="AV141" s="53"/>
      <c r="AW141" s="53">
        <v>0</v>
      </c>
      <c r="AX141" s="53"/>
      <c r="AY141" s="53">
        <f t="shared" si="21"/>
        <v>2883454</v>
      </c>
      <c r="AZ141" s="53"/>
      <c r="BA141" s="35" t="s">
        <v>170</v>
      </c>
      <c r="BC141" s="35" t="s">
        <v>171</v>
      </c>
      <c r="BD141" s="53"/>
      <c r="BE141" s="53">
        <v>0</v>
      </c>
      <c r="BF141" s="53"/>
      <c r="BG141" s="53">
        <v>0</v>
      </c>
      <c r="BH141" s="53"/>
      <c r="BI141" s="53">
        <v>257869</v>
      </c>
      <c r="BJ141" s="53"/>
      <c r="BK141" s="53">
        <v>11871</v>
      </c>
      <c r="BL141" s="53"/>
      <c r="BM141" s="53">
        <f t="shared" si="22"/>
        <v>269740</v>
      </c>
      <c r="BN141" s="54" t="s">
        <v>347</v>
      </c>
      <c r="BR141" s="51"/>
      <c r="BS141" s="53"/>
      <c r="BT141" s="53"/>
      <c r="BU141" s="53"/>
      <c r="BV141" s="53"/>
      <c r="BW141" s="53"/>
      <c r="BX141" s="45"/>
      <c r="BY141" s="45"/>
      <c r="BZ141" s="53"/>
      <c r="CA141" s="53"/>
      <c r="CB141" s="53"/>
      <c r="CC141" s="53"/>
      <c r="CD141" s="53"/>
      <c r="CE141" s="53"/>
      <c r="CF141" s="35"/>
      <c r="CH141" s="35"/>
      <c r="CI141" s="53"/>
      <c r="CJ141" s="53"/>
      <c r="CK141" s="53"/>
      <c r="CL141" s="53"/>
      <c r="CM141" s="53"/>
      <c r="CN141" s="53"/>
      <c r="CO141" s="53"/>
      <c r="CP141" s="53"/>
      <c r="CQ141" s="53"/>
      <c r="CR141" s="53"/>
      <c r="CS141" s="54"/>
    </row>
    <row r="142" spans="1:98" s="159" customFormat="1" ht="12.75" hidden="1" customHeight="1">
      <c r="A142" s="142" t="s">
        <v>172</v>
      </c>
      <c r="B142" s="140"/>
      <c r="C142" s="142" t="s">
        <v>103</v>
      </c>
      <c r="D142" s="137"/>
      <c r="E142" s="156">
        <f t="shared" si="25"/>
        <v>0</v>
      </c>
      <c r="F142" s="156"/>
      <c r="G142" s="156">
        <v>0</v>
      </c>
      <c r="H142" s="156"/>
      <c r="I142" s="156">
        <v>0</v>
      </c>
      <c r="J142" s="156"/>
      <c r="K142" s="156">
        <f t="shared" si="17"/>
        <v>0</v>
      </c>
      <c r="L142" s="156"/>
      <c r="M142" s="156">
        <v>0</v>
      </c>
      <c r="N142" s="156"/>
      <c r="O142" s="156">
        <v>0</v>
      </c>
      <c r="P142" s="156"/>
      <c r="Q142" s="156">
        <v>0</v>
      </c>
      <c r="R142" s="156"/>
      <c r="S142" s="156">
        <v>0</v>
      </c>
      <c r="T142" s="156"/>
      <c r="U142" s="156">
        <v>0</v>
      </c>
      <c r="V142" s="156"/>
      <c r="W142" s="156">
        <f t="shared" si="24"/>
        <v>0</v>
      </c>
      <c r="X142" s="156"/>
      <c r="Y142" s="142" t="s">
        <v>172</v>
      </c>
      <c r="AA142" s="142" t="s">
        <v>103</v>
      </c>
      <c r="AB142" s="142"/>
      <c r="AC142" s="156">
        <v>0</v>
      </c>
      <c r="AD142" s="156"/>
      <c r="AE142" s="156">
        <v>0</v>
      </c>
      <c r="AF142" s="156"/>
      <c r="AG142" s="156">
        <v>0</v>
      </c>
      <c r="AH142" s="156"/>
      <c r="AI142" s="143">
        <f t="shared" si="19"/>
        <v>0</v>
      </c>
      <c r="AJ142" s="143"/>
      <c r="AK142" s="156">
        <v>0</v>
      </c>
      <c r="AL142" s="143"/>
      <c r="AM142" s="156">
        <v>0</v>
      </c>
      <c r="AN142" s="156"/>
      <c r="AO142" s="156">
        <v>0</v>
      </c>
      <c r="AP142" s="156"/>
      <c r="AQ142" s="156">
        <v>0</v>
      </c>
      <c r="AR142" s="156"/>
      <c r="AS142" s="143">
        <f t="shared" si="20"/>
        <v>0</v>
      </c>
      <c r="AT142" s="143"/>
      <c r="AU142" s="156">
        <v>0</v>
      </c>
      <c r="AV142" s="156"/>
      <c r="AW142" s="156">
        <v>0</v>
      </c>
      <c r="AX142" s="156"/>
      <c r="AY142" s="156">
        <f t="shared" si="21"/>
        <v>0</v>
      </c>
      <c r="AZ142" s="156"/>
      <c r="BA142" s="142" t="s">
        <v>172</v>
      </c>
      <c r="BC142" s="142" t="s">
        <v>103</v>
      </c>
      <c r="BD142" s="156"/>
      <c r="BE142" s="156">
        <v>0</v>
      </c>
      <c r="BF142" s="156"/>
      <c r="BG142" s="156">
        <v>0</v>
      </c>
      <c r="BH142" s="156"/>
      <c r="BI142" s="156">
        <v>0</v>
      </c>
      <c r="BJ142" s="156"/>
      <c r="BK142" s="156">
        <v>0</v>
      </c>
      <c r="BL142" s="156"/>
      <c r="BM142" s="156">
        <f t="shared" si="22"/>
        <v>0</v>
      </c>
      <c r="BN142" s="158" t="s">
        <v>347</v>
      </c>
      <c r="BR142" s="140"/>
      <c r="BS142" s="156"/>
      <c r="BT142" s="156"/>
      <c r="BU142" s="156"/>
      <c r="BV142" s="156"/>
      <c r="BW142" s="156"/>
      <c r="BX142" s="143"/>
      <c r="BY142" s="143"/>
      <c r="BZ142" s="156"/>
      <c r="CA142" s="156"/>
      <c r="CB142" s="156"/>
      <c r="CC142" s="156"/>
      <c r="CD142" s="156"/>
      <c r="CE142" s="156"/>
      <c r="CF142" s="142"/>
      <c r="CH142" s="142"/>
      <c r="CI142" s="156"/>
      <c r="CJ142" s="156"/>
      <c r="CK142" s="156"/>
      <c r="CL142" s="156"/>
      <c r="CM142" s="156"/>
      <c r="CN142" s="156"/>
      <c r="CO142" s="156"/>
      <c r="CP142" s="156"/>
      <c r="CQ142" s="156"/>
      <c r="CR142" s="156"/>
      <c r="CS142" s="158"/>
    </row>
    <row r="143" spans="1:98" s="55" customFormat="1" ht="12.75" customHeight="1">
      <c r="A143" s="35" t="s">
        <v>66</v>
      </c>
      <c r="B143" s="51"/>
      <c r="C143" s="35" t="s">
        <v>45</v>
      </c>
      <c r="D143" s="44"/>
      <c r="E143" s="53">
        <f t="shared" si="25"/>
        <v>292582</v>
      </c>
      <c r="F143" s="53"/>
      <c r="G143" s="53">
        <v>103521</v>
      </c>
      <c r="H143" s="53"/>
      <c r="I143" s="53">
        <v>396103</v>
      </c>
      <c r="J143" s="53"/>
      <c r="K143" s="53">
        <f t="shared" si="17"/>
        <v>88377</v>
      </c>
      <c r="L143" s="53"/>
      <c r="M143" s="53">
        <v>0</v>
      </c>
      <c r="N143" s="53"/>
      <c r="O143" s="53">
        <v>88377</v>
      </c>
      <c r="P143" s="53"/>
      <c r="Q143" s="53">
        <v>0</v>
      </c>
      <c r="R143" s="53"/>
      <c r="S143" s="53">
        <v>0</v>
      </c>
      <c r="T143" s="53"/>
      <c r="U143" s="53">
        <v>307726</v>
      </c>
      <c r="V143" s="53"/>
      <c r="W143" s="53">
        <f t="shared" si="24"/>
        <v>307726</v>
      </c>
      <c r="X143" s="53"/>
      <c r="Y143" s="35" t="s">
        <v>66</v>
      </c>
      <c r="AA143" s="35" t="s">
        <v>45</v>
      </c>
      <c r="AB143" s="35"/>
      <c r="AC143" s="53">
        <v>1218250</v>
      </c>
      <c r="AD143" s="53"/>
      <c r="AE143" s="53">
        <v>1168884</v>
      </c>
      <c r="AF143" s="53"/>
      <c r="AG143" s="53">
        <v>2557</v>
      </c>
      <c r="AH143" s="53"/>
      <c r="AI143" s="45">
        <f t="shared" si="19"/>
        <v>46809</v>
      </c>
      <c r="AJ143" s="45"/>
      <c r="AK143" s="53">
        <v>0</v>
      </c>
      <c r="AL143" s="45"/>
      <c r="AM143" s="53">
        <v>0</v>
      </c>
      <c r="AN143" s="53"/>
      <c r="AO143" s="53">
        <v>0</v>
      </c>
      <c r="AP143" s="53"/>
      <c r="AQ143" s="53">
        <v>0</v>
      </c>
      <c r="AR143" s="53"/>
      <c r="AS143" s="45">
        <f t="shared" si="20"/>
        <v>46809</v>
      </c>
      <c r="AT143" s="45"/>
      <c r="AU143" s="53">
        <v>0</v>
      </c>
      <c r="AV143" s="53"/>
      <c r="AW143" s="53">
        <v>0</v>
      </c>
      <c r="AX143" s="53"/>
      <c r="AY143" s="53">
        <f t="shared" si="21"/>
        <v>204205</v>
      </c>
      <c r="AZ143" s="53"/>
      <c r="BA143" s="35" t="s">
        <v>66</v>
      </c>
      <c r="BC143" s="35" t="s">
        <v>45</v>
      </c>
      <c r="BD143" s="53"/>
      <c r="BE143" s="53">
        <v>4300000</v>
      </c>
      <c r="BF143" s="53"/>
      <c r="BG143" s="53">
        <v>0</v>
      </c>
      <c r="BH143" s="53"/>
      <c r="BI143" s="53">
        <f>16134104-BE143</f>
        <v>11834104</v>
      </c>
      <c r="BJ143" s="53"/>
      <c r="BK143" s="53">
        <v>3641822</v>
      </c>
      <c r="BL143" s="53"/>
      <c r="BM143" s="53">
        <f t="shared" si="22"/>
        <v>19775926</v>
      </c>
      <c r="BN143" s="54" t="s">
        <v>347</v>
      </c>
      <c r="BR143" s="51"/>
      <c r="BS143" s="53"/>
      <c r="BT143" s="53"/>
      <c r="BU143" s="53"/>
      <c r="BV143" s="53"/>
      <c r="BW143" s="53"/>
      <c r="BX143" s="45"/>
      <c r="BY143" s="45"/>
      <c r="BZ143" s="53"/>
      <c r="CA143" s="53"/>
      <c r="CB143" s="53"/>
      <c r="CC143" s="53"/>
      <c r="CD143" s="53"/>
      <c r="CE143" s="53"/>
      <c r="CF143" s="35"/>
      <c r="CH143" s="35"/>
      <c r="CI143" s="53"/>
      <c r="CJ143" s="53"/>
      <c r="CK143" s="53"/>
      <c r="CL143" s="53"/>
      <c r="CM143" s="53"/>
      <c r="CN143" s="53"/>
      <c r="CO143" s="53"/>
      <c r="CP143" s="53"/>
      <c r="CQ143" s="53"/>
      <c r="CR143" s="53"/>
      <c r="CS143" s="54"/>
    </row>
    <row r="144" spans="1:98" s="159" customFormat="1" ht="12.75" hidden="1" customHeight="1">
      <c r="A144" s="142" t="s">
        <v>173</v>
      </c>
      <c r="B144" s="140"/>
      <c r="C144" s="142" t="s">
        <v>66</v>
      </c>
      <c r="D144" s="137"/>
      <c r="E144" s="156">
        <f t="shared" ref="E144:E209" si="26">I144-G144</f>
        <v>0</v>
      </c>
      <c r="F144" s="156"/>
      <c r="G144" s="156"/>
      <c r="H144" s="156"/>
      <c r="I144" s="156"/>
      <c r="J144" s="156"/>
      <c r="K144" s="156">
        <f t="shared" ref="K144:K209" si="27">O144-M144</f>
        <v>0</v>
      </c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>
        <f t="shared" ref="W144:W150" si="28">SUM(Q144:U144)</f>
        <v>0</v>
      </c>
      <c r="X144" s="156"/>
      <c r="Y144" s="142" t="s">
        <v>173</v>
      </c>
      <c r="AA144" s="142" t="s">
        <v>66</v>
      </c>
      <c r="AB144" s="142"/>
      <c r="AC144" s="156"/>
      <c r="AD144" s="156"/>
      <c r="AE144" s="156"/>
      <c r="AF144" s="156"/>
      <c r="AG144" s="156"/>
      <c r="AH144" s="156"/>
      <c r="AI144" s="143">
        <f t="shared" ref="AI144:AI209" si="29">+AC144-AE144-AG144</f>
        <v>0</v>
      </c>
      <c r="AJ144" s="143"/>
      <c r="AK144" s="156"/>
      <c r="AL144" s="143"/>
      <c r="AM144" s="156"/>
      <c r="AN144" s="156"/>
      <c r="AO144" s="156"/>
      <c r="AP144" s="156"/>
      <c r="AQ144" s="156"/>
      <c r="AR144" s="156"/>
      <c r="AS144" s="143">
        <f t="shared" ref="AS144:AS209" si="30">+AI144+AK144+AM144-AO144+AQ144</f>
        <v>0</v>
      </c>
      <c r="AT144" s="143"/>
      <c r="AU144" s="156">
        <v>0</v>
      </c>
      <c r="AV144" s="156"/>
      <c r="AW144" s="156">
        <v>0</v>
      </c>
      <c r="AX144" s="156"/>
      <c r="AY144" s="156">
        <f t="shared" ref="AY144:AY209" si="31">+E144-K144</f>
        <v>0</v>
      </c>
      <c r="AZ144" s="156"/>
      <c r="BA144" s="142" t="s">
        <v>173</v>
      </c>
      <c r="BC144" s="142" t="s">
        <v>66</v>
      </c>
      <c r="BD144" s="156"/>
      <c r="BE144" s="156"/>
      <c r="BF144" s="156"/>
      <c r="BG144" s="156"/>
      <c r="BH144" s="156"/>
      <c r="BI144" s="156"/>
      <c r="BJ144" s="156"/>
      <c r="BK144" s="156"/>
      <c r="BL144" s="156"/>
      <c r="BM144" s="156">
        <f t="shared" ref="BM144:BM209" si="32">SUM(BE144:BK144)</f>
        <v>0</v>
      </c>
      <c r="BN144" s="158" t="s">
        <v>347</v>
      </c>
      <c r="BR144" s="140"/>
      <c r="BS144" s="156"/>
      <c r="BT144" s="156"/>
      <c r="BU144" s="156"/>
      <c r="BV144" s="156"/>
      <c r="BW144" s="156"/>
      <c r="BX144" s="143"/>
      <c r="BY144" s="143"/>
      <c r="BZ144" s="156"/>
      <c r="CA144" s="156"/>
      <c r="CB144" s="156"/>
      <c r="CC144" s="156"/>
      <c r="CD144" s="156"/>
      <c r="CE144" s="156"/>
      <c r="CF144" s="142"/>
      <c r="CH144" s="142"/>
      <c r="CI144" s="156"/>
      <c r="CJ144" s="156"/>
      <c r="CK144" s="156"/>
      <c r="CL144" s="156"/>
      <c r="CM144" s="156"/>
      <c r="CN144" s="156"/>
      <c r="CO144" s="156"/>
      <c r="CP144" s="156"/>
      <c r="CQ144" s="156"/>
      <c r="CR144" s="156"/>
      <c r="CS144" s="158"/>
    </row>
    <row r="145" spans="1:97" s="159" customFormat="1" ht="12.75" hidden="1" customHeight="1">
      <c r="A145" s="142" t="s">
        <v>174</v>
      </c>
      <c r="B145" s="140"/>
      <c r="C145" s="142" t="s">
        <v>45</v>
      </c>
      <c r="D145" s="137"/>
      <c r="E145" s="156">
        <f t="shared" si="26"/>
        <v>0</v>
      </c>
      <c r="F145" s="156"/>
      <c r="G145" s="156">
        <v>0</v>
      </c>
      <c r="H145" s="156"/>
      <c r="I145" s="156">
        <v>0</v>
      </c>
      <c r="J145" s="156"/>
      <c r="K145" s="156">
        <f t="shared" si="27"/>
        <v>0</v>
      </c>
      <c r="L145" s="156"/>
      <c r="M145" s="156">
        <v>0</v>
      </c>
      <c r="N145" s="156"/>
      <c r="O145" s="156">
        <v>0</v>
      </c>
      <c r="P145" s="156"/>
      <c r="Q145" s="156">
        <v>0</v>
      </c>
      <c r="R145" s="156"/>
      <c r="S145" s="156">
        <v>0</v>
      </c>
      <c r="T145" s="156"/>
      <c r="U145" s="156">
        <v>0</v>
      </c>
      <c r="V145" s="156"/>
      <c r="W145" s="156">
        <f t="shared" si="28"/>
        <v>0</v>
      </c>
      <c r="X145" s="156"/>
      <c r="Y145" s="142" t="s">
        <v>174</v>
      </c>
      <c r="AA145" s="142" t="s">
        <v>45</v>
      </c>
      <c r="AB145" s="142"/>
      <c r="AC145" s="156">
        <v>0</v>
      </c>
      <c r="AD145" s="156"/>
      <c r="AE145" s="156">
        <v>0</v>
      </c>
      <c r="AF145" s="156"/>
      <c r="AG145" s="156">
        <v>0</v>
      </c>
      <c r="AH145" s="156"/>
      <c r="AI145" s="143">
        <f t="shared" si="29"/>
        <v>0</v>
      </c>
      <c r="AJ145" s="143"/>
      <c r="AK145" s="156">
        <v>0</v>
      </c>
      <c r="AL145" s="143"/>
      <c r="AM145" s="156">
        <v>0</v>
      </c>
      <c r="AN145" s="156"/>
      <c r="AO145" s="156">
        <v>0</v>
      </c>
      <c r="AP145" s="156"/>
      <c r="AQ145" s="156">
        <v>0</v>
      </c>
      <c r="AR145" s="156"/>
      <c r="AS145" s="143">
        <f t="shared" si="30"/>
        <v>0</v>
      </c>
      <c r="AT145" s="143"/>
      <c r="AU145" s="156">
        <v>0</v>
      </c>
      <c r="AV145" s="156"/>
      <c r="AW145" s="156">
        <v>0</v>
      </c>
      <c r="AX145" s="156"/>
      <c r="AY145" s="156">
        <f t="shared" si="31"/>
        <v>0</v>
      </c>
      <c r="AZ145" s="156"/>
      <c r="BA145" s="142" t="s">
        <v>174</v>
      </c>
      <c r="BC145" s="142" t="s">
        <v>45</v>
      </c>
      <c r="BD145" s="156"/>
      <c r="BE145" s="156">
        <v>0</v>
      </c>
      <c r="BF145" s="156"/>
      <c r="BG145" s="156">
        <v>0</v>
      </c>
      <c r="BH145" s="156"/>
      <c r="BI145" s="156">
        <v>0</v>
      </c>
      <c r="BJ145" s="156"/>
      <c r="BK145" s="156">
        <v>0</v>
      </c>
      <c r="BL145" s="156"/>
      <c r="BM145" s="156">
        <f t="shared" si="32"/>
        <v>0</v>
      </c>
      <c r="BN145" s="158" t="s">
        <v>347</v>
      </c>
      <c r="BO145" s="159" t="s">
        <v>406</v>
      </c>
      <c r="BR145" s="140"/>
      <c r="BS145" s="156"/>
      <c r="BT145" s="156"/>
      <c r="BU145" s="156"/>
      <c r="BV145" s="156"/>
      <c r="BW145" s="156"/>
      <c r="BX145" s="143"/>
      <c r="BY145" s="143"/>
      <c r="BZ145" s="156"/>
      <c r="CA145" s="156"/>
      <c r="CB145" s="156"/>
      <c r="CC145" s="156"/>
      <c r="CD145" s="156"/>
      <c r="CE145" s="156"/>
      <c r="CF145" s="142"/>
      <c r="CH145" s="142"/>
      <c r="CI145" s="156"/>
      <c r="CJ145" s="156"/>
      <c r="CK145" s="156"/>
      <c r="CL145" s="156"/>
      <c r="CM145" s="156"/>
      <c r="CN145" s="156"/>
      <c r="CO145" s="156"/>
      <c r="CP145" s="156"/>
      <c r="CQ145" s="156"/>
      <c r="CR145" s="156"/>
      <c r="CS145" s="158"/>
    </row>
    <row r="146" spans="1:97" s="55" customFormat="1" ht="12.75" customHeight="1">
      <c r="A146" s="35" t="s">
        <v>175</v>
      </c>
      <c r="B146" s="51"/>
      <c r="C146" s="35" t="s">
        <v>176</v>
      </c>
      <c r="D146" s="44"/>
      <c r="E146" s="53">
        <f t="shared" si="26"/>
        <v>4344312</v>
      </c>
      <c r="F146" s="53"/>
      <c r="G146" s="53">
        <v>13271949</v>
      </c>
      <c r="H146" s="53"/>
      <c r="I146" s="53">
        <v>17616261</v>
      </c>
      <c r="J146" s="53"/>
      <c r="K146" s="53">
        <f t="shared" si="27"/>
        <v>591099</v>
      </c>
      <c r="L146" s="53"/>
      <c r="M146" s="53">
        <v>5621147</v>
      </c>
      <c r="N146" s="53"/>
      <c r="O146" s="53">
        <v>6212246</v>
      </c>
      <c r="P146" s="53"/>
      <c r="Q146" s="53">
        <v>7264205</v>
      </c>
      <c r="R146" s="53"/>
      <c r="S146" s="53">
        <v>0</v>
      </c>
      <c r="T146" s="53"/>
      <c r="U146" s="53">
        <v>4139810</v>
      </c>
      <c r="V146" s="53"/>
      <c r="W146" s="53">
        <f t="shared" si="28"/>
        <v>11404015</v>
      </c>
      <c r="X146" s="53"/>
      <c r="Y146" s="35" t="s">
        <v>175</v>
      </c>
      <c r="AA146" s="35" t="s">
        <v>176</v>
      </c>
      <c r="AB146" s="35"/>
      <c r="AC146" s="53">
        <v>2675408</v>
      </c>
      <c r="AD146" s="53"/>
      <c r="AE146" s="53">
        <v>2124373</v>
      </c>
      <c r="AF146" s="53"/>
      <c r="AG146" s="53">
        <v>477693</v>
      </c>
      <c r="AH146" s="53"/>
      <c r="AI146" s="45">
        <f t="shared" si="29"/>
        <v>73342</v>
      </c>
      <c r="AJ146" s="45"/>
      <c r="AK146" s="53">
        <v>-235527</v>
      </c>
      <c r="AL146" s="45"/>
      <c r="AM146" s="53">
        <v>0</v>
      </c>
      <c r="AN146" s="53"/>
      <c r="AO146" s="53">
        <v>0</v>
      </c>
      <c r="AP146" s="53"/>
      <c r="AQ146" s="53">
        <v>0</v>
      </c>
      <c r="AR146" s="53"/>
      <c r="AS146" s="45">
        <f t="shared" si="30"/>
        <v>-162185</v>
      </c>
      <c r="AT146" s="45"/>
      <c r="AU146" s="53">
        <v>0</v>
      </c>
      <c r="AV146" s="53"/>
      <c r="AW146" s="53">
        <v>0</v>
      </c>
      <c r="AX146" s="53"/>
      <c r="AY146" s="53">
        <f t="shared" si="31"/>
        <v>3753213</v>
      </c>
      <c r="AZ146" s="53"/>
      <c r="BA146" s="35" t="s">
        <v>175</v>
      </c>
      <c r="BC146" s="35" t="s">
        <v>176</v>
      </c>
      <c r="BD146" s="53"/>
      <c r="BE146" s="53">
        <v>5518320</v>
      </c>
      <c r="BF146" s="53"/>
      <c r="BG146" s="53">
        <v>0</v>
      </c>
      <c r="BH146" s="53"/>
      <c r="BI146" s="53">
        <v>0</v>
      </c>
      <c r="BJ146" s="53"/>
      <c r="BK146" s="53">
        <v>102827</v>
      </c>
      <c r="BL146" s="53"/>
      <c r="BM146" s="53">
        <f t="shared" si="32"/>
        <v>5621147</v>
      </c>
      <c r="BN146" s="54" t="s">
        <v>347</v>
      </c>
      <c r="BO146" s="55" t="s">
        <v>406</v>
      </c>
      <c r="BR146" s="51"/>
      <c r="BS146" s="53"/>
      <c r="BT146" s="53"/>
      <c r="BU146" s="53"/>
      <c r="BV146" s="53"/>
      <c r="BW146" s="53"/>
      <c r="BX146" s="45"/>
      <c r="BY146" s="45"/>
      <c r="BZ146" s="53"/>
      <c r="CA146" s="53"/>
      <c r="CB146" s="53"/>
      <c r="CC146" s="53"/>
      <c r="CD146" s="53"/>
      <c r="CE146" s="53"/>
      <c r="CF146" s="35"/>
      <c r="CH146" s="35"/>
      <c r="CI146" s="53"/>
      <c r="CJ146" s="53"/>
      <c r="CK146" s="53"/>
      <c r="CL146" s="53"/>
      <c r="CM146" s="53"/>
      <c r="CN146" s="53"/>
      <c r="CO146" s="53"/>
      <c r="CP146" s="53"/>
      <c r="CQ146" s="53"/>
      <c r="CR146" s="53"/>
      <c r="CS146" s="54"/>
    </row>
    <row r="147" spans="1:97" s="159" customFormat="1" ht="12.75" hidden="1" customHeight="1">
      <c r="A147" s="142" t="s">
        <v>177</v>
      </c>
      <c r="B147" s="140"/>
      <c r="C147" s="142" t="s">
        <v>13</v>
      </c>
      <c r="D147" s="137"/>
      <c r="E147" s="156">
        <f t="shared" si="26"/>
        <v>0</v>
      </c>
      <c r="F147" s="156"/>
      <c r="G147" s="156">
        <v>0</v>
      </c>
      <c r="H147" s="156"/>
      <c r="I147" s="156">
        <v>0</v>
      </c>
      <c r="J147" s="156"/>
      <c r="K147" s="156">
        <f t="shared" si="27"/>
        <v>0</v>
      </c>
      <c r="L147" s="156"/>
      <c r="M147" s="156">
        <v>0</v>
      </c>
      <c r="N147" s="156"/>
      <c r="O147" s="156">
        <v>0</v>
      </c>
      <c r="P147" s="156"/>
      <c r="Q147" s="156">
        <v>0</v>
      </c>
      <c r="R147" s="156"/>
      <c r="S147" s="156">
        <v>0</v>
      </c>
      <c r="T147" s="156"/>
      <c r="U147" s="156">
        <v>0</v>
      </c>
      <c r="V147" s="156"/>
      <c r="W147" s="156">
        <f t="shared" si="28"/>
        <v>0</v>
      </c>
      <c r="X147" s="156"/>
      <c r="Y147" s="142" t="s">
        <v>177</v>
      </c>
      <c r="AA147" s="142" t="s">
        <v>13</v>
      </c>
      <c r="AB147" s="142"/>
      <c r="AC147" s="156">
        <v>0</v>
      </c>
      <c r="AD147" s="156"/>
      <c r="AE147" s="156">
        <v>0</v>
      </c>
      <c r="AF147" s="156"/>
      <c r="AG147" s="156">
        <v>0</v>
      </c>
      <c r="AH147" s="156"/>
      <c r="AI147" s="143">
        <f t="shared" si="29"/>
        <v>0</v>
      </c>
      <c r="AJ147" s="143"/>
      <c r="AK147" s="156">
        <v>0</v>
      </c>
      <c r="AL147" s="143"/>
      <c r="AM147" s="156">
        <v>0</v>
      </c>
      <c r="AN147" s="156"/>
      <c r="AO147" s="156">
        <v>0</v>
      </c>
      <c r="AP147" s="156"/>
      <c r="AQ147" s="156">
        <v>0</v>
      </c>
      <c r="AR147" s="156"/>
      <c r="AS147" s="143">
        <f t="shared" si="30"/>
        <v>0</v>
      </c>
      <c r="AT147" s="143"/>
      <c r="AU147" s="156">
        <v>0</v>
      </c>
      <c r="AV147" s="156"/>
      <c r="AW147" s="156">
        <v>0</v>
      </c>
      <c r="AX147" s="156"/>
      <c r="AY147" s="156">
        <f t="shared" si="31"/>
        <v>0</v>
      </c>
      <c r="AZ147" s="156"/>
      <c r="BA147" s="142" t="s">
        <v>177</v>
      </c>
      <c r="BC147" s="142" t="s">
        <v>13</v>
      </c>
      <c r="BD147" s="156"/>
      <c r="BE147" s="156">
        <v>0</v>
      </c>
      <c r="BF147" s="156"/>
      <c r="BG147" s="156">
        <v>0</v>
      </c>
      <c r="BH147" s="156"/>
      <c r="BI147" s="156">
        <v>0</v>
      </c>
      <c r="BJ147" s="156"/>
      <c r="BK147" s="156">
        <v>0</v>
      </c>
      <c r="BL147" s="156"/>
      <c r="BM147" s="156">
        <f t="shared" si="32"/>
        <v>0</v>
      </c>
      <c r="BN147" s="158" t="s">
        <v>347</v>
      </c>
      <c r="BR147" s="140"/>
      <c r="BS147" s="156"/>
      <c r="BT147" s="156"/>
      <c r="BU147" s="156"/>
      <c r="BV147" s="156"/>
      <c r="BW147" s="156"/>
      <c r="BX147" s="143"/>
      <c r="BY147" s="143"/>
      <c r="BZ147" s="156"/>
      <c r="CA147" s="156"/>
      <c r="CB147" s="156"/>
      <c r="CC147" s="156"/>
      <c r="CD147" s="156"/>
      <c r="CE147" s="156"/>
      <c r="CF147" s="142"/>
      <c r="CH147" s="142"/>
      <c r="CI147" s="156"/>
      <c r="CJ147" s="156"/>
      <c r="CK147" s="156"/>
      <c r="CL147" s="156"/>
      <c r="CM147" s="156"/>
      <c r="CN147" s="156"/>
      <c r="CO147" s="156"/>
      <c r="CP147" s="156"/>
      <c r="CQ147" s="156"/>
      <c r="CR147" s="156"/>
      <c r="CS147" s="158"/>
    </row>
    <row r="148" spans="1:97" s="55" customFormat="1" ht="12.75" customHeight="1">
      <c r="A148" s="35" t="s">
        <v>178</v>
      </c>
      <c r="B148" s="51"/>
      <c r="C148" s="35" t="s">
        <v>179</v>
      </c>
      <c r="D148" s="44"/>
      <c r="E148" s="53">
        <f t="shared" si="26"/>
        <v>5106290</v>
      </c>
      <c r="F148" s="53"/>
      <c r="G148" s="53">
        <v>9563611</v>
      </c>
      <c r="H148" s="53"/>
      <c r="I148" s="53">
        <v>14669901</v>
      </c>
      <c r="J148" s="53"/>
      <c r="K148" s="53">
        <f t="shared" si="27"/>
        <v>1079256</v>
      </c>
      <c r="L148" s="53"/>
      <c r="M148" s="53">
        <v>5351369</v>
      </c>
      <c r="N148" s="53"/>
      <c r="O148" s="53">
        <v>6430625</v>
      </c>
      <c r="P148" s="53"/>
      <c r="Q148" s="53">
        <v>3246868</v>
      </c>
      <c r="R148" s="53"/>
      <c r="S148" s="53">
        <v>0</v>
      </c>
      <c r="T148" s="53"/>
      <c r="U148" s="53">
        <v>4992408</v>
      </c>
      <c r="V148" s="53"/>
      <c r="W148" s="53">
        <f t="shared" si="28"/>
        <v>8239276</v>
      </c>
      <c r="X148" s="53"/>
      <c r="Y148" s="35" t="s">
        <v>178</v>
      </c>
      <c r="AA148" s="35" t="s">
        <v>179</v>
      </c>
      <c r="AB148" s="35"/>
      <c r="AC148" s="53">
        <v>3059283</v>
      </c>
      <c r="AD148" s="53"/>
      <c r="AE148" s="53">
        <v>1545755</v>
      </c>
      <c r="AF148" s="53"/>
      <c r="AG148" s="53">
        <v>376486</v>
      </c>
      <c r="AH148" s="53"/>
      <c r="AI148" s="45">
        <f t="shared" si="29"/>
        <v>1137042</v>
      </c>
      <c r="AJ148" s="45"/>
      <c r="AK148" s="53">
        <v>-134000</v>
      </c>
      <c r="AL148" s="45"/>
      <c r="AM148" s="53">
        <v>0</v>
      </c>
      <c r="AN148" s="53"/>
      <c r="AO148" s="53">
        <v>-220000</v>
      </c>
      <c r="AP148" s="53"/>
      <c r="AQ148" s="53">
        <v>235149</v>
      </c>
      <c r="AR148" s="53"/>
      <c r="AS148" s="45">
        <f t="shared" si="30"/>
        <v>1458191</v>
      </c>
      <c r="AT148" s="45"/>
      <c r="AU148" s="53">
        <v>0</v>
      </c>
      <c r="AV148" s="53"/>
      <c r="AW148" s="53">
        <v>0</v>
      </c>
      <c r="AX148" s="53"/>
      <c r="AY148" s="53">
        <f t="shared" si="31"/>
        <v>4027034</v>
      </c>
      <c r="AZ148" s="53"/>
      <c r="BA148" s="35" t="s">
        <v>178</v>
      </c>
      <c r="BC148" s="35" t="s">
        <v>179</v>
      </c>
      <c r="BD148" s="53"/>
      <c r="BE148" s="53">
        <v>0</v>
      </c>
      <c r="BF148" s="53"/>
      <c r="BG148" s="53">
        <v>2204646</v>
      </c>
      <c r="BH148" s="53"/>
      <c r="BI148" s="53">
        <v>2583569</v>
      </c>
      <c r="BJ148" s="53"/>
      <c r="BK148" s="53">
        <v>563154</v>
      </c>
      <c r="BL148" s="53"/>
      <c r="BM148" s="53">
        <f t="shared" si="32"/>
        <v>5351369</v>
      </c>
      <c r="BN148" s="54" t="s">
        <v>347</v>
      </c>
      <c r="BR148" s="51"/>
      <c r="BS148" s="53"/>
      <c r="BT148" s="53"/>
      <c r="BU148" s="53"/>
      <c r="BV148" s="53"/>
      <c r="BW148" s="53"/>
      <c r="BX148" s="45"/>
      <c r="BY148" s="45"/>
      <c r="BZ148" s="53"/>
      <c r="CA148" s="53"/>
      <c r="CB148" s="53"/>
      <c r="CC148" s="53"/>
      <c r="CD148" s="53"/>
      <c r="CE148" s="53"/>
      <c r="CF148" s="35"/>
      <c r="CH148" s="35"/>
      <c r="CI148" s="53"/>
      <c r="CJ148" s="53"/>
      <c r="CK148" s="53"/>
      <c r="CL148" s="53"/>
      <c r="CM148" s="53"/>
      <c r="CN148" s="53"/>
      <c r="CO148" s="53"/>
      <c r="CP148" s="53"/>
      <c r="CQ148" s="53"/>
      <c r="CR148" s="53"/>
      <c r="CS148" s="54"/>
    </row>
    <row r="149" spans="1:97" s="159" customFormat="1" ht="12.75" hidden="1" customHeight="1">
      <c r="A149" s="142" t="s">
        <v>180</v>
      </c>
      <c r="B149" s="140"/>
      <c r="C149" s="142" t="s">
        <v>20</v>
      </c>
      <c r="D149" s="137"/>
      <c r="E149" s="156">
        <f t="shared" si="26"/>
        <v>0</v>
      </c>
      <c r="F149" s="156"/>
      <c r="G149" s="156">
        <v>0</v>
      </c>
      <c r="H149" s="156"/>
      <c r="I149" s="156">
        <v>0</v>
      </c>
      <c r="J149" s="156"/>
      <c r="K149" s="156">
        <f t="shared" si="27"/>
        <v>0</v>
      </c>
      <c r="L149" s="156"/>
      <c r="M149" s="156">
        <v>0</v>
      </c>
      <c r="N149" s="156"/>
      <c r="O149" s="156">
        <v>0</v>
      </c>
      <c r="P149" s="156"/>
      <c r="Q149" s="156">
        <v>0</v>
      </c>
      <c r="R149" s="156"/>
      <c r="S149" s="156">
        <v>0</v>
      </c>
      <c r="T149" s="156"/>
      <c r="U149" s="156">
        <v>0</v>
      </c>
      <c r="V149" s="156"/>
      <c r="W149" s="156">
        <f t="shared" si="28"/>
        <v>0</v>
      </c>
      <c r="X149" s="156"/>
      <c r="Y149" s="142" t="s">
        <v>180</v>
      </c>
      <c r="AA149" s="142" t="s">
        <v>20</v>
      </c>
      <c r="AB149" s="142"/>
      <c r="AC149" s="156">
        <v>0</v>
      </c>
      <c r="AD149" s="156"/>
      <c r="AE149" s="156">
        <v>0</v>
      </c>
      <c r="AF149" s="156"/>
      <c r="AG149" s="156">
        <v>0</v>
      </c>
      <c r="AH149" s="156"/>
      <c r="AI149" s="143">
        <f t="shared" si="29"/>
        <v>0</v>
      </c>
      <c r="AJ149" s="143"/>
      <c r="AK149" s="156">
        <v>0</v>
      </c>
      <c r="AL149" s="143"/>
      <c r="AM149" s="156">
        <v>0</v>
      </c>
      <c r="AN149" s="156"/>
      <c r="AO149" s="156">
        <v>0</v>
      </c>
      <c r="AP149" s="156"/>
      <c r="AQ149" s="156">
        <v>0</v>
      </c>
      <c r="AR149" s="156"/>
      <c r="AS149" s="143">
        <f t="shared" si="30"/>
        <v>0</v>
      </c>
      <c r="AT149" s="143"/>
      <c r="AU149" s="156">
        <v>0</v>
      </c>
      <c r="AV149" s="156"/>
      <c r="AW149" s="156">
        <v>0</v>
      </c>
      <c r="AX149" s="156"/>
      <c r="AY149" s="156">
        <f t="shared" si="31"/>
        <v>0</v>
      </c>
      <c r="AZ149" s="156"/>
      <c r="BA149" s="142" t="s">
        <v>180</v>
      </c>
      <c r="BC149" s="142" t="s">
        <v>20</v>
      </c>
      <c r="BD149" s="156"/>
      <c r="BE149" s="156">
        <v>0</v>
      </c>
      <c r="BF149" s="156"/>
      <c r="BG149" s="156">
        <v>0</v>
      </c>
      <c r="BH149" s="156"/>
      <c r="BI149" s="156">
        <v>0</v>
      </c>
      <c r="BJ149" s="156"/>
      <c r="BK149" s="156">
        <v>0</v>
      </c>
      <c r="BL149" s="156"/>
      <c r="BM149" s="156">
        <f t="shared" si="32"/>
        <v>0</v>
      </c>
      <c r="BN149" s="158" t="s">
        <v>347</v>
      </c>
      <c r="BR149" s="140"/>
      <c r="BS149" s="156"/>
      <c r="BT149" s="156"/>
      <c r="BU149" s="156"/>
      <c r="BV149" s="156"/>
      <c r="BW149" s="156"/>
      <c r="BX149" s="143"/>
      <c r="BY149" s="143"/>
      <c r="BZ149" s="156"/>
      <c r="CA149" s="156"/>
      <c r="CB149" s="156"/>
      <c r="CC149" s="156"/>
      <c r="CD149" s="156"/>
      <c r="CE149" s="156"/>
      <c r="CF149" s="142"/>
      <c r="CH149" s="142"/>
      <c r="CI149" s="156"/>
      <c r="CJ149" s="156"/>
      <c r="CK149" s="156"/>
      <c r="CL149" s="156"/>
      <c r="CM149" s="156"/>
      <c r="CN149" s="156"/>
      <c r="CO149" s="156"/>
      <c r="CP149" s="156"/>
      <c r="CQ149" s="156"/>
      <c r="CR149" s="156"/>
      <c r="CS149" s="158"/>
    </row>
    <row r="150" spans="1:97" s="55" customFormat="1" ht="12.75" customHeight="1">
      <c r="A150" s="35" t="s">
        <v>182</v>
      </c>
      <c r="C150" s="35" t="s">
        <v>183</v>
      </c>
      <c r="D150" s="44"/>
      <c r="E150" s="53">
        <f t="shared" si="26"/>
        <v>795260</v>
      </c>
      <c r="F150" s="53"/>
      <c r="G150" s="53">
        <v>1995365</v>
      </c>
      <c r="H150" s="53"/>
      <c r="I150" s="53">
        <v>2790625</v>
      </c>
      <c r="J150" s="53"/>
      <c r="K150" s="53">
        <f t="shared" si="27"/>
        <v>264818</v>
      </c>
      <c r="L150" s="53"/>
      <c r="M150" s="53">
        <v>1301652</v>
      </c>
      <c r="N150" s="53"/>
      <c r="O150" s="53">
        <v>1566470</v>
      </c>
      <c r="P150" s="53"/>
      <c r="Q150" s="53">
        <v>576918</v>
      </c>
      <c r="R150" s="53"/>
      <c r="S150" s="53">
        <v>0</v>
      </c>
      <c r="T150" s="53"/>
      <c r="U150" s="53">
        <v>647237</v>
      </c>
      <c r="V150" s="53"/>
      <c r="W150" s="53">
        <f t="shared" si="28"/>
        <v>1224155</v>
      </c>
      <c r="X150" s="53"/>
      <c r="Y150" s="35" t="s">
        <v>182</v>
      </c>
      <c r="AA150" s="35" t="s">
        <v>183</v>
      </c>
      <c r="AB150" s="35"/>
      <c r="AC150" s="53">
        <v>850421</v>
      </c>
      <c r="AD150" s="53"/>
      <c r="AE150" s="53">
        <v>491139</v>
      </c>
      <c r="AF150" s="53"/>
      <c r="AG150" s="53">
        <v>474036</v>
      </c>
      <c r="AH150" s="53"/>
      <c r="AI150" s="45">
        <f t="shared" si="29"/>
        <v>-114754</v>
      </c>
      <c r="AJ150" s="45"/>
      <c r="AK150" s="53">
        <v>24565</v>
      </c>
      <c r="AL150" s="45"/>
      <c r="AM150" s="53">
        <v>21254</v>
      </c>
      <c r="AN150" s="53"/>
      <c r="AO150" s="53">
        <v>0</v>
      </c>
      <c r="AP150" s="53"/>
      <c r="AQ150" s="53">
        <v>0</v>
      </c>
      <c r="AR150" s="53"/>
      <c r="AS150" s="45">
        <f t="shared" si="30"/>
        <v>-68935</v>
      </c>
      <c r="AT150" s="45"/>
      <c r="AU150" s="53">
        <v>0</v>
      </c>
      <c r="AV150" s="53"/>
      <c r="AW150" s="53">
        <v>0</v>
      </c>
      <c r="AX150" s="53"/>
      <c r="AY150" s="53">
        <f t="shared" si="31"/>
        <v>530442</v>
      </c>
      <c r="AZ150" s="53"/>
      <c r="BA150" s="35" t="s">
        <v>182</v>
      </c>
      <c r="BC150" s="35" t="s">
        <v>183</v>
      </c>
      <c r="BD150" s="53"/>
      <c r="BE150" s="53">
        <v>0</v>
      </c>
      <c r="BF150" s="53"/>
      <c r="BG150" s="53">
        <v>0</v>
      </c>
      <c r="BH150" s="53"/>
      <c r="BI150" s="53">
        <v>1272296</v>
      </c>
      <c r="BJ150" s="53"/>
      <c r="BK150" s="53">
        <v>29356</v>
      </c>
      <c r="BL150" s="53"/>
      <c r="BM150" s="53">
        <f t="shared" si="32"/>
        <v>1301652</v>
      </c>
      <c r="BN150" s="54" t="s">
        <v>347</v>
      </c>
      <c r="BR150" s="51"/>
      <c r="BS150" s="53"/>
      <c r="BT150" s="53"/>
      <c r="BU150" s="53"/>
      <c r="BV150" s="53"/>
      <c r="BW150" s="53"/>
      <c r="BX150" s="45"/>
      <c r="BY150" s="45"/>
      <c r="BZ150" s="53"/>
      <c r="CA150" s="53"/>
      <c r="CB150" s="53"/>
      <c r="CC150" s="53"/>
      <c r="CD150" s="53"/>
      <c r="CE150" s="53"/>
      <c r="CF150" s="35"/>
      <c r="CH150" s="35"/>
      <c r="CI150" s="53"/>
      <c r="CJ150" s="53"/>
      <c r="CK150" s="53"/>
      <c r="CL150" s="53"/>
      <c r="CM150" s="53"/>
      <c r="CN150" s="53"/>
      <c r="CO150" s="53"/>
      <c r="CP150" s="53"/>
      <c r="CQ150" s="53"/>
      <c r="CR150" s="53"/>
      <c r="CS150" s="54"/>
    </row>
    <row r="151" spans="1:97" s="55" customFormat="1" ht="15" customHeight="1">
      <c r="A151" s="35" t="s">
        <v>184</v>
      </c>
      <c r="B151" s="51"/>
      <c r="C151" s="35" t="s">
        <v>89</v>
      </c>
      <c r="D151" s="44"/>
      <c r="E151" s="53">
        <f t="shared" si="26"/>
        <v>826052</v>
      </c>
      <c r="F151" s="53"/>
      <c r="G151" s="53">
        <v>12230951</v>
      </c>
      <c r="H151" s="53"/>
      <c r="I151" s="53">
        <v>13057003</v>
      </c>
      <c r="J151" s="53"/>
      <c r="K151" s="53">
        <f t="shared" si="27"/>
        <v>682417</v>
      </c>
      <c r="L151" s="53"/>
      <c r="M151" s="53">
        <v>8679107</v>
      </c>
      <c r="N151" s="53"/>
      <c r="O151" s="53">
        <v>9361524</v>
      </c>
      <c r="P151" s="53"/>
      <c r="Q151" s="53">
        <v>4356510</v>
      </c>
      <c r="R151" s="53"/>
      <c r="S151" s="53">
        <v>0</v>
      </c>
      <c r="T151" s="53"/>
      <c r="U151" s="53">
        <v>-661031</v>
      </c>
      <c r="V151" s="53"/>
      <c r="W151" s="53">
        <v>3635212</v>
      </c>
      <c r="X151" s="53"/>
      <c r="Y151" s="35" t="s">
        <v>184</v>
      </c>
      <c r="AA151" s="35" t="s">
        <v>89</v>
      </c>
      <c r="AB151" s="35"/>
      <c r="AC151" s="53">
        <v>1783413</v>
      </c>
      <c r="AD151" s="53"/>
      <c r="AE151" s="53">
        <v>989180</v>
      </c>
      <c r="AF151" s="53"/>
      <c r="AG151" s="53">
        <v>460902</v>
      </c>
      <c r="AH151" s="53"/>
      <c r="AI151" s="45">
        <f t="shared" si="29"/>
        <v>333331</v>
      </c>
      <c r="AJ151" s="45"/>
      <c r="AK151" s="53">
        <v>3670</v>
      </c>
      <c r="AL151" s="45"/>
      <c r="AM151" s="53">
        <v>0</v>
      </c>
      <c r="AN151" s="53"/>
      <c r="AO151" s="53">
        <v>0</v>
      </c>
      <c r="AP151" s="53"/>
      <c r="AQ151" s="53">
        <v>193968</v>
      </c>
      <c r="AR151" s="53"/>
      <c r="AS151" s="45">
        <f t="shared" si="30"/>
        <v>530969</v>
      </c>
      <c r="AT151" s="45"/>
      <c r="AU151" s="53">
        <v>0</v>
      </c>
      <c r="AV151" s="53"/>
      <c r="AW151" s="53">
        <v>0</v>
      </c>
      <c r="AX151" s="53"/>
      <c r="AY151" s="53">
        <f t="shared" si="31"/>
        <v>143635</v>
      </c>
      <c r="AZ151" s="53"/>
      <c r="BA151" s="35" t="s">
        <v>184</v>
      </c>
      <c r="BC151" s="35" t="s">
        <v>89</v>
      </c>
      <c r="BD151" s="53"/>
      <c r="BE151" s="53">
        <v>0</v>
      </c>
      <c r="BF151" s="53"/>
      <c r="BG151" s="53">
        <v>0</v>
      </c>
      <c r="BH151" s="53"/>
      <c r="BI151" s="53">
        <v>8631997</v>
      </c>
      <c r="BJ151" s="53"/>
      <c r="BK151" s="53">
        <v>47110</v>
      </c>
      <c r="BL151" s="53"/>
      <c r="BM151" s="53">
        <f t="shared" si="32"/>
        <v>8679107</v>
      </c>
      <c r="BN151" s="54" t="s">
        <v>347</v>
      </c>
      <c r="BR151" s="51"/>
      <c r="BS151" s="53"/>
      <c r="BT151" s="53"/>
      <c r="BU151" s="53"/>
      <c r="BV151" s="53"/>
      <c r="BW151" s="53"/>
      <c r="BX151" s="45"/>
      <c r="BY151" s="45"/>
      <c r="BZ151" s="53"/>
      <c r="CA151" s="53"/>
      <c r="CB151" s="53"/>
      <c r="CC151" s="53"/>
      <c r="CD151" s="53"/>
      <c r="CE151" s="53"/>
      <c r="CF151" s="35"/>
      <c r="CH151" s="35"/>
      <c r="CI151" s="53"/>
      <c r="CJ151" s="53"/>
      <c r="CK151" s="53"/>
      <c r="CL151" s="53"/>
      <c r="CM151" s="53"/>
      <c r="CN151" s="53"/>
      <c r="CO151" s="53"/>
      <c r="CP151" s="53"/>
      <c r="CQ151" s="53"/>
      <c r="CR151" s="53"/>
      <c r="CS151" s="54"/>
    </row>
    <row r="152" spans="1:97" s="55" customFormat="1" ht="12.75" customHeight="1">
      <c r="A152" s="35" t="s">
        <v>181</v>
      </c>
      <c r="B152" s="51"/>
      <c r="C152" s="35" t="s">
        <v>125</v>
      </c>
      <c r="D152" s="44"/>
      <c r="E152" s="53">
        <f t="shared" si="26"/>
        <v>4273416</v>
      </c>
      <c r="F152" s="53"/>
      <c r="G152" s="53">
        <v>14546302</v>
      </c>
      <c r="H152" s="53"/>
      <c r="I152" s="53">
        <v>18819718</v>
      </c>
      <c r="J152" s="53"/>
      <c r="K152" s="53">
        <f t="shared" si="27"/>
        <v>1323972</v>
      </c>
      <c r="L152" s="53"/>
      <c r="M152" s="53">
        <v>9802211</v>
      </c>
      <c r="N152" s="53"/>
      <c r="O152" s="53">
        <v>11126183</v>
      </c>
      <c r="P152" s="53"/>
      <c r="Q152" s="53">
        <v>3988119</v>
      </c>
      <c r="R152" s="53"/>
      <c r="S152" s="53">
        <v>0</v>
      </c>
      <c r="T152" s="53"/>
      <c r="U152" s="53">
        <v>3705416</v>
      </c>
      <c r="V152" s="53"/>
      <c r="W152" s="53">
        <f t="shared" ref="W152:W184" si="33">SUM(Q152:U152)</f>
        <v>7693535</v>
      </c>
      <c r="X152" s="53"/>
      <c r="Y152" s="35" t="s">
        <v>181</v>
      </c>
      <c r="AA152" s="35" t="s">
        <v>125</v>
      </c>
      <c r="AB152" s="35"/>
      <c r="AC152" s="53">
        <v>5836149</v>
      </c>
      <c r="AD152" s="53"/>
      <c r="AE152" s="53">
        <v>3093514</v>
      </c>
      <c r="AF152" s="53"/>
      <c r="AG152" s="53">
        <v>1603178</v>
      </c>
      <c r="AH152" s="53"/>
      <c r="AI152" s="45">
        <f t="shared" si="29"/>
        <v>1139457</v>
      </c>
      <c r="AJ152" s="45"/>
      <c r="AK152" s="53">
        <v>-432866</v>
      </c>
      <c r="AL152" s="45"/>
      <c r="AM152" s="53">
        <v>70001</v>
      </c>
      <c r="AN152" s="53"/>
      <c r="AO152" s="53">
        <v>811335</v>
      </c>
      <c r="AP152" s="53"/>
      <c r="AQ152" s="53">
        <v>0</v>
      </c>
      <c r="AR152" s="53"/>
      <c r="AS152" s="45">
        <f t="shared" si="30"/>
        <v>-34743</v>
      </c>
      <c r="AT152" s="45"/>
      <c r="AU152" s="53">
        <v>0</v>
      </c>
      <c r="AV152" s="53"/>
      <c r="AW152" s="53">
        <v>0</v>
      </c>
      <c r="AX152" s="53"/>
      <c r="AY152" s="53">
        <f t="shared" si="31"/>
        <v>2949444</v>
      </c>
      <c r="AZ152" s="53"/>
      <c r="BA152" s="35" t="s">
        <v>181</v>
      </c>
      <c r="BC152" s="35" t="s">
        <v>125</v>
      </c>
      <c r="BD152" s="53"/>
      <c r="BE152" s="53">
        <v>0</v>
      </c>
      <c r="BF152" s="53"/>
      <c r="BG152" s="53">
        <v>30772</v>
      </c>
      <c r="BH152" s="53"/>
      <c r="BI152" s="53">
        <v>0</v>
      </c>
      <c r="BJ152" s="53"/>
      <c r="BK152" s="53">
        <v>9771439</v>
      </c>
      <c r="BL152" s="53"/>
      <c r="BM152" s="53">
        <f t="shared" si="32"/>
        <v>9802211</v>
      </c>
      <c r="BN152" s="54" t="s">
        <v>347</v>
      </c>
      <c r="BR152" s="51"/>
      <c r="BS152" s="53"/>
      <c r="BT152" s="53"/>
      <c r="BU152" s="53"/>
      <c r="BV152" s="53"/>
      <c r="BW152" s="53"/>
      <c r="BX152" s="45"/>
      <c r="BY152" s="45"/>
      <c r="BZ152" s="53"/>
      <c r="CA152" s="53"/>
      <c r="CB152" s="53"/>
      <c r="CC152" s="53"/>
      <c r="CD152" s="53"/>
      <c r="CE152" s="53"/>
      <c r="CF152" s="35"/>
      <c r="CH152" s="35"/>
      <c r="CI152" s="53"/>
      <c r="CJ152" s="53"/>
      <c r="CK152" s="53"/>
      <c r="CL152" s="53"/>
      <c r="CM152" s="53"/>
      <c r="CN152" s="53"/>
      <c r="CO152" s="53"/>
      <c r="CP152" s="53"/>
      <c r="CQ152" s="53"/>
      <c r="CR152" s="53"/>
      <c r="CS152" s="54"/>
    </row>
    <row r="153" spans="1:97" s="55" customFormat="1" ht="12.75" customHeight="1">
      <c r="A153" s="35" t="s">
        <v>185</v>
      </c>
      <c r="B153" s="51"/>
      <c r="C153" s="35" t="s">
        <v>80</v>
      </c>
      <c r="D153" s="44"/>
      <c r="E153" s="53">
        <f t="shared" si="26"/>
        <v>3530216</v>
      </c>
      <c r="F153" s="53"/>
      <c r="G153" s="53">
        <v>1649626</v>
      </c>
      <c r="H153" s="53"/>
      <c r="I153" s="53">
        <v>5179842</v>
      </c>
      <c r="J153" s="53"/>
      <c r="K153" s="53">
        <f t="shared" si="27"/>
        <v>658378</v>
      </c>
      <c r="L153" s="53"/>
      <c r="M153" s="53">
        <v>2439470</v>
      </c>
      <c r="N153" s="53"/>
      <c r="O153" s="53">
        <v>3097848</v>
      </c>
      <c r="P153" s="53"/>
      <c r="Q153" s="53">
        <v>-1271532</v>
      </c>
      <c r="R153" s="53"/>
      <c r="S153" s="53">
        <v>0</v>
      </c>
      <c r="T153" s="53"/>
      <c r="U153" s="53">
        <v>3353526</v>
      </c>
      <c r="V153" s="53"/>
      <c r="W153" s="53">
        <f t="shared" si="33"/>
        <v>2081994</v>
      </c>
      <c r="X153" s="53"/>
      <c r="Y153" s="35" t="s">
        <v>185</v>
      </c>
      <c r="AA153" s="35" t="s">
        <v>80</v>
      </c>
      <c r="AB153" s="35"/>
      <c r="AC153" s="53">
        <v>2494272</v>
      </c>
      <c r="AD153" s="53"/>
      <c r="AE153" s="53">
        <v>1983693</v>
      </c>
      <c r="AF153" s="53"/>
      <c r="AG153" s="53">
        <v>198824</v>
      </c>
      <c r="AH153" s="53"/>
      <c r="AI153" s="45">
        <f t="shared" si="29"/>
        <v>311755</v>
      </c>
      <c r="AJ153" s="45"/>
      <c r="AK153" s="53">
        <v>-213151</v>
      </c>
      <c r="AL153" s="45"/>
      <c r="AM153" s="53">
        <v>57938</v>
      </c>
      <c r="AN153" s="53"/>
      <c r="AO153" s="53">
        <v>0</v>
      </c>
      <c r="AP153" s="53"/>
      <c r="AQ153" s="53">
        <v>0</v>
      </c>
      <c r="AR153" s="53"/>
      <c r="AS153" s="45">
        <f t="shared" si="30"/>
        <v>156542</v>
      </c>
      <c r="AT153" s="45"/>
      <c r="AU153" s="53">
        <v>0</v>
      </c>
      <c r="AV153" s="53"/>
      <c r="AW153" s="53">
        <v>0</v>
      </c>
      <c r="AX153" s="53"/>
      <c r="AY153" s="53">
        <f t="shared" si="31"/>
        <v>2871838</v>
      </c>
      <c r="AZ153" s="53"/>
      <c r="BA153" s="35" t="s">
        <v>185</v>
      </c>
      <c r="BC153" s="35" t="s">
        <v>80</v>
      </c>
      <c r="BD153" s="53"/>
      <c r="BE153" s="53">
        <v>0</v>
      </c>
      <c r="BF153" s="53"/>
      <c r="BG153" s="53">
        <v>0</v>
      </c>
      <c r="BH153" s="53"/>
      <c r="BI153" s="53">
        <v>2377638</v>
      </c>
      <c r="BJ153" s="53"/>
      <c r="BK153" s="53">
        <v>61832</v>
      </c>
      <c r="BL153" s="53"/>
      <c r="BM153" s="53">
        <f t="shared" si="32"/>
        <v>2439470</v>
      </c>
      <c r="BN153" s="54" t="s">
        <v>347</v>
      </c>
      <c r="BR153" s="51"/>
      <c r="BS153" s="53"/>
      <c r="BT153" s="53"/>
      <c r="BU153" s="53"/>
      <c r="BV153" s="53"/>
      <c r="BW153" s="53"/>
      <c r="BX153" s="45"/>
      <c r="BY153" s="45"/>
      <c r="BZ153" s="53"/>
      <c r="CA153" s="53"/>
      <c r="CB153" s="53"/>
      <c r="CC153" s="53"/>
      <c r="CD153" s="53"/>
      <c r="CE153" s="53"/>
      <c r="CF153" s="35"/>
      <c r="CH153" s="35"/>
      <c r="CI153" s="53"/>
      <c r="CJ153" s="53"/>
      <c r="CK153" s="53"/>
      <c r="CL153" s="53"/>
      <c r="CM153" s="53"/>
      <c r="CN153" s="53"/>
      <c r="CO153" s="53"/>
      <c r="CP153" s="53"/>
      <c r="CQ153" s="53"/>
      <c r="CR153" s="53"/>
      <c r="CS153" s="54"/>
    </row>
    <row r="154" spans="1:97" s="55" customFormat="1" ht="12.75" customHeight="1">
      <c r="A154" s="35" t="s">
        <v>186</v>
      </c>
      <c r="B154" s="51"/>
      <c r="C154" s="35" t="s">
        <v>15</v>
      </c>
      <c r="D154" s="44"/>
      <c r="E154" s="53">
        <f t="shared" si="26"/>
        <v>962349</v>
      </c>
      <c r="F154" s="53"/>
      <c r="G154" s="53">
        <v>6388089</v>
      </c>
      <c r="H154" s="53"/>
      <c r="I154" s="53">
        <v>7350438</v>
      </c>
      <c r="J154" s="53"/>
      <c r="K154" s="53">
        <f t="shared" si="27"/>
        <v>297245</v>
      </c>
      <c r="L154" s="53"/>
      <c r="M154" s="53">
        <v>0</v>
      </c>
      <c r="N154" s="53"/>
      <c r="O154" s="53">
        <v>297245</v>
      </c>
      <c r="P154" s="53"/>
      <c r="Q154" s="53">
        <v>6213089</v>
      </c>
      <c r="R154" s="53"/>
      <c r="S154" s="53">
        <v>0</v>
      </c>
      <c r="T154" s="53"/>
      <c r="U154" s="53">
        <v>840104</v>
      </c>
      <c r="V154" s="53"/>
      <c r="W154" s="53">
        <f t="shared" si="33"/>
        <v>7053193</v>
      </c>
      <c r="X154" s="53"/>
      <c r="Y154" s="35" t="s">
        <v>186</v>
      </c>
      <c r="AA154" s="35" t="s">
        <v>15</v>
      </c>
      <c r="AB154" s="35"/>
      <c r="AC154" s="53">
        <v>2065062</v>
      </c>
      <c r="AD154" s="53"/>
      <c r="AE154" s="53">
        <v>1724751</v>
      </c>
      <c r="AF154" s="53"/>
      <c r="AG154" s="53">
        <v>296347</v>
      </c>
      <c r="AH154" s="53"/>
      <c r="AI154" s="45">
        <f t="shared" si="29"/>
        <v>43964</v>
      </c>
      <c r="AJ154" s="45"/>
      <c r="AK154" s="53">
        <v>-12864</v>
      </c>
      <c r="AL154" s="45"/>
      <c r="AM154" s="53">
        <v>0</v>
      </c>
      <c r="AN154" s="53"/>
      <c r="AO154" s="53">
        <v>-20160</v>
      </c>
      <c r="AP154" s="53"/>
      <c r="AQ154" s="53">
        <v>42215</v>
      </c>
      <c r="AR154" s="53"/>
      <c r="AS154" s="45">
        <f t="shared" si="30"/>
        <v>93475</v>
      </c>
      <c r="AT154" s="45"/>
      <c r="AU154" s="53">
        <v>0</v>
      </c>
      <c r="AV154" s="53"/>
      <c r="AW154" s="53">
        <v>0</v>
      </c>
      <c r="AX154" s="53"/>
      <c r="AY154" s="53">
        <f t="shared" si="31"/>
        <v>665104</v>
      </c>
      <c r="AZ154" s="53"/>
      <c r="BA154" s="35" t="s">
        <v>186</v>
      </c>
      <c r="BC154" s="35" t="s">
        <v>15</v>
      </c>
      <c r="BD154" s="53"/>
      <c r="BE154" s="53">
        <v>0</v>
      </c>
      <c r="BF154" s="53"/>
      <c r="BG154" s="53">
        <v>0</v>
      </c>
      <c r="BH154" s="53"/>
      <c r="BI154" s="53">
        <v>0</v>
      </c>
      <c r="BJ154" s="53"/>
      <c r="BK154" s="53">
        <v>0</v>
      </c>
      <c r="BL154" s="53"/>
      <c r="BM154" s="53">
        <f t="shared" si="32"/>
        <v>0</v>
      </c>
      <c r="BN154" s="54" t="s">
        <v>347</v>
      </c>
      <c r="BR154" s="51"/>
      <c r="BS154" s="53"/>
      <c r="BT154" s="53"/>
      <c r="BU154" s="53"/>
      <c r="BV154" s="53"/>
      <c r="BW154" s="53"/>
      <c r="BX154" s="45"/>
      <c r="BY154" s="45"/>
      <c r="BZ154" s="53"/>
      <c r="CA154" s="53"/>
      <c r="CB154" s="53"/>
      <c r="CC154" s="53"/>
      <c r="CD154" s="53"/>
      <c r="CE154" s="53"/>
      <c r="CF154" s="35"/>
      <c r="CH154" s="35"/>
      <c r="CI154" s="53"/>
      <c r="CJ154" s="53"/>
      <c r="CK154" s="53"/>
      <c r="CL154" s="53"/>
      <c r="CM154" s="53"/>
      <c r="CN154" s="53"/>
      <c r="CO154" s="53"/>
      <c r="CP154" s="53"/>
      <c r="CQ154" s="53"/>
      <c r="CR154" s="53"/>
      <c r="CS154" s="54"/>
    </row>
    <row r="155" spans="1:97" s="55" customFormat="1" ht="12.75" customHeight="1">
      <c r="A155" s="35" t="s">
        <v>187</v>
      </c>
      <c r="B155" s="51"/>
      <c r="C155" s="35" t="s">
        <v>27</v>
      </c>
      <c r="D155" s="44"/>
      <c r="E155" s="53">
        <f t="shared" si="26"/>
        <v>2363386</v>
      </c>
      <c r="F155" s="53"/>
      <c r="G155" s="53">
        <v>24695538</v>
      </c>
      <c r="H155" s="53"/>
      <c r="I155" s="53">
        <v>27058924</v>
      </c>
      <c r="J155" s="53"/>
      <c r="K155" s="53">
        <f t="shared" si="27"/>
        <v>1796493</v>
      </c>
      <c r="L155" s="53"/>
      <c r="M155" s="53">
        <v>11510304</v>
      </c>
      <c r="N155" s="53"/>
      <c r="O155" s="53">
        <v>13306797</v>
      </c>
      <c r="P155" s="53"/>
      <c r="Q155" s="53">
        <v>12303507</v>
      </c>
      <c r="R155" s="53"/>
      <c r="S155" s="53">
        <v>0</v>
      </c>
      <c r="T155" s="53"/>
      <c r="U155" s="53">
        <v>1448620</v>
      </c>
      <c r="V155" s="53"/>
      <c r="W155" s="53">
        <f t="shared" si="33"/>
        <v>13752127</v>
      </c>
      <c r="X155" s="53"/>
      <c r="Y155" s="35" t="s">
        <v>187</v>
      </c>
      <c r="AA155" s="35" t="s">
        <v>27</v>
      </c>
      <c r="AB155" s="35"/>
      <c r="AC155" s="53">
        <v>5902415</v>
      </c>
      <c r="AD155" s="53"/>
      <c r="AE155" s="53">
        <v>4728337</v>
      </c>
      <c r="AF155" s="53"/>
      <c r="AG155" s="53">
        <v>1456934</v>
      </c>
      <c r="AH155" s="53"/>
      <c r="AI155" s="45">
        <f t="shared" si="29"/>
        <v>-282856</v>
      </c>
      <c r="AJ155" s="45"/>
      <c r="AK155" s="53">
        <v>-601356</v>
      </c>
      <c r="AL155" s="45"/>
      <c r="AM155" s="53">
        <v>328082</v>
      </c>
      <c r="AN155" s="53"/>
      <c r="AO155" s="53">
        <v>0</v>
      </c>
      <c r="AP155" s="53"/>
      <c r="AQ155" s="53">
        <v>141130</v>
      </c>
      <c r="AR155" s="53"/>
      <c r="AS155" s="45">
        <f t="shared" si="30"/>
        <v>-415000</v>
      </c>
      <c r="AT155" s="45"/>
      <c r="AU155" s="53">
        <v>0</v>
      </c>
      <c r="AV155" s="53"/>
      <c r="AW155" s="53">
        <v>0</v>
      </c>
      <c r="AX155" s="53"/>
      <c r="AY155" s="53">
        <f t="shared" si="31"/>
        <v>566893</v>
      </c>
      <c r="AZ155" s="53"/>
      <c r="BA155" s="35" t="s">
        <v>187</v>
      </c>
      <c r="BC155" s="35" t="s">
        <v>27</v>
      </c>
      <c r="BD155" s="53"/>
      <c r="BE155" s="53">
        <v>9733910</v>
      </c>
      <c r="BF155" s="53"/>
      <c r="BG155" s="53">
        <v>0</v>
      </c>
      <c r="BH155" s="53"/>
      <c r="BI155" s="53">
        <v>1469603</v>
      </c>
      <c r="BJ155" s="53"/>
      <c r="BK155" s="53">
        <v>306791</v>
      </c>
      <c r="BL155" s="53"/>
      <c r="BM155" s="53">
        <f t="shared" si="32"/>
        <v>11510304</v>
      </c>
      <c r="BN155" s="54" t="s">
        <v>347</v>
      </c>
      <c r="BR155" s="51"/>
      <c r="BS155" s="53"/>
      <c r="BT155" s="53"/>
      <c r="BU155" s="53"/>
      <c r="BV155" s="53"/>
      <c r="BW155" s="53"/>
      <c r="BX155" s="45"/>
      <c r="BY155" s="45"/>
      <c r="BZ155" s="53"/>
      <c r="CA155" s="53"/>
      <c r="CB155" s="53"/>
      <c r="CC155" s="53"/>
      <c r="CD155" s="53"/>
      <c r="CE155" s="53"/>
      <c r="CF155" s="35"/>
      <c r="CH155" s="35"/>
      <c r="CI155" s="53"/>
      <c r="CJ155" s="53"/>
      <c r="CK155" s="53"/>
      <c r="CL155" s="53"/>
      <c r="CM155" s="53"/>
      <c r="CN155" s="53"/>
      <c r="CO155" s="53"/>
      <c r="CP155" s="53"/>
      <c r="CQ155" s="53"/>
      <c r="CR155" s="53"/>
      <c r="CS155" s="54"/>
    </row>
    <row r="156" spans="1:97" s="55" customFormat="1" ht="11.25" customHeight="1">
      <c r="A156" s="35" t="s">
        <v>189</v>
      </c>
      <c r="B156" s="51"/>
      <c r="C156" s="35" t="s">
        <v>17</v>
      </c>
      <c r="D156" s="44"/>
      <c r="E156" s="53">
        <f t="shared" si="26"/>
        <v>10791466</v>
      </c>
      <c r="F156" s="53"/>
      <c r="G156" s="53">
        <v>56257974</v>
      </c>
      <c r="H156" s="53"/>
      <c r="I156" s="53">
        <v>67049440</v>
      </c>
      <c r="J156" s="53"/>
      <c r="K156" s="53">
        <f t="shared" si="27"/>
        <v>1241033</v>
      </c>
      <c r="L156" s="53"/>
      <c r="M156" s="53">
        <v>16525184</v>
      </c>
      <c r="N156" s="53"/>
      <c r="O156" s="53">
        <v>17766217</v>
      </c>
      <c r="P156" s="53"/>
      <c r="Q156" s="53">
        <v>35548939</v>
      </c>
      <c r="R156" s="53"/>
      <c r="S156" s="53">
        <v>0</v>
      </c>
      <c r="T156" s="53"/>
      <c r="U156" s="53">
        <v>13734284</v>
      </c>
      <c r="V156" s="53"/>
      <c r="W156" s="53">
        <f t="shared" si="33"/>
        <v>49283223</v>
      </c>
      <c r="X156" s="53"/>
      <c r="Y156" s="35" t="s">
        <v>189</v>
      </c>
      <c r="AA156" s="35" t="s">
        <v>17</v>
      </c>
      <c r="AB156" s="35"/>
      <c r="AC156" s="53">
        <v>4766393</v>
      </c>
      <c r="AD156" s="53"/>
      <c r="AE156" s="53">
        <v>4034163</v>
      </c>
      <c r="AF156" s="53"/>
      <c r="AG156" s="53">
        <v>1631375</v>
      </c>
      <c r="AH156" s="53"/>
      <c r="AI156" s="45">
        <f t="shared" si="29"/>
        <v>-899145</v>
      </c>
      <c r="AJ156" s="45"/>
      <c r="AK156" s="53">
        <v>-236824</v>
      </c>
      <c r="AL156" s="45"/>
      <c r="AM156" s="53">
        <v>0</v>
      </c>
      <c r="AN156" s="53"/>
      <c r="AO156" s="53">
        <v>0</v>
      </c>
      <c r="AP156" s="53"/>
      <c r="AQ156" s="53">
        <v>2050554</v>
      </c>
      <c r="AR156" s="53"/>
      <c r="AS156" s="45">
        <f t="shared" si="30"/>
        <v>914585</v>
      </c>
      <c r="AT156" s="45"/>
      <c r="AU156" s="53">
        <v>0</v>
      </c>
      <c r="AV156" s="53"/>
      <c r="AW156" s="53">
        <v>0</v>
      </c>
      <c r="AX156" s="53"/>
      <c r="AY156" s="53">
        <f t="shared" si="31"/>
        <v>9550433</v>
      </c>
      <c r="AZ156" s="53"/>
      <c r="BA156" s="35" t="s">
        <v>189</v>
      </c>
      <c r="BC156" s="35" t="s">
        <v>17</v>
      </c>
      <c r="BD156" s="53"/>
      <c r="BE156" s="53">
        <v>13795000</v>
      </c>
      <c r="BF156" s="53"/>
      <c r="BG156" s="53">
        <v>2335000</v>
      </c>
      <c r="BH156" s="53"/>
      <c r="BI156" s="53">
        <v>97184</v>
      </c>
      <c r="BJ156" s="53"/>
      <c r="BK156" s="53">
        <v>298000</v>
      </c>
      <c r="BL156" s="53"/>
      <c r="BM156" s="53">
        <f t="shared" si="32"/>
        <v>16525184</v>
      </c>
      <c r="BN156" s="54" t="s">
        <v>347</v>
      </c>
      <c r="BR156" s="51"/>
      <c r="BS156" s="53"/>
      <c r="BT156" s="53"/>
      <c r="BU156" s="53"/>
      <c r="BV156" s="53"/>
      <c r="BW156" s="53"/>
      <c r="BX156" s="45"/>
      <c r="BY156" s="45"/>
      <c r="BZ156" s="53"/>
      <c r="CA156" s="53"/>
      <c r="CB156" s="53"/>
      <c r="CC156" s="53"/>
      <c r="CD156" s="53"/>
      <c r="CE156" s="53"/>
      <c r="CF156" s="35"/>
      <c r="CH156" s="35"/>
      <c r="CI156" s="53"/>
      <c r="CJ156" s="53"/>
      <c r="CK156" s="53"/>
      <c r="CL156" s="53"/>
      <c r="CM156" s="53"/>
      <c r="CN156" s="53"/>
      <c r="CO156" s="53"/>
      <c r="CP156" s="53"/>
      <c r="CQ156" s="53"/>
      <c r="CR156" s="53"/>
      <c r="CS156" s="54"/>
    </row>
    <row r="157" spans="1:97" s="55" customFormat="1" ht="12.75" customHeight="1">
      <c r="A157" s="35" t="s">
        <v>188</v>
      </c>
      <c r="B157" s="51"/>
      <c r="C157" s="35" t="s">
        <v>27</v>
      </c>
      <c r="D157" s="44"/>
      <c r="E157" s="53">
        <f t="shared" si="26"/>
        <v>4290978</v>
      </c>
      <c r="F157" s="53"/>
      <c r="G157" s="53">
        <v>33287288</v>
      </c>
      <c r="H157" s="53"/>
      <c r="I157" s="53">
        <v>37578266</v>
      </c>
      <c r="J157" s="53"/>
      <c r="K157" s="53">
        <f t="shared" si="27"/>
        <v>2181117</v>
      </c>
      <c r="L157" s="53"/>
      <c r="M157" s="53">
        <v>13732920</v>
      </c>
      <c r="N157" s="53"/>
      <c r="O157" s="53">
        <v>15914037</v>
      </c>
      <c r="P157" s="53"/>
      <c r="Q157" s="53">
        <v>17879828</v>
      </c>
      <c r="R157" s="53"/>
      <c r="S157" s="53">
        <v>0</v>
      </c>
      <c r="T157" s="53"/>
      <c r="U157" s="53">
        <v>3784401</v>
      </c>
      <c r="V157" s="53"/>
      <c r="W157" s="53">
        <f t="shared" si="33"/>
        <v>21664229</v>
      </c>
      <c r="X157" s="53"/>
      <c r="Y157" s="35" t="s">
        <v>188</v>
      </c>
      <c r="AA157" s="35" t="s">
        <v>27</v>
      </c>
      <c r="AB157" s="35"/>
      <c r="AC157" s="53">
        <v>5360338</v>
      </c>
      <c r="AD157" s="53"/>
      <c r="AE157" s="53">
        <v>2498553</v>
      </c>
      <c r="AF157" s="53"/>
      <c r="AG157" s="53">
        <v>1743844</v>
      </c>
      <c r="AH157" s="53"/>
      <c r="AI157" s="45">
        <f t="shared" si="29"/>
        <v>1117941</v>
      </c>
      <c r="AJ157" s="45"/>
      <c r="AK157" s="53">
        <v>-619996</v>
      </c>
      <c r="AL157" s="45"/>
      <c r="AM157" s="53">
        <v>0</v>
      </c>
      <c r="AN157" s="53"/>
      <c r="AO157" s="53">
        <v>0</v>
      </c>
      <c r="AP157" s="53"/>
      <c r="AQ157" s="53">
        <v>0</v>
      </c>
      <c r="AR157" s="53"/>
      <c r="AS157" s="45">
        <f t="shared" si="30"/>
        <v>497945</v>
      </c>
      <c r="AT157" s="45"/>
      <c r="AU157" s="53">
        <v>0</v>
      </c>
      <c r="AV157" s="53"/>
      <c r="AW157" s="53">
        <v>0</v>
      </c>
      <c r="AX157" s="53"/>
      <c r="AY157" s="53">
        <f t="shared" si="31"/>
        <v>2109861</v>
      </c>
      <c r="AZ157" s="53"/>
      <c r="BA157" s="35" t="s">
        <v>188</v>
      </c>
      <c r="BC157" s="35" t="s">
        <v>27</v>
      </c>
      <c r="BD157" s="53"/>
      <c r="BE157" s="53">
        <v>0</v>
      </c>
      <c r="BF157" s="53"/>
      <c r="BG157" s="53">
        <v>0</v>
      </c>
      <c r="BH157" s="53"/>
      <c r="BI157" s="53">
        <v>0</v>
      </c>
      <c r="BJ157" s="53"/>
      <c r="BK157" s="53">
        <v>13732920</v>
      </c>
      <c r="BL157" s="53"/>
      <c r="BM157" s="53">
        <f t="shared" si="32"/>
        <v>13732920</v>
      </c>
      <c r="BN157" s="54" t="s">
        <v>347</v>
      </c>
      <c r="BR157" s="51"/>
      <c r="BS157" s="53"/>
      <c r="BT157" s="53"/>
      <c r="BU157" s="53"/>
      <c r="BV157" s="53"/>
      <c r="BW157" s="53"/>
      <c r="BX157" s="45"/>
      <c r="BY157" s="45"/>
      <c r="BZ157" s="53"/>
      <c r="CA157" s="53"/>
      <c r="CB157" s="53"/>
      <c r="CC157" s="53"/>
      <c r="CD157" s="53"/>
      <c r="CE157" s="53"/>
      <c r="CF157" s="35"/>
      <c r="CH157" s="35"/>
      <c r="CI157" s="53"/>
      <c r="CJ157" s="53"/>
      <c r="CK157" s="53"/>
      <c r="CL157" s="53"/>
      <c r="CM157" s="53"/>
      <c r="CN157" s="53"/>
      <c r="CO157" s="53"/>
      <c r="CP157" s="53"/>
      <c r="CQ157" s="53"/>
      <c r="CR157" s="53"/>
      <c r="CS157" s="54"/>
    </row>
    <row r="158" spans="1:97" s="159" customFormat="1" ht="12.75" hidden="1" customHeight="1">
      <c r="A158" s="142" t="s">
        <v>190</v>
      </c>
      <c r="B158" s="140"/>
      <c r="C158" s="142" t="s">
        <v>47</v>
      </c>
      <c r="D158" s="137"/>
      <c r="E158" s="156">
        <f t="shared" si="26"/>
        <v>0</v>
      </c>
      <c r="F158" s="156"/>
      <c r="G158" s="156">
        <v>0</v>
      </c>
      <c r="H158" s="156"/>
      <c r="I158" s="156">
        <v>0</v>
      </c>
      <c r="J158" s="156"/>
      <c r="K158" s="156">
        <f t="shared" si="27"/>
        <v>0</v>
      </c>
      <c r="L158" s="156"/>
      <c r="M158" s="156">
        <v>0</v>
      </c>
      <c r="N158" s="156"/>
      <c r="O158" s="156">
        <v>0</v>
      </c>
      <c r="P158" s="156"/>
      <c r="Q158" s="156">
        <v>0</v>
      </c>
      <c r="R158" s="156"/>
      <c r="S158" s="156">
        <v>0</v>
      </c>
      <c r="T158" s="156"/>
      <c r="U158" s="156">
        <v>0</v>
      </c>
      <c r="V158" s="156"/>
      <c r="W158" s="156">
        <f t="shared" si="33"/>
        <v>0</v>
      </c>
      <c r="X158" s="156"/>
      <c r="Y158" s="142" t="s">
        <v>190</v>
      </c>
      <c r="AA158" s="142" t="s">
        <v>47</v>
      </c>
      <c r="AB158" s="142"/>
      <c r="AC158" s="156">
        <v>0</v>
      </c>
      <c r="AD158" s="156"/>
      <c r="AE158" s="156">
        <v>0</v>
      </c>
      <c r="AF158" s="156"/>
      <c r="AG158" s="156">
        <v>0</v>
      </c>
      <c r="AH158" s="156"/>
      <c r="AI158" s="143">
        <f t="shared" si="29"/>
        <v>0</v>
      </c>
      <c r="AJ158" s="143"/>
      <c r="AK158" s="156">
        <v>0</v>
      </c>
      <c r="AL158" s="143"/>
      <c r="AM158" s="156">
        <v>0</v>
      </c>
      <c r="AN158" s="156"/>
      <c r="AO158" s="156">
        <v>0</v>
      </c>
      <c r="AP158" s="156"/>
      <c r="AQ158" s="156">
        <v>0</v>
      </c>
      <c r="AR158" s="156"/>
      <c r="AS158" s="143">
        <f t="shared" si="30"/>
        <v>0</v>
      </c>
      <c r="AT158" s="143"/>
      <c r="AU158" s="156">
        <v>0</v>
      </c>
      <c r="AV158" s="156"/>
      <c r="AW158" s="156">
        <v>0</v>
      </c>
      <c r="AX158" s="156"/>
      <c r="AY158" s="156">
        <f t="shared" si="31"/>
        <v>0</v>
      </c>
      <c r="AZ158" s="156"/>
      <c r="BA158" s="142" t="s">
        <v>190</v>
      </c>
      <c r="BC158" s="142" t="s">
        <v>47</v>
      </c>
      <c r="BD158" s="156"/>
      <c r="BE158" s="156">
        <v>0</v>
      </c>
      <c r="BF158" s="156"/>
      <c r="BG158" s="156">
        <v>0</v>
      </c>
      <c r="BH158" s="156"/>
      <c r="BI158" s="156">
        <v>0</v>
      </c>
      <c r="BJ158" s="156"/>
      <c r="BK158" s="156">
        <v>0</v>
      </c>
      <c r="BL158" s="156"/>
      <c r="BM158" s="156">
        <f t="shared" si="32"/>
        <v>0</v>
      </c>
      <c r="BN158" s="158" t="s">
        <v>347</v>
      </c>
      <c r="BR158" s="140"/>
      <c r="BS158" s="156" t="s">
        <v>451</v>
      </c>
      <c r="BT158" s="156"/>
      <c r="BU158" s="156"/>
      <c r="BV158" s="156"/>
      <c r="BW158" s="156"/>
      <c r="BX158" s="143"/>
      <c r="BY158" s="143"/>
      <c r="BZ158" s="156"/>
      <c r="CA158" s="156"/>
      <c r="CB158" s="156"/>
      <c r="CC158" s="156"/>
      <c r="CD158" s="156"/>
      <c r="CE158" s="156"/>
      <c r="CF158" s="142"/>
      <c r="CH158" s="142"/>
      <c r="CI158" s="156"/>
      <c r="CJ158" s="156"/>
      <c r="CK158" s="156"/>
      <c r="CL158" s="156"/>
      <c r="CM158" s="156"/>
      <c r="CN158" s="156"/>
      <c r="CO158" s="156"/>
      <c r="CP158" s="156"/>
      <c r="CQ158" s="156"/>
      <c r="CR158" s="156"/>
      <c r="CS158" s="158"/>
    </row>
    <row r="159" spans="1:97" s="159" customFormat="1" ht="12.75" hidden="1" customHeight="1">
      <c r="A159" s="142" t="s">
        <v>191</v>
      </c>
      <c r="B159" s="140"/>
      <c r="C159" s="142" t="s">
        <v>13</v>
      </c>
      <c r="D159" s="137"/>
      <c r="E159" s="156">
        <f t="shared" si="26"/>
        <v>0</v>
      </c>
      <c r="F159" s="156"/>
      <c r="G159" s="156">
        <v>0</v>
      </c>
      <c r="H159" s="156"/>
      <c r="I159" s="156">
        <v>0</v>
      </c>
      <c r="J159" s="156"/>
      <c r="K159" s="156">
        <f t="shared" si="27"/>
        <v>0</v>
      </c>
      <c r="L159" s="156"/>
      <c r="M159" s="156">
        <v>0</v>
      </c>
      <c r="N159" s="156"/>
      <c r="O159" s="156">
        <v>0</v>
      </c>
      <c r="P159" s="156"/>
      <c r="Q159" s="156">
        <v>0</v>
      </c>
      <c r="R159" s="156"/>
      <c r="S159" s="156">
        <v>0</v>
      </c>
      <c r="T159" s="156"/>
      <c r="U159" s="156">
        <v>0</v>
      </c>
      <c r="V159" s="156"/>
      <c r="W159" s="156">
        <f t="shared" si="33"/>
        <v>0</v>
      </c>
      <c r="X159" s="156"/>
      <c r="Y159" s="142" t="s">
        <v>191</v>
      </c>
      <c r="AA159" s="142" t="s">
        <v>13</v>
      </c>
      <c r="AB159" s="142"/>
      <c r="AC159" s="156">
        <v>0</v>
      </c>
      <c r="AD159" s="156"/>
      <c r="AE159" s="156">
        <v>0</v>
      </c>
      <c r="AF159" s="156"/>
      <c r="AG159" s="156">
        <v>0</v>
      </c>
      <c r="AH159" s="156"/>
      <c r="AI159" s="143">
        <f t="shared" si="29"/>
        <v>0</v>
      </c>
      <c r="AJ159" s="143"/>
      <c r="AK159" s="156">
        <v>0</v>
      </c>
      <c r="AL159" s="143"/>
      <c r="AM159" s="156">
        <v>0</v>
      </c>
      <c r="AN159" s="156"/>
      <c r="AO159" s="156">
        <v>0</v>
      </c>
      <c r="AP159" s="156"/>
      <c r="AQ159" s="156">
        <v>0</v>
      </c>
      <c r="AR159" s="156"/>
      <c r="AS159" s="143">
        <f t="shared" si="30"/>
        <v>0</v>
      </c>
      <c r="AT159" s="143"/>
      <c r="AU159" s="156">
        <v>0</v>
      </c>
      <c r="AV159" s="156"/>
      <c r="AW159" s="156">
        <v>0</v>
      </c>
      <c r="AX159" s="156"/>
      <c r="AY159" s="156">
        <f t="shared" si="31"/>
        <v>0</v>
      </c>
      <c r="AZ159" s="156"/>
      <c r="BA159" s="142" t="s">
        <v>191</v>
      </c>
      <c r="BC159" s="142" t="s">
        <v>13</v>
      </c>
      <c r="BD159" s="156"/>
      <c r="BE159" s="156">
        <v>0</v>
      </c>
      <c r="BF159" s="156"/>
      <c r="BG159" s="156">
        <v>0</v>
      </c>
      <c r="BH159" s="156"/>
      <c r="BI159" s="156">
        <v>0</v>
      </c>
      <c r="BJ159" s="156"/>
      <c r="BK159" s="156">
        <v>0</v>
      </c>
      <c r="BL159" s="156"/>
      <c r="BM159" s="156">
        <f t="shared" si="32"/>
        <v>0</v>
      </c>
      <c r="BN159" s="158" t="s">
        <v>347</v>
      </c>
      <c r="BO159" s="159" t="s">
        <v>404</v>
      </c>
      <c r="BR159" s="140"/>
      <c r="BS159" s="156"/>
      <c r="BT159" s="156"/>
      <c r="BU159" s="156"/>
      <c r="BV159" s="156"/>
      <c r="BW159" s="156"/>
      <c r="BX159" s="143"/>
      <c r="BY159" s="143"/>
      <c r="BZ159" s="156"/>
      <c r="CA159" s="156"/>
      <c r="CB159" s="156"/>
      <c r="CC159" s="156"/>
      <c r="CD159" s="156"/>
      <c r="CE159" s="156"/>
      <c r="CF159" s="142"/>
      <c r="CH159" s="142"/>
      <c r="CI159" s="156"/>
      <c r="CJ159" s="156"/>
      <c r="CK159" s="156"/>
      <c r="CL159" s="156"/>
      <c r="CM159" s="156"/>
      <c r="CN159" s="156"/>
      <c r="CO159" s="156"/>
      <c r="CP159" s="156"/>
      <c r="CQ159" s="156"/>
      <c r="CR159" s="156"/>
      <c r="CS159" s="158"/>
    </row>
    <row r="160" spans="1:97" s="55" customFormat="1" ht="12.75" customHeight="1">
      <c r="A160" s="35" t="s">
        <v>192</v>
      </c>
      <c r="C160" s="35" t="s">
        <v>38</v>
      </c>
      <c r="D160" s="44"/>
      <c r="E160" s="53">
        <f>I160-G160</f>
        <v>1528822</v>
      </c>
      <c r="F160" s="53"/>
      <c r="G160" s="53">
        <v>9083304</v>
      </c>
      <c r="H160" s="53"/>
      <c r="I160" s="53">
        <v>10612126</v>
      </c>
      <c r="J160" s="53"/>
      <c r="K160" s="53">
        <f t="shared" si="27"/>
        <v>460216</v>
      </c>
      <c r="L160" s="53"/>
      <c r="M160" s="53">
        <v>2466516</v>
      </c>
      <c r="N160" s="53"/>
      <c r="O160" s="53">
        <v>2926732</v>
      </c>
      <c r="P160" s="53"/>
      <c r="Q160" s="53">
        <v>6248710</v>
      </c>
      <c r="R160" s="53"/>
      <c r="S160" s="53">
        <v>0</v>
      </c>
      <c r="T160" s="53"/>
      <c r="U160" s="53">
        <v>1436684</v>
      </c>
      <c r="V160" s="53"/>
      <c r="W160" s="53">
        <f t="shared" si="33"/>
        <v>7685394</v>
      </c>
      <c r="X160" s="53"/>
      <c r="Y160" s="35" t="s">
        <v>192</v>
      </c>
      <c r="AA160" s="35" t="s">
        <v>38</v>
      </c>
      <c r="AB160" s="35"/>
      <c r="AC160" s="53">
        <v>2385427</v>
      </c>
      <c r="AD160" s="53"/>
      <c r="AE160" s="53">
        <v>1739873</v>
      </c>
      <c r="AF160" s="53"/>
      <c r="AG160" s="53">
        <v>645595</v>
      </c>
      <c r="AH160" s="53"/>
      <c r="AI160" s="45">
        <f t="shared" si="29"/>
        <v>-41</v>
      </c>
      <c r="AJ160" s="45"/>
      <c r="AK160" s="53">
        <v>-183870</v>
      </c>
      <c r="AL160" s="45"/>
      <c r="AM160" s="53">
        <v>0</v>
      </c>
      <c r="AN160" s="53"/>
      <c r="AO160" s="53">
        <v>0</v>
      </c>
      <c r="AP160" s="53"/>
      <c r="AQ160" s="53">
        <v>0</v>
      </c>
      <c r="AR160" s="53"/>
      <c r="AS160" s="45">
        <f t="shared" si="30"/>
        <v>-183911</v>
      </c>
      <c r="AT160" s="45"/>
      <c r="AU160" s="53">
        <v>0</v>
      </c>
      <c r="AV160" s="53"/>
      <c r="AW160" s="53">
        <v>0</v>
      </c>
      <c r="AX160" s="53"/>
      <c r="AY160" s="53">
        <f t="shared" si="31"/>
        <v>1068606</v>
      </c>
      <c r="AZ160" s="53"/>
      <c r="BA160" s="35" t="s">
        <v>192</v>
      </c>
      <c r="BC160" s="35" t="s">
        <v>38</v>
      </c>
      <c r="BD160" s="53"/>
      <c r="BE160" s="53">
        <v>0</v>
      </c>
      <c r="BF160" s="53"/>
      <c r="BG160" s="53">
        <v>0</v>
      </c>
      <c r="BH160" s="53"/>
      <c r="BI160" s="53">
        <v>10165594</v>
      </c>
      <c r="BJ160" s="53"/>
      <c r="BK160" s="53">
        <v>132675</v>
      </c>
      <c r="BL160" s="53"/>
      <c r="BM160" s="53">
        <f t="shared" si="32"/>
        <v>10298269</v>
      </c>
      <c r="BN160" s="54" t="s">
        <v>347</v>
      </c>
      <c r="BR160" s="51"/>
      <c r="BS160" s="53"/>
      <c r="BT160" s="53"/>
      <c r="BU160" s="53"/>
      <c r="BV160" s="53"/>
      <c r="BW160" s="53"/>
      <c r="BX160" s="45"/>
      <c r="BY160" s="45"/>
      <c r="BZ160" s="53"/>
      <c r="CA160" s="53"/>
      <c r="CB160" s="53"/>
      <c r="CC160" s="53"/>
      <c r="CD160" s="53"/>
      <c r="CE160" s="53"/>
      <c r="CF160" s="35"/>
      <c r="CH160" s="35"/>
      <c r="CI160" s="53"/>
      <c r="CJ160" s="53"/>
      <c r="CK160" s="53"/>
      <c r="CL160" s="53"/>
      <c r="CM160" s="53"/>
      <c r="CN160" s="53"/>
      <c r="CO160" s="53"/>
      <c r="CP160" s="53"/>
      <c r="CQ160" s="53"/>
      <c r="CR160" s="53"/>
      <c r="CS160" s="54"/>
    </row>
    <row r="161" spans="1:98" s="159" customFormat="1" ht="12.75" hidden="1" customHeight="1">
      <c r="A161" s="142" t="s">
        <v>193</v>
      </c>
      <c r="B161" s="140"/>
      <c r="C161" s="142" t="s">
        <v>45</v>
      </c>
      <c r="D161" s="137"/>
      <c r="E161" s="156">
        <f t="shared" si="26"/>
        <v>0</v>
      </c>
      <c r="F161" s="156"/>
      <c r="G161" s="156"/>
      <c r="H161" s="156"/>
      <c r="I161" s="156"/>
      <c r="J161" s="156"/>
      <c r="K161" s="156">
        <f t="shared" si="27"/>
        <v>0</v>
      </c>
      <c r="L161" s="156"/>
      <c r="M161" s="156"/>
      <c r="N161" s="156"/>
      <c r="O161" s="156"/>
      <c r="P161" s="156"/>
      <c r="Q161" s="156"/>
      <c r="R161" s="156"/>
      <c r="S161" s="156"/>
      <c r="T161" s="156"/>
      <c r="U161" s="156"/>
      <c r="V161" s="156"/>
      <c r="W161" s="156">
        <f t="shared" si="33"/>
        <v>0</v>
      </c>
      <c r="X161" s="156"/>
      <c r="Y161" s="142" t="s">
        <v>193</v>
      </c>
      <c r="AA161" s="142" t="s">
        <v>45</v>
      </c>
      <c r="AB161" s="142"/>
      <c r="AC161" s="156"/>
      <c r="AD161" s="156"/>
      <c r="AE161" s="156"/>
      <c r="AF161" s="156"/>
      <c r="AG161" s="156"/>
      <c r="AH161" s="156"/>
      <c r="AI161" s="143">
        <f t="shared" si="29"/>
        <v>0</v>
      </c>
      <c r="AJ161" s="143"/>
      <c r="AK161" s="156"/>
      <c r="AL161" s="143"/>
      <c r="AM161" s="156"/>
      <c r="AN161" s="156"/>
      <c r="AO161" s="156"/>
      <c r="AP161" s="156"/>
      <c r="AQ161" s="156"/>
      <c r="AR161" s="156"/>
      <c r="AS161" s="143">
        <f t="shared" si="30"/>
        <v>0</v>
      </c>
      <c r="AT161" s="143"/>
      <c r="AU161" s="156">
        <v>0</v>
      </c>
      <c r="AV161" s="156"/>
      <c r="AW161" s="156">
        <v>0</v>
      </c>
      <c r="AX161" s="156"/>
      <c r="AY161" s="156">
        <f t="shared" si="31"/>
        <v>0</v>
      </c>
      <c r="AZ161" s="156"/>
      <c r="BA161" s="142" t="s">
        <v>193</v>
      </c>
      <c r="BC161" s="142" t="s">
        <v>45</v>
      </c>
      <c r="BD161" s="156"/>
      <c r="BE161" s="156"/>
      <c r="BF161" s="156"/>
      <c r="BG161" s="156"/>
      <c r="BH161" s="156"/>
      <c r="BI161" s="156"/>
      <c r="BJ161" s="156"/>
      <c r="BK161" s="156"/>
      <c r="BL161" s="156"/>
      <c r="BM161" s="156">
        <f t="shared" si="32"/>
        <v>0</v>
      </c>
      <c r="BN161" s="158" t="s">
        <v>347</v>
      </c>
      <c r="BR161" s="140"/>
      <c r="BS161" s="156"/>
      <c r="BT161" s="156"/>
      <c r="BU161" s="156"/>
      <c r="BV161" s="143"/>
      <c r="BW161" s="143"/>
      <c r="BX161" s="143"/>
      <c r="BY161" s="143"/>
      <c r="BZ161" s="156"/>
      <c r="CA161" s="156"/>
      <c r="CB161" s="156"/>
      <c r="CC161" s="156"/>
      <c r="CD161" s="156"/>
      <c r="CE161" s="156"/>
      <c r="CF161" s="142"/>
      <c r="CH161" s="142"/>
      <c r="CI161" s="156"/>
      <c r="CJ161" s="156"/>
      <c r="CK161" s="156"/>
      <c r="CL161" s="156"/>
      <c r="CM161" s="156"/>
      <c r="CN161" s="156"/>
      <c r="CO161" s="156"/>
      <c r="CP161" s="156"/>
      <c r="CQ161" s="156"/>
      <c r="CR161" s="156"/>
      <c r="CS161" s="158"/>
    </row>
    <row r="162" spans="1:98" s="55" customFormat="1" ht="12.75" customHeight="1">
      <c r="A162" s="35" t="s">
        <v>194</v>
      </c>
      <c r="B162" s="51"/>
      <c r="C162" s="35" t="s">
        <v>66</v>
      </c>
      <c r="D162" s="44"/>
      <c r="E162" s="53">
        <v>378082</v>
      </c>
      <c r="F162" s="53"/>
      <c r="G162" s="53">
        <v>1083350</v>
      </c>
      <c r="H162" s="53"/>
      <c r="I162" s="53">
        <v>1461432</v>
      </c>
      <c r="J162" s="53"/>
      <c r="K162" s="53">
        <v>365432</v>
      </c>
      <c r="L162" s="53"/>
      <c r="M162" s="53">
        <v>212062</v>
      </c>
      <c r="N162" s="53"/>
      <c r="O162" s="53">
        <v>577494</v>
      </c>
      <c r="P162" s="53"/>
      <c r="Q162" s="53">
        <v>863551</v>
      </c>
      <c r="R162" s="53"/>
      <c r="S162" s="53">
        <v>0</v>
      </c>
      <c r="T162" s="53"/>
      <c r="U162" s="53">
        <v>20387</v>
      </c>
      <c r="V162" s="53"/>
      <c r="W162" s="53">
        <f t="shared" si="33"/>
        <v>883938</v>
      </c>
      <c r="X162" s="53"/>
      <c r="Y162" s="35" t="s">
        <v>194</v>
      </c>
      <c r="AA162" s="35" t="s">
        <v>66</v>
      </c>
      <c r="AB162" s="35"/>
      <c r="AC162" s="53">
        <v>1364070</v>
      </c>
      <c r="AD162" s="53"/>
      <c r="AE162" s="53">
        <v>1428365</v>
      </c>
      <c r="AF162" s="53"/>
      <c r="AG162" s="53">
        <v>61606</v>
      </c>
      <c r="AH162" s="53"/>
      <c r="AI162" s="45">
        <f t="shared" si="29"/>
        <v>-125901</v>
      </c>
      <c r="AJ162" s="45"/>
      <c r="AK162" s="53">
        <v>11941</v>
      </c>
      <c r="AL162" s="45"/>
      <c r="AM162" s="53">
        <v>0</v>
      </c>
      <c r="AN162" s="53"/>
      <c r="AO162" s="53">
        <v>0</v>
      </c>
      <c r="AP162" s="53"/>
      <c r="AQ162" s="53">
        <v>0</v>
      </c>
      <c r="AR162" s="53"/>
      <c r="AS162" s="45">
        <f t="shared" si="30"/>
        <v>-113960</v>
      </c>
      <c r="AT162" s="45"/>
      <c r="AU162" s="53">
        <v>0</v>
      </c>
      <c r="AV162" s="53"/>
      <c r="AW162" s="53">
        <v>0</v>
      </c>
      <c r="AX162" s="53"/>
      <c r="AY162" s="53">
        <f t="shared" si="31"/>
        <v>12650</v>
      </c>
      <c r="AZ162" s="53"/>
      <c r="BA162" s="35" t="s">
        <v>194</v>
      </c>
      <c r="BC162" s="35" t="s">
        <v>66</v>
      </c>
      <c r="BD162" s="53"/>
      <c r="BE162" s="53">
        <v>0</v>
      </c>
      <c r="BF162" s="53"/>
      <c r="BG162" s="53">
        <v>0</v>
      </c>
      <c r="BH162" s="53"/>
      <c r="BI162" s="53">
        <v>199325</v>
      </c>
      <c r="BJ162" s="53"/>
      <c r="BK162" s="53">
        <v>56747</v>
      </c>
      <c r="BL162" s="53"/>
      <c r="BM162" s="53">
        <f>SUM(BE162:BK162)</f>
        <v>256072</v>
      </c>
      <c r="BN162" s="54" t="s">
        <v>347</v>
      </c>
      <c r="BR162" s="51"/>
      <c r="BS162" s="53"/>
      <c r="BT162" s="53"/>
      <c r="BU162" s="53"/>
      <c r="BV162" s="53"/>
      <c r="BW162" s="53"/>
      <c r="BX162" s="45"/>
      <c r="BY162" s="45"/>
      <c r="BZ162" s="53"/>
      <c r="CA162" s="53"/>
      <c r="CB162" s="53"/>
      <c r="CC162" s="53"/>
      <c r="CD162" s="53"/>
      <c r="CE162" s="53"/>
      <c r="CF162" s="35"/>
      <c r="CH162" s="35"/>
      <c r="CI162" s="53"/>
      <c r="CJ162" s="53"/>
      <c r="CK162" s="53"/>
      <c r="CL162" s="53"/>
      <c r="CM162" s="53"/>
      <c r="CN162" s="53"/>
      <c r="CO162" s="53"/>
      <c r="CP162" s="53"/>
      <c r="CQ162" s="53"/>
      <c r="CR162" s="53"/>
      <c r="CS162" s="54"/>
    </row>
    <row r="163" spans="1:98" s="55" customFormat="1" ht="12.75" customHeight="1">
      <c r="A163" s="35" t="s">
        <v>195</v>
      </c>
      <c r="B163" s="51"/>
      <c r="C163" s="35" t="s">
        <v>17</v>
      </c>
      <c r="D163" s="44"/>
      <c r="E163" s="53">
        <v>4472290</v>
      </c>
      <c r="F163" s="53"/>
      <c r="G163" s="53">
        <v>6710996</v>
      </c>
      <c r="H163" s="53"/>
      <c r="I163" s="53">
        <v>11183286</v>
      </c>
      <c r="J163" s="53"/>
      <c r="K163" s="53">
        <v>696089</v>
      </c>
      <c r="L163" s="53"/>
      <c r="M163" s="53">
        <v>2191516</v>
      </c>
      <c r="N163" s="53"/>
      <c r="O163" s="53">
        <v>2887605</v>
      </c>
      <c r="P163" s="53"/>
      <c r="Q163" s="53">
        <v>3940127</v>
      </c>
      <c r="R163" s="53"/>
      <c r="S163" s="53">
        <v>0</v>
      </c>
      <c r="T163" s="53"/>
      <c r="U163" s="53">
        <v>4355554</v>
      </c>
      <c r="V163" s="53"/>
      <c r="W163" s="53">
        <f t="shared" si="33"/>
        <v>8295681</v>
      </c>
      <c r="X163" s="53"/>
      <c r="Y163" s="35" t="s">
        <v>195</v>
      </c>
      <c r="AA163" s="35" t="s">
        <v>17</v>
      </c>
      <c r="AB163" s="35"/>
      <c r="AC163" s="53">
        <v>2250010</v>
      </c>
      <c r="AD163" s="53"/>
      <c r="AE163" s="53">
        <v>850956</v>
      </c>
      <c r="AF163" s="53"/>
      <c r="AG163" s="53">
        <v>117713</v>
      </c>
      <c r="AH163" s="53"/>
      <c r="AI163" s="45">
        <f t="shared" si="29"/>
        <v>1281341</v>
      </c>
      <c r="AJ163" s="45"/>
      <c r="AK163" s="53">
        <v>-155447</v>
      </c>
      <c r="AL163" s="45"/>
      <c r="AM163" s="53">
        <v>36995</v>
      </c>
      <c r="AN163" s="53"/>
      <c r="AO163" s="53">
        <v>0</v>
      </c>
      <c r="AP163" s="53"/>
      <c r="AQ163" s="53">
        <v>2638</v>
      </c>
      <c r="AR163" s="53"/>
      <c r="AS163" s="45">
        <f t="shared" si="30"/>
        <v>1165527</v>
      </c>
      <c r="AT163" s="45"/>
      <c r="AU163" s="53">
        <v>0</v>
      </c>
      <c r="AV163" s="53"/>
      <c r="AW163" s="53">
        <v>0</v>
      </c>
      <c r="AX163" s="53"/>
      <c r="AY163" s="53">
        <f t="shared" si="31"/>
        <v>3776201</v>
      </c>
      <c r="AZ163" s="53"/>
      <c r="BA163" s="35" t="s">
        <v>195</v>
      </c>
      <c r="BC163" s="35" t="s">
        <v>17</v>
      </c>
      <c r="BD163" s="53"/>
      <c r="BE163" s="53">
        <v>0</v>
      </c>
      <c r="BF163" s="53"/>
      <c r="BG163" s="53">
        <v>295000</v>
      </c>
      <c r="BH163" s="53"/>
      <c r="BI163" s="53">
        <v>0</v>
      </c>
      <c r="BJ163" s="53"/>
      <c r="BK163" s="53">
        <v>0</v>
      </c>
      <c r="BL163" s="53"/>
      <c r="BM163" s="53">
        <f t="shared" si="32"/>
        <v>295000</v>
      </c>
      <c r="BN163" s="54" t="s">
        <v>347</v>
      </c>
      <c r="BR163" s="51"/>
      <c r="BS163" s="53"/>
      <c r="BT163" s="53"/>
      <c r="BU163" s="53"/>
      <c r="BV163" s="53"/>
      <c r="BW163" s="53"/>
      <c r="BX163" s="45"/>
      <c r="BY163" s="45"/>
      <c r="BZ163" s="53"/>
      <c r="CA163" s="53"/>
      <c r="CB163" s="53"/>
      <c r="CC163" s="53"/>
      <c r="CD163" s="53"/>
      <c r="CE163" s="53"/>
      <c r="CF163" s="35"/>
      <c r="CH163" s="35"/>
      <c r="CI163" s="53"/>
      <c r="CJ163" s="53"/>
      <c r="CK163" s="53"/>
      <c r="CL163" s="53"/>
      <c r="CM163" s="53"/>
      <c r="CN163" s="53"/>
      <c r="CO163" s="53"/>
      <c r="CP163" s="53"/>
      <c r="CQ163" s="53"/>
      <c r="CR163" s="53"/>
      <c r="CS163" s="54"/>
    </row>
    <row r="164" spans="1:98" s="159" customFormat="1" ht="12.75" hidden="1" customHeight="1">
      <c r="A164" s="142" t="s">
        <v>196</v>
      </c>
      <c r="B164" s="140"/>
      <c r="C164" s="142" t="s">
        <v>27</v>
      </c>
      <c r="D164" s="137"/>
      <c r="E164" s="156">
        <f t="shared" si="26"/>
        <v>0</v>
      </c>
      <c r="F164" s="156"/>
      <c r="G164" s="156"/>
      <c r="H164" s="156"/>
      <c r="I164" s="156"/>
      <c r="J164" s="156"/>
      <c r="K164" s="156">
        <f t="shared" si="27"/>
        <v>0</v>
      </c>
      <c r="L164" s="156"/>
      <c r="M164" s="156"/>
      <c r="N164" s="156"/>
      <c r="O164" s="156"/>
      <c r="P164" s="156"/>
      <c r="Q164" s="156"/>
      <c r="R164" s="156"/>
      <c r="S164" s="156"/>
      <c r="T164" s="156"/>
      <c r="U164" s="156"/>
      <c r="V164" s="156"/>
      <c r="W164" s="156">
        <f t="shared" si="33"/>
        <v>0</v>
      </c>
      <c r="X164" s="156"/>
      <c r="Y164" s="142" t="s">
        <v>196</v>
      </c>
      <c r="AA164" s="142" t="s">
        <v>27</v>
      </c>
      <c r="AB164" s="142"/>
      <c r="AC164" s="156"/>
      <c r="AD164" s="156"/>
      <c r="AE164" s="156"/>
      <c r="AF164" s="156"/>
      <c r="AG164" s="156"/>
      <c r="AH164" s="156"/>
      <c r="AI164" s="143">
        <f t="shared" si="29"/>
        <v>0</v>
      </c>
      <c r="AJ164" s="143"/>
      <c r="AK164" s="156"/>
      <c r="AL164" s="143"/>
      <c r="AM164" s="156"/>
      <c r="AN164" s="156"/>
      <c r="AO164" s="156"/>
      <c r="AP164" s="156"/>
      <c r="AQ164" s="156"/>
      <c r="AR164" s="156"/>
      <c r="AS164" s="143">
        <f t="shared" si="30"/>
        <v>0</v>
      </c>
      <c r="AT164" s="143"/>
      <c r="AU164" s="156">
        <v>0</v>
      </c>
      <c r="AV164" s="156"/>
      <c r="AW164" s="156">
        <v>0</v>
      </c>
      <c r="AX164" s="156"/>
      <c r="AY164" s="156">
        <f t="shared" si="31"/>
        <v>0</v>
      </c>
      <c r="AZ164" s="156"/>
      <c r="BA164" s="142" t="s">
        <v>196</v>
      </c>
      <c r="BC164" s="142" t="s">
        <v>27</v>
      </c>
      <c r="BD164" s="156"/>
      <c r="BE164" s="156"/>
      <c r="BF164" s="156"/>
      <c r="BG164" s="156"/>
      <c r="BH164" s="156"/>
      <c r="BI164" s="156"/>
      <c r="BJ164" s="156"/>
      <c r="BK164" s="156"/>
      <c r="BL164" s="156"/>
      <c r="BM164" s="156">
        <f t="shared" si="32"/>
        <v>0</v>
      </c>
      <c r="BN164" s="158" t="s">
        <v>347</v>
      </c>
      <c r="BR164" s="140"/>
      <c r="BS164" s="156"/>
      <c r="BT164" s="156"/>
      <c r="BU164" s="156"/>
      <c r="BV164" s="156"/>
      <c r="BW164" s="156"/>
      <c r="BX164" s="143"/>
      <c r="BY164" s="143"/>
      <c r="BZ164" s="156"/>
      <c r="CA164" s="156"/>
      <c r="CB164" s="156"/>
      <c r="CC164" s="156"/>
      <c r="CD164" s="156"/>
      <c r="CE164" s="156"/>
      <c r="CF164" s="142"/>
      <c r="CH164" s="142"/>
      <c r="CI164" s="156"/>
      <c r="CJ164" s="156"/>
      <c r="CK164" s="156"/>
      <c r="CL164" s="156"/>
      <c r="CM164" s="156"/>
      <c r="CN164" s="156"/>
      <c r="CO164" s="156"/>
      <c r="CP164" s="156"/>
      <c r="CQ164" s="156"/>
      <c r="CR164" s="156"/>
      <c r="CS164" s="158"/>
    </row>
    <row r="165" spans="1:98" s="159" customFormat="1" ht="12.75" hidden="1" customHeight="1">
      <c r="A165" s="142" t="s">
        <v>402</v>
      </c>
      <c r="B165" s="140"/>
      <c r="C165" s="142" t="s">
        <v>153</v>
      </c>
      <c r="D165" s="137"/>
      <c r="E165" s="156">
        <f t="shared" si="26"/>
        <v>0</v>
      </c>
      <c r="F165" s="156"/>
      <c r="G165" s="156"/>
      <c r="H165" s="156"/>
      <c r="I165" s="156"/>
      <c r="J165" s="156"/>
      <c r="K165" s="156">
        <f t="shared" si="27"/>
        <v>0</v>
      </c>
      <c r="L165" s="156"/>
      <c r="M165" s="156"/>
      <c r="N165" s="156"/>
      <c r="O165" s="156"/>
      <c r="P165" s="156"/>
      <c r="Q165" s="156"/>
      <c r="R165" s="156"/>
      <c r="S165" s="156"/>
      <c r="T165" s="156"/>
      <c r="U165" s="156"/>
      <c r="V165" s="156"/>
      <c r="W165" s="156">
        <f t="shared" si="33"/>
        <v>0</v>
      </c>
      <c r="X165" s="156"/>
      <c r="Y165" s="142" t="s">
        <v>386</v>
      </c>
      <c r="AA165" s="142" t="s">
        <v>153</v>
      </c>
      <c r="AB165" s="142"/>
      <c r="AC165" s="156"/>
      <c r="AD165" s="156"/>
      <c r="AE165" s="156"/>
      <c r="AF165" s="156"/>
      <c r="AG165" s="156"/>
      <c r="AH165" s="156"/>
      <c r="AI165" s="143">
        <f t="shared" si="29"/>
        <v>0</v>
      </c>
      <c r="AJ165" s="143"/>
      <c r="AK165" s="156"/>
      <c r="AL165" s="143"/>
      <c r="AM165" s="156"/>
      <c r="AN165" s="156"/>
      <c r="AO165" s="156"/>
      <c r="AP165" s="156"/>
      <c r="AQ165" s="156"/>
      <c r="AR165" s="156"/>
      <c r="AS165" s="143">
        <f t="shared" si="30"/>
        <v>0</v>
      </c>
      <c r="AT165" s="143"/>
      <c r="AU165" s="156">
        <v>0</v>
      </c>
      <c r="AV165" s="156"/>
      <c r="AW165" s="156">
        <v>0</v>
      </c>
      <c r="AX165" s="156"/>
      <c r="AY165" s="156">
        <f t="shared" si="31"/>
        <v>0</v>
      </c>
      <c r="AZ165" s="156"/>
      <c r="BA165" s="142" t="s">
        <v>386</v>
      </c>
      <c r="BC165" s="142" t="s">
        <v>153</v>
      </c>
      <c r="BD165" s="156"/>
      <c r="BE165" s="156"/>
      <c r="BF165" s="156"/>
      <c r="BG165" s="156"/>
      <c r="BH165" s="156"/>
      <c r="BI165" s="156"/>
      <c r="BJ165" s="156"/>
      <c r="BK165" s="156"/>
      <c r="BL165" s="156"/>
      <c r="BM165" s="156">
        <f t="shared" si="32"/>
        <v>0</v>
      </c>
      <c r="BN165" s="158" t="s">
        <v>347</v>
      </c>
      <c r="BO165" s="159" t="s">
        <v>404</v>
      </c>
      <c r="BR165" s="140"/>
      <c r="BS165" s="156"/>
      <c r="BT165" s="156"/>
      <c r="BU165" s="156"/>
      <c r="BV165" s="156"/>
      <c r="BW165" s="156"/>
      <c r="BX165" s="143"/>
      <c r="BY165" s="143"/>
      <c r="BZ165" s="156"/>
      <c r="CA165" s="156"/>
      <c r="CB165" s="156"/>
      <c r="CC165" s="156"/>
      <c r="CD165" s="156"/>
      <c r="CE165" s="156"/>
      <c r="CF165" s="142"/>
      <c r="CH165" s="142"/>
      <c r="CI165" s="156"/>
      <c r="CJ165" s="156"/>
      <c r="CK165" s="156"/>
      <c r="CL165" s="156"/>
      <c r="CM165" s="156"/>
      <c r="CN165" s="156"/>
      <c r="CO165" s="156"/>
      <c r="CP165" s="156"/>
      <c r="CQ165" s="156"/>
      <c r="CR165" s="156"/>
      <c r="CS165" s="158"/>
    </row>
    <row r="166" spans="1:98" s="55" customFormat="1" ht="12.75" customHeight="1">
      <c r="A166" s="35" t="s">
        <v>197</v>
      </c>
      <c r="B166" s="51"/>
      <c r="C166" s="35" t="s">
        <v>163</v>
      </c>
      <c r="D166" s="44"/>
      <c r="E166" s="53">
        <v>2337334</v>
      </c>
      <c r="F166" s="53"/>
      <c r="G166" s="53">
        <v>43925152</v>
      </c>
      <c r="H166" s="53"/>
      <c r="I166" s="53">
        <v>46262486</v>
      </c>
      <c r="J166" s="53"/>
      <c r="K166" s="53">
        <v>1021552</v>
      </c>
      <c r="L166" s="53"/>
      <c r="M166" s="53">
        <v>11152602</v>
      </c>
      <c r="N166" s="53"/>
      <c r="O166" s="53">
        <v>12174154</v>
      </c>
      <c r="P166" s="53"/>
      <c r="Q166" s="53">
        <v>32091642</v>
      </c>
      <c r="R166" s="53"/>
      <c r="S166" s="53">
        <v>0</v>
      </c>
      <c r="T166" s="53"/>
      <c r="U166" s="53">
        <v>1996690</v>
      </c>
      <c r="V166" s="53"/>
      <c r="W166" s="53">
        <f t="shared" si="33"/>
        <v>34088332</v>
      </c>
      <c r="X166" s="53"/>
      <c r="Y166" s="35" t="s">
        <v>197</v>
      </c>
      <c r="AA166" s="35" t="s">
        <v>163</v>
      </c>
      <c r="AB166" s="35"/>
      <c r="AC166" s="53">
        <v>3433129</v>
      </c>
      <c r="AD166" s="53"/>
      <c r="AE166" s="53">
        <v>2387007</v>
      </c>
      <c r="AF166" s="53"/>
      <c r="AG166" s="53">
        <v>1663447</v>
      </c>
      <c r="AH166" s="53"/>
      <c r="AI166" s="45">
        <f t="shared" si="29"/>
        <v>-617325</v>
      </c>
      <c r="AJ166" s="45"/>
      <c r="AK166" s="53">
        <v>-682177</v>
      </c>
      <c r="AL166" s="45"/>
      <c r="AM166" s="53">
        <v>54923</v>
      </c>
      <c r="AN166" s="53"/>
      <c r="AO166" s="53">
        <v>689855</v>
      </c>
      <c r="AP166" s="53"/>
      <c r="AQ166" s="53">
        <v>985055</v>
      </c>
      <c r="AR166" s="53"/>
      <c r="AS166" s="45">
        <f t="shared" si="30"/>
        <v>-949379</v>
      </c>
      <c r="AT166" s="45"/>
      <c r="AU166" s="53">
        <v>0</v>
      </c>
      <c r="AV166" s="53"/>
      <c r="AW166" s="53">
        <v>0</v>
      </c>
      <c r="AX166" s="53"/>
      <c r="AY166" s="53">
        <f t="shared" si="31"/>
        <v>1315782</v>
      </c>
      <c r="AZ166" s="53"/>
      <c r="BA166" s="35" t="s">
        <v>197</v>
      </c>
      <c r="BC166" s="35" t="s">
        <v>163</v>
      </c>
      <c r="BD166" s="53"/>
      <c r="BE166" s="53">
        <v>1980000</v>
      </c>
      <c r="BF166" s="53"/>
      <c r="BG166" s="53">
        <v>0</v>
      </c>
      <c r="BH166" s="53"/>
      <c r="BI166" s="53">
        <v>8917897</v>
      </c>
      <c r="BJ166" s="53"/>
      <c r="BK166" s="53">
        <v>254705</v>
      </c>
      <c r="BL166" s="53"/>
      <c r="BM166" s="53">
        <f t="shared" si="32"/>
        <v>11152602</v>
      </c>
      <c r="BN166" s="54" t="s">
        <v>347</v>
      </c>
      <c r="BR166" s="51"/>
      <c r="BS166" s="53"/>
      <c r="BT166" s="53"/>
      <c r="BU166" s="53"/>
      <c r="BV166" s="53"/>
      <c r="BW166" s="53"/>
      <c r="BX166" s="45"/>
      <c r="BY166" s="45"/>
      <c r="BZ166" s="53"/>
      <c r="CA166" s="53"/>
      <c r="CB166" s="53"/>
      <c r="CC166" s="53"/>
      <c r="CD166" s="53"/>
      <c r="CE166" s="53"/>
      <c r="CF166" s="35"/>
      <c r="CH166" s="35"/>
      <c r="CI166" s="53"/>
      <c r="CJ166" s="53"/>
      <c r="CK166" s="53"/>
      <c r="CL166" s="53"/>
      <c r="CM166" s="53"/>
      <c r="CN166" s="53"/>
      <c r="CO166" s="53"/>
      <c r="CP166" s="53"/>
      <c r="CQ166" s="53"/>
      <c r="CR166" s="53"/>
      <c r="CS166" s="54"/>
    </row>
    <row r="167" spans="1:98" s="55" customFormat="1" ht="12.75" customHeight="1">
      <c r="A167" s="35" t="s">
        <v>198</v>
      </c>
      <c r="B167" s="51"/>
      <c r="C167" s="35" t="s">
        <v>199</v>
      </c>
      <c r="D167" s="44"/>
      <c r="E167" s="53">
        <v>4724937</v>
      </c>
      <c r="F167" s="53"/>
      <c r="G167" s="53">
        <v>7283813</v>
      </c>
      <c r="H167" s="53"/>
      <c r="I167" s="53">
        <v>12008750</v>
      </c>
      <c r="J167" s="53"/>
      <c r="K167" s="53">
        <v>766051</v>
      </c>
      <c r="L167" s="53"/>
      <c r="M167" s="53">
        <v>1906322</v>
      </c>
      <c r="N167" s="53"/>
      <c r="O167" s="53">
        <v>2672373</v>
      </c>
      <c r="P167" s="53"/>
      <c r="Q167" s="53">
        <v>4997932</v>
      </c>
      <c r="R167" s="53"/>
      <c r="S167" s="53">
        <v>0</v>
      </c>
      <c r="T167" s="53"/>
      <c r="U167" s="53">
        <v>4338445</v>
      </c>
      <c r="V167" s="53"/>
      <c r="W167" s="53">
        <f t="shared" si="33"/>
        <v>9336377</v>
      </c>
      <c r="X167" s="53"/>
      <c r="Y167" s="35" t="s">
        <v>198</v>
      </c>
      <c r="AA167" s="35" t="s">
        <v>199</v>
      </c>
      <c r="AB167" s="35"/>
      <c r="AC167" s="53">
        <v>1949714</v>
      </c>
      <c r="AD167" s="53"/>
      <c r="AE167" s="53">
        <v>1441235</v>
      </c>
      <c r="AF167" s="53"/>
      <c r="AG167" s="53">
        <v>625934</v>
      </c>
      <c r="AH167" s="53"/>
      <c r="AI167" s="45">
        <f t="shared" si="29"/>
        <v>-117455</v>
      </c>
      <c r="AJ167" s="45"/>
      <c r="AK167" s="53">
        <v>60280</v>
      </c>
      <c r="AL167" s="45"/>
      <c r="AM167" s="53">
        <v>0</v>
      </c>
      <c r="AN167" s="53"/>
      <c r="AO167" s="53">
        <v>0</v>
      </c>
      <c r="AP167" s="53"/>
      <c r="AQ167" s="53">
        <v>0</v>
      </c>
      <c r="AR167" s="53"/>
      <c r="AS167" s="45">
        <f t="shared" si="30"/>
        <v>-57175</v>
      </c>
      <c r="AT167" s="45"/>
      <c r="AU167" s="53">
        <v>0</v>
      </c>
      <c r="AV167" s="53"/>
      <c r="AW167" s="53">
        <v>0</v>
      </c>
      <c r="AX167" s="53"/>
      <c r="AY167" s="53">
        <f t="shared" si="31"/>
        <v>3958886</v>
      </c>
      <c r="AZ167" s="53"/>
      <c r="BA167" s="35" t="s">
        <v>198</v>
      </c>
      <c r="BC167" s="35" t="s">
        <v>199</v>
      </c>
      <c r="BD167" s="53"/>
      <c r="BE167" s="53">
        <v>0</v>
      </c>
      <c r="BF167" s="53"/>
      <c r="BG167" s="53">
        <v>0</v>
      </c>
      <c r="BH167" s="53"/>
      <c r="BI167" s="53">
        <v>1827659</v>
      </c>
      <c r="BJ167" s="53"/>
      <c r="BK167" s="53">
        <v>78663</v>
      </c>
      <c r="BL167" s="53"/>
      <c r="BM167" s="53">
        <f t="shared" si="32"/>
        <v>1906322</v>
      </c>
      <c r="BN167" s="54" t="s">
        <v>347</v>
      </c>
      <c r="BO167" s="55" t="s">
        <v>408</v>
      </c>
      <c r="BR167" s="51"/>
      <c r="BS167" s="53"/>
      <c r="BT167" s="53"/>
      <c r="BU167" s="53"/>
      <c r="BV167" s="53"/>
      <c r="BW167" s="53"/>
      <c r="BX167" s="45"/>
      <c r="BY167" s="45"/>
      <c r="BZ167" s="53"/>
      <c r="CA167" s="53"/>
      <c r="CB167" s="53"/>
      <c r="CC167" s="53"/>
      <c r="CD167" s="53"/>
      <c r="CE167" s="53"/>
      <c r="CF167" s="35"/>
      <c r="CH167" s="35"/>
      <c r="CI167" s="53"/>
      <c r="CJ167" s="53"/>
      <c r="CK167" s="53"/>
      <c r="CL167" s="53"/>
      <c r="CM167" s="53"/>
      <c r="CN167" s="53"/>
      <c r="CO167" s="53"/>
      <c r="CP167" s="53"/>
      <c r="CQ167" s="53"/>
      <c r="CR167" s="53"/>
      <c r="CS167" s="54"/>
    </row>
    <row r="168" spans="1:98" s="55" customFormat="1" ht="12.75" customHeight="1">
      <c r="A168" s="35" t="s">
        <v>200</v>
      </c>
      <c r="C168" s="35" t="s">
        <v>103</v>
      </c>
      <c r="D168" s="44"/>
      <c r="E168" s="53">
        <v>6976698</v>
      </c>
      <c r="F168" s="53"/>
      <c r="G168" s="53">
        <v>16964535</v>
      </c>
      <c r="H168" s="53"/>
      <c r="I168" s="53">
        <v>23941233</v>
      </c>
      <c r="J168" s="53"/>
      <c r="K168" s="53">
        <v>945306</v>
      </c>
      <c r="L168" s="53"/>
      <c r="M168" s="53">
        <v>4570365</v>
      </c>
      <c r="N168" s="53"/>
      <c r="O168" s="53">
        <v>5515671</v>
      </c>
      <c r="P168" s="53"/>
      <c r="Q168" s="53">
        <v>11725092</v>
      </c>
      <c r="R168" s="53"/>
      <c r="S168" s="53">
        <v>488699</v>
      </c>
      <c r="T168" s="53"/>
      <c r="U168" s="53">
        <v>6211771</v>
      </c>
      <c r="V168" s="53"/>
      <c r="W168" s="53">
        <f t="shared" si="33"/>
        <v>18425562</v>
      </c>
      <c r="X168" s="53"/>
      <c r="Y168" s="35" t="s">
        <v>200</v>
      </c>
      <c r="AA168" s="35" t="s">
        <v>103</v>
      </c>
      <c r="AB168" s="35"/>
      <c r="AC168" s="53">
        <v>3171082</v>
      </c>
      <c r="AD168" s="53"/>
      <c r="AE168" s="53">
        <v>1940667</v>
      </c>
      <c r="AF168" s="53"/>
      <c r="AG168" s="53">
        <v>773312</v>
      </c>
      <c r="AH168" s="53"/>
      <c r="AI168" s="45">
        <f t="shared" si="29"/>
        <v>457103</v>
      </c>
      <c r="AJ168" s="45"/>
      <c r="AK168" s="53">
        <v>142136</v>
      </c>
      <c r="AL168" s="45"/>
      <c r="AM168" s="53">
        <v>0</v>
      </c>
      <c r="AN168" s="53"/>
      <c r="AO168" s="53">
        <v>0</v>
      </c>
      <c r="AP168" s="53"/>
      <c r="AQ168" s="53">
        <v>87470</v>
      </c>
      <c r="AR168" s="53"/>
      <c r="AS168" s="45">
        <f t="shared" si="30"/>
        <v>686709</v>
      </c>
      <c r="AT168" s="45"/>
      <c r="AU168" s="53">
        <v>0</v>
      </c>
      <c r="AV168" s="53"/>
      <c r="AW168" s="53">
        <v>0</v>
      </c>
      <c r="AX168" s="53"/>
      <c r="AY168" s="53">
        <f t="shared" si="31"/>
        <v>6031392</v>
      </c>
      <c r="AZ168" s="53"/>
      <c r="BA168" s="35" t="s">
        <v>200</v>
      </c>
      <c r="BC168" s="35" t="s">
        <v>103</v>
      </c>
      <c r="BD168" s="53"/>
      <c r="BE168" s="53">
        <v>0</v>
      </c>
      <c r="BF168" s="53"/>
      <c r="BG168" s="53">
        <v>0</v>
      </c>
      <c r="BH168" s="53"/>
      <c r="BI168" s="53">
        <v>4511925</v>
      </c>
      <c r="BJ168" s="53"/>
      <c r="BK168" s="53">
        <v>57440</v>
      </c>
      <c r="BL168" s="53"/>
      <c r="BM168" s="53">
        <f t="shared" si="32"/>
        <v>4569365</v>
      </c>
      <c r="BN168" s="54" t="s">
        <v>347</v>
      </c>
      <c r="BR168" s="51"/>
      <c r="BS168" s="53"/>
      <c r="BT168" s="53"/>
      <c r="BU168" s="53"/>
      <c r="BV168" s="53"/>
      <c r="BW168" s="45"/>
      <c r="BX168" s="45"/>
      <c r="BY168" s="53"/>
      <c r="BZ168" s="53"/>
      <c r="CA168" s="53"/>
      <c r="CB168" s="53"/>
      <c r="CC168" s="53"/>
      <c r="CD168" s="53"/>
      <c r="CE168" s="53"/>
      <c r="CF168" s="35"/>
      <c r="CH168" s="35"/>
      <c r="CI168" s="53"/>
      <c r="CJ168" s="53"/>
      <c r="CK168" s="53"/>
      <c r="CL168" s="53"/>
      <c r="CM168" s="53"/>
      <c r="CN168" s="53"/>
      <c r="CO168" s="53"/>
      <c r="CP168" s="53"/>
      <c r="CQ168" s="53"/>
      <c r="CR168" s="53"/>
      <c r="CS168" s="54"/>
    </row>
    <row r="169" spans="1:98" s="55" customFormat="1" ht="12.75" customHeight="1">
      <c r="A169" s="35" t="s">
        <v>201</v>
      </c>
      <c r="C169" s="35" t="s">
        <v>92</v>
      </c>
      <c r="D169" s="44"/>
      <c r="E169" s="53">
        <v>3602599</v>
      </c>
      <c r="F169" s="53"/>
      <c r="G169" s="53">
        <v>8445769</v>
      </c>
      <c r="H169" s="53"/>
      <c r="I169" s="53">
        <v>12048368</v>
      </c>
      <c r="J169" s="53"/>
      <c r="K169" s="53">
        <v>1114848</v>
      </c>
      <c r="L169" s="53"/>
      <c r="M169" s="53">
        <v>585578</v>
      </c>
      <c r="N169" s="53"/>
      <c r="O169" s="53">
        <v>1700426</v>
      </c>
      <c r="P169" s="53"/>
      <c r="Q169" s="53">
        <v>7286898</v>
      </c>
      <c r="R169" s="53"/>
      <c r="S169" s="53">
        <v>0</v>
      </c>
      <c r="T169" s="53"/>
      <c r="U169" s="53">
        <v>3061044</v>
      </c>
      <c r="V169" s="53"/>
      <c r="W169" s="53">
        <f t="shared" si="33"/>
        <v>10347942</v>
      </c>
      <c r="X169" s="53"/>
      <c r="Y169" s="35" t="s">
        <v>201</v>
      </c>
      <c r="AA169" s="35" t="s">
        <v>92</v>
      </c>
      <c r="AB169" s="35"/>
      <c r="AC169" s="53">
        <v>3273496</v>
      </c>
      <c r="AD169" s="53"/>
      <c r="AE169" s="53">
        <v>2665448</v>
      </c>
      <c r="AF169" s="53"/>
      <c r="AG169" s="53">
        <v>440462</v>
      </c>
      <c r="AH169" s="53"/>
      <c r="AI169" s="45">
        <f t="shared" si="29"/>
        <v>167586</v>
      </c>
      <c r="AJ169" s="45"/>
      <c r="AK169" s="53">
        <v>20022</v>
      </c>
      <c r="AL169" s="45"/>
      <c r="AM169" s="53">
        <v>507231</v>
      </c>
      <c r="AN169" s="53"/>
      <c r="AO169" s="53">
        <v>496000</v>
      </c>
      <c r="AP169" s="53"/>
      <c r="AQ169" s="53">
        <v>0</v>
      </c>
      <c r="AR169" s="53"/>
      <c r="AS169" s="45">
        <f t="shared" si="30"/>
        <v>198839</v>
      </c>
      <c r="AT169" s="45"/>
      <c r="AU169" s="53">
        <v>0</v>
      </c>
      <c r="AV169" s="53"/>
      <c r="AW169" s="53">
        <v>0</v>
      </c>
      <c r="AX169" s="53"/>
      <c r="AY169" s="53">
        <f t="shared" si="31"/>
        <v>2487751</v>
      </c>
      <c r="AZ169" s="53"/>
      <c r="BA169" s="35" t="s">
        <v>201</v>
      </c>
      <c r="BC169" s="35" t="s">
        <v>92</v>
      </c>
      <c r="BD169" s="53"/>
      <c r="BE169" s="53">
        <v>0</v>
      </c>
      <c r="BF169" s="53"/>
      <c r="BG169" s="53">
        <v>0</v>
      </c>
      <c r="BH169" s="53"/>
      <c r="BI169" s="53">
        <v>0</v>
      </c>
      <c r="BJ169" s="53"/>
      <c r="BK169" s="53">
        <v>585578</v>
      </c>
      <c r="BL169" s="53"/>
      <c r="BM169" s="53">
        <f t="shared" si="32"/>
        <v>585578</v>
      </c>
      <c r="BN169" s="54" t="s">
        <v>347</v>
      </c>
      <c r="BO169" s="35" t="s">
        <v>409</v>
      </c>
      <c r="BR169" s="51"/>
      <c r="BS169" s="53"/>
      <c r="BT169" s="53"/>
      <c r="BU169" s="53"/>
      <c r="BV169" s="53"/>
      <c r="BW169" s="53"/>
      <c r="BX169" s="45"/>
      <c r="BY169" s="45"/>
      <c r="BZ169" s="53"/>
      <c r="CA169" s="53"/>
      <c r="CB169" s="53"/>
      <c r="CC169" s="53"/>
      <c r="CD169" s="53"/>
      <c r="CE169" s="53"/>
      <c r="CF169" s="35"/>
      <c r="CH169" s="35"/>
      <c r="CI169" s="53"/>
      <c r="CJ169" s="53"/>
      <c r="CK169" s="53"/>
      <c r="CL169" s="53"/>
      <c r="CM169" s="53"/>
      <c r="CN169" s="53"/>
      <c r="CO169" s="53"/>
      <c r="CP169" s="53"/>
      <c r="CQ169" s="53"/>
      <c r="CR169" s="53"/>
      <c r="CS169" s="54"/>
      <c r="CT169" s="35"/>
    </row>
    <row r="170" spans="1:98" s="159" customFormat="1" ht="12" hidden="1" customHeight="1">
      <c r="A170" s="142" t="s">
        <v>202</v>
      </c>
      <c r="B170" s="140"/>
      <c r="C170" s="142" t="s">
        <v>27</v>
      </c>
      <c r="D170" s="137"/>
      <c r="E170" s="156">
        <f t="shared" si="26"/>
        <v>0</v>
      </c>
      <c r="F170" s="156"/>
      <c r="G170" s="156">
        <v>0</v>
      </c>
      <c r="H170" s="156"/>
      <c r="I170" s="156">
        <v>0</v>
      </c>
      <c r="J170" s="156"/>
      <c r="K170" s="156">
        <f t="shared" si="27"/>
        <v>0</v>
      </c>
      <c r="L170" s="156"/>
      <c r="M170" s="156">
        <v>0</v>
      </c>
      <c r="N170" s="156"/>
      <c r="O170" s="156">
        <v>0</v>
      </c>
      <c r="P170" s="156"/>
      <c r="Q170" s="156">
        <v>0</v>
      </c>
      <c r="R170" s="156"/>
      <c r="S170" s="156">
        <v>0</v>
      </c>
      <c r="T170" s="156"/>
      <c r="U170" s="156">
        <v>0</v>
      </c>
      <c r="V170" s="156"/>
      <c r="W170" s="156">
        <f t="shared" si="33"/>
        <v>0</v>
      </c>
      <c r="X170" s="156"/>
      <c r="Y170" s="142" t="s">
        <v>202</v>
      </c>
      <c r="AA170" s="142" t="s">
        <v>27</v>
      </c>
      <c r="AB170" s="142"/>
      <c r="AC170" s="156">
        <v>0</v>
      </c>
      <c r="AD170" s="156"/>
      <c r="AE170" s="156">
        <v>0</v>
      </c>
      <c r="AF170" s="156"/>
      <c r="AG170" s="156">
        <v>0</v>
      </c>
      <c r="AH170" s="156"/>
      <c r="AI170" s="143">
        <f t="shared" si="29"/>
        <v>0</v>
      </c>
      <c r="AJ170" s="143"/>
      <c r="AK170" s="156">
        <v>0</v>
      </c>
      <c r="AL170" s="143"/>
      <c r="AM170" s="156">
        <v>0</v>
      </c>
      <c r="AN170" s="156"/>
      <c r="AO170" s="156">
        <v>0</v>
      </c>
      <c r="AP170" s="156"/>
      <c r="AQ170" s="156">
        <v>0</v>
      </c>
      <c r="AR170" s="156"/>
      <c r="AS170" s="143">
        <f t="shared" si="30"/>
        <v>0</v>
      </c>
      <c r="AT170" s="143"/>
      <c r="AU170" s="156">
        <v>0</v>
      </c>
      <c r="AV170" s="156"/>
      <c r="AW170" s="156">
        <v>0</v>
      </c>
      <c r="AX170" s="156"/>
      <c r="AY170" s="156">
        <f t="shared" si="31"/>
        <v>0</v>
      </c>
      <c r="AZ170" s="156"/>
      <c r="BA170" s="142" t="s">
        <v>202</v>
      </c>
      <c r="BC170" s="142" t="s">
        <v>27</v>
      </c>
      <c r="BD170" s="156"/>
      <c r="BE170" s="156">
        <v>0</v>
      </c>
      <c r="BF170" s="156"/>
      <c r="BG170" s="156">
        <v>0</v>
      </c>
      <c r="BH170" s="156"/>
      <c r="BI170" s="156">
        <v>0</v>
      </c>
      <c r="BJ170" s="156"/>
      <c r="BK170" s="156">
        <v>0</v>
      </c>
      <c r="BL170" s="156"/>
      <c r="BM170" s="156">
        <f t="shared" si="32"/>
        <v>0</v>
      </c>
      <c r="BN170" s="158" t="s">
        <v>347</v>
      </c>
      <c r="BR170" s="140"/>
      <c r="BS170" s="156"/>
      <c r="BT170" s="156"/>
      <c r="BU170" s="156"/>
      <c r="BV170" s="156"/>
      <c r="BW170" s="156"/>
      <c r="BX170" s="143"/>
      <c r="BY170" s="143"/>
      <c r="BZ170" s="156"/>
      <c r="CA170" s="156"/>
      <c r="CB170" s="156"/>
      <c r="CC170" s="156"/>
      <c r="CD170" s="156"/>
      <c r="CE170" s="156"/>
      <c r="CF170" s="142"/>
      <c r="CH170" s="142"/>
      <c r="CI170" s="156"/>
      <c r="CJ170" s="156"/>
      <c r="CK170" s="156"/>
      <c r="CL170" s="156"/>
      <c r="CM170" s="156"/>
      <c r="CN170" s="156"/>
      <c r="CO170" s="156"/>
      <c r="CP170" s="156"/>
      <c r="CQ170" s="156"/>
      <c r="CR170" s="156"/>
      <c r="CS170" s="158"/>
    </row>
    <row r="171" spans="1:98" s="159" customFormat="1" ht="12" hidden="1" customHeight="1">
      <c r="A171" s="142" t="s">
        <v>203</v>
      </c>
      <c r="B171" s="140"/>
      <c r="C171" s="142" t="s">
        <v>27</v>
      </c>
      <c r="D171" s="137"/>
      <c r="E171" s="156">
        <f t="shared" si="26"/>
        <v>0</v>
      </c>
      <c r="F171" s="156"/>
      <c r="G171" s="156">
        <v>0</v>
      </c>
      <c r="H171" s="156"/>
      <c r="I171" s="156">
        <v>0</v>
      </c>
      <c r="J171" s="156"/>
      <c r="K171" s="156">
        <f t="shared" si="27"/>
        <v>0</v>
      </c>
      <c r="L171" s="156"/>
      <c r="M171" s="156">
        <v>0</v>
      </c>
      <c r="N171" s="156"/>
      <c r="O171" s="156">
        <v>0</v>
      </c>
      <c r="P171" s="156"/>
      <c r="Q171" s="156">
        <v>0</v>
      </c>
      <c r="R171" s="156"/>
      <c r="S171" s="156">
        <v>0</v>
      </c>
      <c r="T171" s="156"/>
      <c r="U171" s="156">
        <v>0</v>
      </c>
      <c r="V171" s="156"/>
      <c r="W171" s="156">
        <f t="shared" si="33"/>
        <v>0</v>
      </c>
      <c r="X171" s="156"/>
      <c r="Y171" s="142" t="s">
        <v>203</v>
      </c>
      <c r="AA171" s="142" t="s">
        <v>27</v>
      </c>
      <c r="AB171" s="142"/>
      <c r="AC171" s="156">
        <v>0</v>
      </c>
      <c r="AD171" s="156"/>
      <c r="AE171" s="156">
        <v>0</v>
      </c>
      <c r="AF171" s="156"/>
      <c r="AG171" s="156">
        <v>0</v>
      </c>
      <c r="AH171" s="156"/>
      <c r="AI171" s="143">
        <f t="shared" si="29"/>
        <v>0</v>
      </c>
      <c r="AJ171" s="143"/>
      <c r="AK171" s="156">
        <v>0</v>
      </c>
      <c r="AL171" s="143"/>
      <c r="AM171" s="156">
        <v>0</v>
      </c>
      <c r="AN171" s="156"/>
      <c r="AO171" s="156">
        <v>0</v>
      </c>
      <c r="AP171" s="156"/>
      <c r="AQ171" s="156">
        <v>0</v>
      </c>
      <c r="AR171" s="156"/>
      <c r="AS171" s="143">
        <f t="shared" si="30"/>
        <v>0</v>
      </c>
      <c r="AT171" s="143"/>
      <c r="AU171" s="156">
        <v>0</v>
      </c>
      <c r="AV171" s="156"/>
      <c r="AW171" s="156">
        <v>0</v>
      </c>
      <c r="AX171" s="156"/>
      <c r="AY171" s="156">
        <f t="shared" si="31"/>
        <v>0</v>
      </c>
      <c r="AZ171" s="156"/>
      <c r="BA171" s="142" t="s">
        <v>203</v>
      </c>
      <c r="BC171" s="142" t="s">
        <v>27</v>
      </c>
      <c r="BD171" s="156"/>
      <c r="BE171" s="156">
        <v>0</v>
      </c>
      <c r="BF171" s="156"/>
      <c r="BG171" s="156">
        <v>0</v>
      </c>
      <c r="BH171" s="156"/>
      <c r="BI171" s="156">
        <v>0</v>
      </c>
      <c r="BJ171" s="156"/>
      <c r="BK171" s="156">
        <v>0</v>
      </c>
      <c r="BL171" s="156"/>
      <c r="BM171" s="156">
        <f t="shared" si="32"/>
        <v>0</v>
      </c>
      <c r="BN171" s="158" t="s">
        <v>347</v>
      </c>
      <c r="BO171" s="159" t="s">
        <v>404</v>
      </c>
      <c r="BR171" s="140"/>
      <c r="BS171" s="156"/>
      <c r="BT171" s="156"/>
      <c r="BU171" s="156"/>
      <c r="BV171" s="156"/>
      <c r="BW171" s="156"/>
      <c r="BX171" s="143"/>
      <c r="BY171" s="143"/>
      <c r="BZ171" s="156"/>
      <c r="CA171" s="156"/>
      <c r="CB171" s="156"/>
      <c r="CC171" s="156"/>
      <c r="CD171" s="156"/>
      <c r="CE171" s="156"/>
      <c r="CF171" s="142"/>
      <c r="CH171" s="142"/>
      <c r="CI171" s="156"/>
      <c r="CJ171" s="156"/>
      <c r="CK171" s="156"/>
      <c r="CL171" s="156"/>
      <c r="CM171" s="156"/>
      <c r="CN171" s="156"/>
      <c r="CO171" s="156"/>
      <c r="CP171" s="156"/>
      <c r="CQ171" s="156"/>
      <c r="CR171" s="156"/>
      <c r="CS171" s="158"/>
    </row>
    <row r="172" spans="1:98" s="55" customFormat="1" ht="12.75" customHeight="1">
      <c r="A172" s="35" t="s">
        <v>204</v>
      </c>
      <c r="B172" s="51"/>
      <c r="C172" s="35" t="s">
        <v>125</v>
      </c>
      <c r="D172" s="44"/>
      <c r="E172" s="53">
        <f t="shared" si="26"/>
        <v>2606645</v>
      </c>
      <c r="F172" s="53"/>
      <c r="G172" s="53">
        <v>2787414</v>
      </c>
      <c r="H172" s="53"/>
      <c r="I172" s="53">
        <v>5394059</v>
      </c>
      <c r="J172" s="53"/>
      <c r="K172" s="53">
        <f t="shared" si="27"/>
        <v>282476</v>
      </c>
      <c r="L172" s="53"/>
      <c r="M172" s="53">
        <v>1040443</v>
      </c>
      <c r="N172" s="53"/>
      <c r="O172" s="53">
        <v>1322919</v>
      </c>
      <c r="P172" s="53"/>
      <c r="Q172" s="53">
        <v>1509681</v>
      </c>
      <c r="R172" s="53"/>
      <c r="S172" s="53">
        <v>0</v>
      </c>
      <c r="T172" s="53"/>
      <c r="U172" s="53">
        <v>2561459</v>
      </c>
      <c r="V172" s="53"/>
      <c r="W172" s="53">
        <f t="shared" si="33"/>
        <v>4071140</v>
      </c>
      <c r="X172" s="53"/>
      <c r="Y172" s="35" t="s">
        <v>204</v>
      </c>
      <c r="AA172" s="35" t="s">
        <v>125</v>
      </c>
      <c r="AB172" s="35"/>
      <c r="AC172" s="53">
        <v>982872</v>
      </c>
      <c r="AD172" s="53"/>
      <c r="AE172" s="53">
        <v>534225</v>
      </c>
      <c r="AF172" s="53"/>
      <c r="AG172" s="53">
        <v>156063</v>
      </c>
      <c r="AH172" s="53"/>
      <c r="AI172" s="45">
        <f t="shared" si="29"/>
        <v>292584</v>
      </c>
      <c r="AJ172" s="45"/>
      <c r="AK172" s="53">
        <v>2188</v>
      </c>
      <c r="AL172" s="45"/>
      <c r="AM172" s="53">
        <v>0</v>
      </c>
      <c r="AN172" s="53"/>
      <c r="AO172" s="53">
        <v>0</v>
      </c>
      <c r="AP172" s="53"/>
      <c r="AQ172" s="53">
        <v>407670</v>
      </c>
      <c r="AR172" s="53"/>
      <c r="AS172" s="45">
        <f t="shared" si="30"/>
        <v>702442</v>
      </c>
      <c r="AT172" s="45"/>
      <c r="AU172" s="53">
        <v>0</v>
      </c>
      <c r="AV172" s="53"/>
      <c r="AW172" s="53">
        <v>0</v>
      </c>
      <c r="AX172" s="53"/>
      <c r="AY172" s="53">
        <f t="shared" si="31"/>
        <v>2324169</v>
      </c>
      <c r="AZ172" s="53"/>
      <c r="BA172" s="35" t="s">
        <v>204</v>
      </c>
      <c r="BC172" s="35" t="s">
        <v>125</v>
      </c>
      <c r="BD172" s="53"/>
      <c r="BE172" s="53">
        <v>600000</v>
      </c>
      <c r="BF172" s="53"/>
      <c r="BG172" s="53">
        <v>0</v>
      </c>
      <c r="BH172" s="53"/>
      <c r="BI172" s="53">
        <v>440443</v>
      </c>
      <c r="BJ172" s="53"/>
      <c r="BK172" s="53">
        <v>0</v>
      </c>
      <c r="BL172" s="53"/>
      <c r="BM172" s="53">
        <f t="shared" si="32"/>
        <v>1040443</v>
      </c>
      <c r="BN172" s="54" t="s">
        <v>347</v>
      </c>
      <c r="BR172" s="51"/>
      <c r="BS172" s="53"/>
      <c r="BT172" s="53"/>
      <c r="BU172" s="53"/>
      <c r="BV172" s="53"/>
      <c r="BW172" s="53"/>
      <c r="BX172" s="45"/>
      <c r="BY172" s="45"/>
      <c r="BZ172" s="53"/>
      <c r="CA172" s="53"/>
      <c r="CB172" s="53"/>
      <c r="CC172" s="53"/>
      <c r="CD172" s="53"/>
      <c r="CE172" s="53"/>
      <c r="CF172" s="35"/>
      <c r="CH172" s="35"/>
      <c r="CI172" s="53"/>
      <c r="CJ172" s="53"/>
      <c r="CK172" s="53"/>
      <c r="CL172" s="53"/>
      <c r="CM172" s="53"/>
      <c r="CN172" s="53"/>
      <c r="CO172" s="53"/>
      <c r="CP172" s="53"/>
      <c r="CQ172" s="53"/>
      <c r="CR172" s="53"/>
      <c r="CS172" s="54"/>
    </row>
    <row r="173" spans="1:98" s="159" customFormat="1" ht="12.75" hidden="1" customHeight="1">
      <c r="A173" s="142" t="s">
        <v>205</v>
      </c>
      <c r="B173" s="140"/>
      <c r="C173" s="142" t="s">
        <v>27</v>
      </c>
      <c r="D173" s="137"/>
      <c r="E173" s="156">
        <f t="shared" si="26"/>
        <v>0</v>
      </c>
      <c r="F173" s="156"/>
      <c r="G173" s="156">
        <v>0</v>
      </c>
      <c r="H173" s="156"/>
      <c r="I173" s="156">
        <v>0</v>
      </c>
      <c r="J173" s="156"/>
      <c r="K173" s="156">
        <f t="shared" si="27"/>
        <v>0</v>
      </c>
      <c r="L173" s="156"/>
      <c r="M173" s="156">
        <v>0</v>
      </c>
      <c r="N173" s="156"/>
      <c r="O173" s="156">
        <v>0</v>
      </c>
      <c r="P173" s="156"/>
      <c r="Q173" s="156">
        <v>0</v>
      </c>
      <c r="R173" s="156"/>
      <c r="S173" s="156">
        <v>0</v>
      </c>
      <c r="T173" s="156"/>
      <c r="U173" s="156">
        <v>0</v>
      </c>
      <c r="V173" s="156"/>
      <c r="W173" s="156">
        <f t="shared" si="33"/>
        <v>0</v>
      </c>
      <c r="X173" s="156"/>
      <c r="Y173" s="142" t="s">
        <v>205</v>
      </c>
      <c r="AA173" s="142" t="s">
        <v>27</v>
      </c>
      <c r="AB173" s="142"/>
      <c r="AC173" s="156">
        <v>0</v>
      </c>
      <c r="AD173" s="156"/>
      <c r="AE173" s="156">
        <v>0</v>
      </c>
      <c r="AF173" s="156"/>
      <c r="AG173" s="156">
        <v>0</v>
      </c>
      <c r="AH173" s="156"/>
      <c r="AI173" s="143">
        <f t="shared" si="29"/>
        <v>0</v>
      </c>
      <c r="AJ173" s="143"/>
      <c r="AK173" s="156">
        <v>0</v>
      </c>
      <c r="AL173" s="143"/>
      <c r="AM173" s="156">
        <v>0</v>
      </c>
      <c r="AN173" s="156"/>
      <c r="AO173" s="156">
        <v>0</v>
      </c>
      <c r="AP173" s="156"/>
      <c r="AQ173" s="156">
        <v>0</v>
      </c>
      <c r="AR173" s="156"/>
      <c r="AS173" s="143">
        <f t="shared" si="30"/>
        <v>0</v>
      </c>
      <c r="AT173" s="143"/>
      <c r="AU173" s="156">
        <v>0</v>
      </c>
      <c r="AV173" s="156"/>
      <c r="AW173" s="156">
        <v>0</v>
      </c>
      <c r="AX173" s="156"/>
      <c r="AY173" s="156">
        <f t="shared" si="31"/>
        <v>0</v>
      </c>
      <c r="AZ173" s="156"/>
      <c r="BA173" s="142" t="s">
        <v>205</v>
      </c>
      <c r="BC173" s="142" t="s">
        <v>27</v>
      </c>
      <c r="BD173" s="156"/>
      <c r="BE173" s="156">
        <v>0</v>
      </c>
      <c r="BF173" s="156"/>
      <c r="BG173" s="156">
        <v>0</v>
      </c>
      <c r="BH173" s="156"/>
      <c r="BI173" s="156">
        <v>0</v>
      </c>
      <c r="BJ173" s="156"/>
      <c r="BK173" s="156">
        <v>0</v>
      </c>
      <c r="BL173" s="156"/>
      <c r="BM173" s="156">
        <f t="shared" si="32"/>
        <v>0</v>
      </c>
      <c r="BN173" s="158" t="s">
        <v>347</v>
      </c>
      <c r="BR173" s="140"/>
      <c r="BS173" s="156"/>
      <c r="BT173" s="156"/>
      <c r="BU173" s="156"/>
      <c r="BV173" s="156"/>
      <c r="BW173" s="156"/>
      <c r="BX173" s="143"/>
      <c r="BY173" s="143"/>
      <c r="BZ173" s="156"/>
      <c r="CA173" s="156"/>
      <c r="CB173" s="156"/>
      <c r="CC173" s="156"/>
      <c r="CD173" s="156"/>
      <c r="CE173" s="156"/>
      <c r="CF173" s="142"/>
      <c r="CH173" s="142"/>
      <c r="CI173" s="156"/>
      <c r="CJ173" s="156"/>
      <c r="CK173" s="156"/>
      <c r="CL173" s="156"/>
      <c r="CM173" s="156"/>
      <c r="CN173" s="156"/>
      <c r="CO173" s="156"/>
      <c r="CP173" s="156"/>
      <c r="CQ173" s="156"/>
      <c r="CR173" s="156"/>
      <c r="CS173" s="158"/>
    </row>
    <row r="174" spans="1:98" s="55" customFormat="1" ht="12.75" customHeight="1">
      <c r="A174" s="35" t="s">
        <v>206</v>
      </c>
      <c r="C174" s="35" t="s">
        <v>47</v>
      </c>
      <c r="D174" s="44"/>
      <c r="E174" s="53">
        <v>4035795</v>
      </c>
      <c r="F174" s="53"/>
      <c r="G174" s="53">
        <v>39349858</v>
      </c>
      <c r="H174" s="53"/>
      <c r="I174" s="53">
        <v>43385653</v>
      </c>
      <c r="J174" s="53"/>
      <c r="K174" s="53">
        <v>9094177</v>
      </c>
      <c r="L174" s="53"/>
      <c r="M174" s="53">
        <v>6303250</v>
      </c>
      <c r="N174" s="53"/>
      <c r="O174" s="53">
        <v>15397427</v>
      </c>
      <c r="P174" s="53"/>
      <c r="Q174" s="53">
        <v>24337263</v>
      </c>
      <c r="R174" s="53"/>
      <c r="S174" s="53">
        <v>0</v>
      </c>
      <c r="T174" s="53"/>
      <c r="U174" s="53">
        <v>3650963</v>
      </c>
      <c r="V174" s="53"/>
      <c r="W174" s="53">
        <f t="shared" si="33"/>
        <v>27988226</v>
      </c>
      <c r="X174" s="53"/>
      <c r="Y174" s="35" t="s">
        <v>206</v>
      </c>
      <c r="AA174" s="35" t="s">
        <v>47</v>
      </c>
      <c r="AB174" s="35"/>
      <c r="AC174" s="53">
        <v>5556024</v>
      </c>
      <c r="AD174" s="53"/>
      <c r="AE174" s="53">
        <v>1594984</v>
      </c>
      <c r="AF174" s="53"/>
      <c r="AG174" s="53">
        <v>1056578</v>
      </c>
      <c r="AH174" s="53"/>
      <c r="AI174" s="45">
        <f t="shared" si="29"/>
        <v>2904462</v>
      </c>
      <c r="AJ174" s="45"/>
      <c r="AK174" s="53">
        <v>-872985</v>
      </c>
      <c r="AL174" s="45"/>
      <c r="AM174" s="53">
        <v>181038</v>
      </c>
      <c r="AN174" s="53"/>
      <c r="AO174" s="53">
        <v>0</v>
      </c>
      <c r="AP174" s="53"/>
      <c r="AQ174" s="53">
        <v>0</v>
      </c>
      <c r="AR174" s="53"/>
      <c r="AS174" s="45">
        <f t="shared" si="30"/>
        <v>2212515</v>
      </c>
      <c r="AT174" s="45"/>
      <c r="AU174" s="53">
        <v>0</v>
      </c>
      <c r="AV174" s="53"/>
      <c r="AW174" s="53">
        <v>0</v>
      </c>
      <c r="AX174" s="53"/>
      <c r="AY174" s="53">
        <f t="shared" si="31"/>
        <v>-5058382</v>
      </c>
      <c r="AZ174" s="53"/>
      <c r="BA174" s="35" t="s">
        <v>206</v>
      </c>
      <c r="BC174" s="35" t="s">
        <v>47</v>
      </c>
      <c r="BD174" s="53"/>
      <c r="BE174" s="53">
        <v>0</v>
      </c>
      <c r="BF174" s="53"/>
      <c r="BG174" s="53">
        <v>0</v>
      </c>
      <c r="BH174" s="53"/>
      <c r="BI174" s="53">
        <v>6074992</v>
      </c>
      <c r="BJ174" s="53"/>
      <c r="BK174" s="53">
        <v>228258</v>
      </c>
      <c r="BL174" s="53"/>
      <c r="BM174" s="53">
        <f t="shared" si="32"/>
        <v>6303250</v>
      </c>
      <c r="BN174" s="54" t="s">
        <v>347</v>
      </c>
      <c r="BR174" s="51"/>
      <c r="BS174" s="53"/>
      <c r="BT174" s="53"/>
      <c r="BU174" s="53"/>
      <c r="BV174" s="53"/>
      <c r="BW174" s="53"/>
      <c r="BX174" s="45"/>
      <c r="BY174" s="45"/>
      <c r="BZ174" s="53"/>
      <c r="CA174" s="53"/>
      <c r="CB174" s="53"/>
      <c r="CC174" s="53"/>
      <c r="CD174" s="53"/>
      <c r="CE174" s="53"/>
      <c r="CF174" s="35"/>
      <c r="CH174" s="35"/>
      <c r="CI174" s="53"/>
      <c r="CJ174" s="53"/>
      <c r="CK174" s="53"/>
      <c r="CL174" s="53"/>
      <c r="CM174" s="53"/>
      <c r="CN174" s="53"/>
      <c r="CO174" s="53"/>
      <c r="CP174" s="53"/>
      <c r="CQ174" s="53"/>
      <c r="CR174" s="53"/>
      <c r="CS174" s="54"/>
    </row>
    <row r="175" spans="1:98" s="55" customFormat="1" ht="12.75" customHeight="1">
      <c r="A175" s="35"/>
      <c r="C175" s="35"/>
      <c r="D175" s="44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 t="s">
        <v>485</v>
      </c>
      <c r="X175" s="53"/>
      <c r="Y175" s="35"/>
      <c r="AA175" s="35"/>
      <c r="AB175" s="35"/>
      <c r="AC175" s="53"/>
      <c r="AD175" s="53"/>
      <c r="AE175" s="53"/>
      <c r="AF175" s="53"/>
      <c r="AG175" s="53"/>
      <c r="AH175" s="53"/>
      <c r="AI175" s="45"/>
      <c r="AJ175" s="45"/>
      <c r="AK175" s="53"/>
      <c r="AL175" s="45"/>
      <c r="AM175" s="53"/>
      <c r="AN175" s="53"/>
      <c r="AO175" s="53"/>
      <c r="AP175" s="53"/>
      <c r="AQ175" s="53"/>
      <c r="AR175" s="53"/>
      <c r="AS175" s="45"/>
      <c r="AT175" s="45"/>
      <c r="AU175" s="53"/>
      <c r="AV175" s="53"/>
      <c r="AW175" s="53"/>
      <c r="AX175" s="53"/>
      <c r="AY175" s="53" t="s">
        <v>485</v>
      </c>
      <c r="AZ175" s="53"/>
      <c r="BA175" s="35"/>
      <c r="BC175" s="35"/>
      <c r="BD175" s="53"/>
      <c r="BE175" s="53"/>
      <c r="BF175" s="53"/>
      <c r="BG175" s="53"/>
      <c r="BH175" s="53"/>
      <c r="BI175" s="53"/>
      <c r="BJ175" s="53"/>
      <c r="BK175" s="53"/>
      <c r="BL175" s="53"/>
      <c r="BM175" s="53" t="s">
        <v>485</v>
      </c>
      <c r="BN175" s="54"/>
      <c r="BR175" s="51"/>
      <c r="BS175" s="53"/>
      <c r="BT175" s="53"/>
      <c r="BU175" s="53"/>
      <c r="BV175" s="53"/>
      <c r="BW175" s="53"/>
      <c r="BX175" s="45"/>
      <c r="BY175" s="45"/>
      <c r="BZ175" s="53"/>
      <c r="CA175" s="53"/>
      <c r="CB175" s="53"/>
      <c r="CC175" s="53"/>
      <c r="CD175" s="53"/>
      <c r="CE175" s="53"/>
      <c r="CF175" s="35"/>
      <c r="CH175" s="35"/>
      <c r="CI175" s="53"/>
      <c r="CJ175" s="53"/>
      <c r="CK175" s="53"/>
      <c r="CL175" s="53"/>
      <c r="CM175" s="53"/>
      <c r="CN175" s="53"/>
      <c r="CO175" s="53"/>
      <c r="CP175" s="53"/>
      <c r="CQ175" s="53"/>
      <c r="CR175" s="53"/>
      <c r="CS175" s="54"/>
    </row>
    <row r="176" spans="1:98" s="90" customFormat="1" ht="12.75" customHeight="1">
      <c r="A176" s="64" t="s">
        <v>207</v>
      </c>
      <c r="B176" s="66"/>
      <c r="C176" s="64" t="s">
        <v>102</v>
      </c>
      <c r="D176" s="46"/>
      <c r="E176" s="79">
        <v>3320135</v>
      </c>
      <c r="F176" s="79"/>
      <c r="G176" s="79">
        <v>17930184</v>
      </c>
      <c r="H176" s="79"/>
      <c r="I176" s="79">
        <v>21250319</v>
      </c>
      <c r="J176" s="79"/>
      <c r="K176" s="79">
        <v>741938</v>
      </c>
      <c r="L176" s="79"/>
      <c r="M176" s="79">
        <v>6533498</v>
      </c>
      <c r="N176" s="79"/>
      <c r="O176" s="79">
        <v>7275436</v>
      </c>
      <c r="P176" s="79"/>
      <c r="Q176" s="79">
        <v>11459511</v>
      </c>
      <c r="R176" s="79"/>
      <c r="S176" s="79">
        <v>0</v>
      </c>
      <c r="T176" s="79"/>
      <c r="U176" s="79">
        <v>2515372</v>
      </c>
      <c r="V176" s="79"/>
      <c r="W176" s="79">
        <f t="shared" si="33"/>
        <v>13974883</v>
      </c>
      <c r="X176" s="79"/>
      <c r="Y176" s="64" t="s">
        <v>207</v>
      </c>
      <c r="AA176" s="64" t="s">
        <v>102</v>
      </c>
      <c r="AB176" s="64"/>
      <c r="AC176" s="79">
        <v>1751962</v>
      </c>
      <c r="AD176" s="79"/>
      <c r="AE176" s="79">
        <v>1256262</v>
      </c>
      <c r="AF176" s="79"/>
      <c r="AG176" s="79">
        <v>475018</v>
      </c>
      <c r="AH176" s="79"/>
      <c r="AI176" s="94">
        <f t="shared" si="29"/>
        <v>20682</v>
      </c>
      <c r="AJ176" s="94"/>
      <c r="AK176" s="79">
        <v>-207445</v>
      </c>
      <c r="AL176" s="94"/>
      <c r="AM176" s="79">
        <v>0</v>
      </c>
      <c r="AN176" s="79"/>
      <c r="AO176" s="79">
        <v>0</v>
      </c>
      <c r="AP176" s="79"/>
      <c r="AQ176" s="79">
        <v>395217</v>
      </c>
      <c r="AR176" s="79"/>
      <c r="AS176" s="94">
        <f t="shared" si="30"/>
        <v>208454</v>
      </c>
      <c r="AT176" s="94"/>
      <c r="AU176" s="79">
        <v>0</v>
      </c>
      <c r="AV176" s="79"/>
      <c r="AW176" s="79">
        <v>0</v>
      </c>
      <c r="AX176" s="79"/>
      <c r="AY176" s="79">
        <f t="shared" si="31"/>
        <v>2578197</v>
      </c>
      <c r="AZ176" s="79"/>
      <c r="BA176" s="64" t="s">
        <v>207</v>
      </c>
      <c r="BC176" s="64" t="s">
        <v>102</v>
      </c>
      <c r="BD176" s="79"/>
      <c r="BE176" s="79">
        <v>3222383</v>
      </c>
      <c r="BF176" s="79"/>
      <c r="BG176" s="79">
        <v>0</v>
      </c>
      <c r="BH176" s="79"/>
      <c r="BI176" s="79">
        <v>0</v>
      </c>
      <c r="BJ176" s="79"/>
      <c r="BK176" s="79">
        <v>3311115</v>
      </c>
      <c r="BL176" s="79"/>
      <c r="BM176" s="79">
        <f t="shared" si="32"/>
        <v>6533498</v>
      </c>
      <c r="BN176" s="91"/>
      <c r="BR176" s="66"/>
      <c r="BS176" s="79"/>
      <c r="BT176" s="79"/>
      <c r="BU176" s="79"/>
      <c r="BV176" s="79"/>
      <c r="BW176" s="79"/>
      <c r="BX176" s="94"/>
      <c r="BY176" s="94"/>
      <c r="BZ176" s="79"/>
      <c r="CA176" s="79"/>
      <c r="CB176" s="79"/>
      <c r="CC176" s="79"/>
      <c r="CD176" s="79"/>
      <c r="CE176" s="79"/>
      <c r="CF176" s="64"/>
      <c r="CH176" s="64"/>
      <c r="CI176" s="79"/>
      <c r="CJ176" s="79"/>
      <c r="CK176" s="79"/>
      <c r="CL176" s="79"/>
      <c r="CM176" s="79"/>
      <c r="CN176" s="79"/>
      <c r="CO176" s="79"/>
      <c r="CP176" s="79"/>
      <c r="CQ176" s="79"/>
      <c r="CR176" s="79"/>
      <c r="CS176" s="91"/>
    </row>
    <row r="177" spans="1:99" s="55" customFormat="1" ht="12.75" customHeight="1">
      <c r="A177" s="35" t="s">
        <v>208</v>
      </c>
      <c r="B177" s="51"/>
      <c r="C177" s="35" t="s">
        <v>209</v>
      </c>
      <c r="D177" s="44"/>
      <c r="E177" s="53">
        <v>1275813</v>
      </c>
      <c r="F177" s="53"/>
      <c r="G177" s="53">
        <v>10579917</v>
      </c>
      <c r="H177" s="53"/>
      <c r="I177" s="53">
        <v>11855730</v>
      </c>
      <c r="J177" s="53"/>
      <c r="K177" s="53">
        <v>547176</v>
      </c>
      <c r="L177" s="53"/>
      <c r="M177" s="53">
        <v>2793099</v>
      </c>
      <c r="N177" s="53"/>
      <c r="O177" s="53">
        <v>2793099</v>
      </c>
      <c r="P177" s="53"/>
      <c r="Q177" s="53">
        <v>7573201</v>
      </c>
      <c r="R177" s="53"/>
      <c r="S177" s="53">
        <v>50000</v>
      </c>
      <c r="T177" s="53"/>
      <c r="U177" s="53">
        <v>892254</v>
      </c>
      <c r="V177" s="53"/>
      <c r="W177" s="53">
        <f t="shared" si="33"/>
        <v>8515455</v>
      </c>
      <c r="X177" s="53"/>
      <c r="Y177" s="35" t="s">
        <v>208</v>
      </c>
      <c r="AA177" s="35" t="s">
        <v>209</v>
      </c>
      <c r="AB177" s="35"/>
      <c r="AC177" s="53">
        <v>2698454</v>
      </c>
      <c r="AD177" s="53"/>
      <c r="AE177" s="53">
        <v>1692387</v>
      </c>
      <c r="AF177" s="53"/>
      <c r="AG177" s="53">
        <v>943305</v>
      </c>
      <c r="AH177" s="53"/>
      <c r="AI177" s="45">
        <f t="shared" si="29"/>
        <v>62762</v>
      </c>
      <c r="AJ177" s="45"/>
      <c r="AK177" s="53">
        <v>-107138</v>
      </c>
      <c r="AL177" s="45"/>
      <c r="AM177" s="53">
        <v>0</v>
      </c>
      <c r="AN177" s="53"/>
      <c r="AO177" s="53">
        <v>0</v>
      </c>
      <c r="AP177" s="53"/>
      <c r="AQ177" s="53">
        <v>0</v>
      </c>
      <c r="AR177" s="53"/>
      <c r="AS177" s="45">
        <f t="shared" si="30"/>
        <v>-44376</v>
      </c>
      <c r="AT177" s="45"/>
      <c r="AU177" s="53">
        <v>0</v>
      </c>
      <c r="AV177" s="53"/>
      <c r="AW177" s="53">
        <v>0</v>
      </c>
      <c r="AX177" s="53"/>
      <c r="AY177" s="53">
        <f t="shared" si="31"/>
        <v>728637</v>
      </c>
      <c r="AZ177" s="53"/>
      <c r="BA177" s="35" t="s">
        <v>208</v>
      </c>
      <c r="BC177" s="35" t="s">
        <v>209</v>
      </c>
      <c r="BD177" s="53"/>
      <c r="BE177" s="53">
        <v>0</v>
      </c>
      <c r="BF177" s="53"/>
      <c r="BG177" s="53">
        <v>0</v>
      </c>
      <c r="BH177" s="53"/>
      <c r="BI177" s="53">
        <v>0</v>
      </c>
      <c r="BJ177" s="53"/>
      <c r="BK177" s="53">
        <v>2793099</v>
      </c>
      <c r="BL177" s="53"/>
      <c r="BM177" s="53">
        <f t="shared" si="32"/>
        <v>2793099</v>
      </c>
      <c r="BN177" s="54" t="s">
        <v>347</v>
      </c>
      <c r="BR177" s="51"/>
      <c r="BS177" s="53"/>
      <c r="BT177" s="53"/>
      <c r="BU177" s="53"/>
      <c r="BV177" s="53"/>
      <c r="BW177" s="45"/>
      <c r="BX177" s="45"/>
      <c r="BY177" s="53"/>
      <c r="BZ177" s="53"/>
      <c r="CA177" s="53"/>
      <c r="CB177" s="53"/>
      <c r="CC177" s="53"/>
      <c r="CD177" s="53"/>
      <c r="CE177" s="53"/>
      <c r="CF177" s="35"/>
      <c r="CH177" s="35"/>
      <c r="CI177" s="53"/>
      <c r="CJ177" s="53"/>
      <c r="CK177" s="53"/>
      <c r="CL177" s="53"/>
      <c r="CM177" s="53"/>
      <c r="CN177" s="53"/>
      <c r="CO177" s="53"/>
      <c r="CP177" s="53"/>
      <c r="CQ177" s="53"/>
      <c r="CR177" s="53"/>
      <c r="CS177" s="54"/>
    </row>
    <row r="178" spans="1:99" s="55" customFormat="1" ht="12.75" customHeight="1">
      <c r="A178" s="46" t="s">
        <v>210</v>
      </c>
      <c r="B178" s="90"/>
      <c r="C178" s="46" t="s">
        <v>211</v>
      </c>
      <c r="D178" s="46"/>
      <c r="E178" s="53">
        <f t="shared" si="26"/>
        <v>1498703</v>
      </c>
      <c r="F178" s="53"/>
      <c r="G178" s="53">
        <v>11080117</v>
      </c>
      <c r="H178" s="53"/>
      <c r="I178" s="53">
        <v>12578820</v>
      </c>
      <c r="J178" s="53"/>
      <c r="K178" s="53">
        <f t="shared" si="27"/>
        <v>2246365</v>
      </c>
      <c r="L178" s="53"/>
      <c r="M178" s="53">
        <v>4489058</v>
      </c>
      <c r="N178" s="53"/>
      <c r="O178" s="53">
        <v>6735423</v>
      </c>
      <c r="P178" s="53"/>
      <c r="Q178" s="53">
        <v>5169827</v>
      </c>
      <c r="R178" s="53"/>
      <c r="S178" s="53">
        <v>0</v>
      </c>
      <c r="T178" s="53"/>
      <c r="U178" s="53">
        <v>675570</v>
      </c>
      <c r="V178" s="53"/>
      <c r="W178" s="53">
        <f t="shared" si="33"/>
        <v>5845397</v>
      </c>
      <c r="X178" s="79"/>
      <c r="Y178" s="46" t="s">
        <v>210</v>
      </c>
      <c r="Z178" s="90"/>
      <c r="AA178" s="46" t="s">
        <v>211</v>
      </c>
      <c r="AB178" s="46"/>
      <c r="AC178" s="53">
        <v>2210636</v>
      </c>
      <c r="AD178" s="53"/>
      <c r="AE178" s="53">
        <v>1512074</v>
      </c>
      <c r="AF178" s="53"/>
      <c r="AG178" s="53">
        <v>232724</v>
      </c>
      <c r="AH178" s="53"/>
      <c r="AI178" s="45">
        <f t="shared" si="29"/>
        <v>465838</v>
      </c>
      <c r="AJ178" s="45"/>
      <c r="AK178" s="53">
        <v>-182506</v>
      </c>
      <c r="AL178" s="45"/>
      <c r="AM178" s="53">
        <v>3955</v>
      </c>
      <c r="AN178" s="53"/>
      <c r="AO178" s="53">
        <v>60000</v>
      </c>
      <c r="AP178" s="53"/>
      <c r="AQ178" s="53">
        <v>0</v>
      </c>
      <c r="AR178" s="53"/>
      <c r="AS178" s="45">
        <f t="shared" si="30"/>
        <v>227287</v>
      </c>
      <c r="AT178" s="45"/>
      <c r="AU178" s="53">
        <v>0</v>
      </c>
      <c r="AV178" s="53"/>
      <c r="AW178" s="53">
        <v>0</v>
      </c>
      <c r="AX178" s="53"/>
      <c r="AY178" s="53">
        <f t="shared" si="31"/>
        <v>-747662</v>
      </c>
      <c r="AZ178" s="79"/>
      <c r="BA178" s="46" t="s">
        <v>210</v>
      </c>
      <c r="BB178" s="90"/>
      <c r="BC178" s="46" t="s">
        <v>211</v>
      </c>
      <c r="BD178" s="79"/>
      <c r="BE178" s="53">
        <v>0</v>
      </c>
      <c r="BF178" s="53"/>
      <c r="BG178" s="53">
        <v>0</v>
      </c>
      <c r="BH178" s="53"/>
      <c r="BI178" s="53">
        <v>4447474</v>
      </c>
      <c r="BJ178" s="53"/>
      <c r="BK178" s="53">
        <v>41584</v>
      </c>
      <c r="BL178" s="53"/>
      <c r="BM178" s="53">
        <f t="shared" si="32"/>
        <v>4489058</v>
      </c>
      <c r="BN178" s="54" t="s">
        <v>347</v>
      </c>
      <c r="BO178" s="35"/>
      <c r="BP178" s="35"/>
      <c r="BR178" s="51"/>
      <c r="BS178" s="53"/>
      <c r="BT178" s="53"/>
      <c r="BU178" s="53"/>
      <c r="BV178" s="53"/>
      <c r="BW178" s="45"/>
      <c r="BX178" s="45"/>
      <c r="BY178" s="53"/>
      <c r="BZ178" s="53"/>
      <c r="CA178" s="53"/>
      <c r="CB178" s="53"/>
      <c r="CC178" s="53"/>
      <c r="CD178" s="53"/>
      <c r="CE178" s="53"/>
      <c r="CF178" s="35"/>
      <c r="CH178" s="35"/>
      <c r="CI178" s="53"/>
      <c r="CJ178" s="53"/>
      <c r="CK178" s="53"/>
      <c r="CL178" s="53"/>
      <c r="CM178" s="53"/>
      <c r="CN178" s="53"/>
      <c r="CO178" s="53"/>
      <c r="CP178" s="53"/>
      <c r="CQ178" s="53"/>
      <c r="CR178" s="53"/>
      <c r="CS178" s="54"/>
      <c r="CT178" s="35"/>
      <c r="CU178" s="35"/>
    </row>
    <row r="179" spans="1:99" s="55" customFormat="1" ht="12.75" customHeight="1">
      <c r="A179" s="44" t="s">
        <v>212</v>
      </c>
      <c r="B179" s="51"/>
      <c r="C179" s="44" t="s">
        <v>213</v>
      </c>
      <c r="D179" s="44"/>
      <c r="E179" s="53">
        <f t="shared" si="26"/>
        <v>2235859</v>
      </c>
      <c r="F179" s="53"/>
      <c r="G179" s="53">
        <v>1475373</v>
      </c>
      <c r="H179" s="53"/>
      <c r="I179" s="53">
        <v>3711232</v>
      </c>
      <c r="J179" s="53"/>
      <c r="K179" s="53">
        <f t="shared" si="27"/>
        <v>232249</v>
      </c>
      <c r="L179" s="53"/>
      <c r="M179" s="53">
        <v>1895902</v>
      </c>
      <c r="N179" s="53"/>
      <c r="O179" s="53">
        <v>2128151</v>
      </c>
      <c r="P179" s="53"/>
      <c r="Q179" s="53">
        <v>1343338</v>
      </c>
      <c r="R179" s="53"/>
      <c r="S179" s="53">
        <v>0</v>
      </c>
      <c r="T179" s="53"/>
      <c r="U179" s="53">
        <v>239743</v>
      </c>
      <c r="V179" s="53"/>
      <c r="W179" s="53">
        <f t="shared" si="33"/>
        <v>1583081</v>
      </c>
      <c r="X179" s="53"/>
      <c r="Y179" s="44" t="s">
        <v>212</v>
      </c>
      <c r="AA179" s="44" t="s">
        <v>213</v>
      </c>
      <c r="AB179" s="44"/>
      <c r="AC179" s="53">
        <v>2622383</v>
      </c>
      <c r="AD179" s="53"/>
      <c r="AE179" s="53">
        <v>2514744</v>
      </c>
      <c r="AF179" s="53"/>
      <c r="AG179" s="53">
        <v>82826</v>
      </c>
      <c r="AH179" s="53"/>
      <c r="AI179" s="45">
        <f t="shared" si="29"/>
        <v>24813</v>
      </c>
      <c r="AJ179" s="45"/>
      <c r="AK179" s="53">
        <v>-62783</v>
      </c>
      <c r="AL179" s="45"/>
      <c r="AM179" s="53">
        <v>0</v>
      </c>
      <c r="AN179" s="53"/>
      <c r="AO179" s="53">
        <v>0</v>
      </c>
      <c r="AP179" s="53"/>
      <c r="AQ179" s="53">
        <v>0</v>
      </c>
      <c r="AR179" s="53"/>
      <c r="AS179" s="45">
        <f t="shared" si="30"/>
        <v>-37970</v>
      </c>
      <c r="AT179" s="45"/>
      <c r="AU179" s="53">
        <v>0</v>
      </c>
      <c r="AV179" s="53"/>
      <c r="AW179" s="53">
        <v>0</v>
      </c>
      <c r="AX179" s="53"/>
      <c r="AY179" s="53">
        <f t="shared" si="31"/>
        <v>2003610</v>
      </c>
      <c r="AZ179" s="53"/>
      <c r="BA179" s="44" t="s">
        <v>212</v>
      </c>
      <c r="BC179" s="44" t="s">
        <v>213</v>
      </c>
      <c r="BD179" s="53"/>
      <c r="BE179" s="53">
        <v>0</v>
      </c>
      <c r="BF179" s="53"/>
      <c r="BG179" s="53">
        <v>0</v>
      </c>
      <c r="BH179" s="53"/>
      <c r="BI179" s="53">
        <v>375000</v>
      </c>
      <c r="BJ179" s="53"/>
      <c r="BK179" s="53">
        <v>1520902</v>
      </c>
      <c r="BL179" s="53"/>
      <c r="BM179" s="53">
        <f t="shared" si="32"/>
        <v>1895902</v>
      </c>
      <c r="BN179" s="54" t="s">
        <v>347</v>
      </c>
      <c r="BO179" s="55" t="s">
        <v>404</v>
      </c>
      <c r="BR179" s="51"/>
      <c r="BS179" s="53"/>
      <c r="BT179" s="53"/>
      <c r="BU179" s="53"/>
      <c r="BV179" s="53"/>
      <c r="BW179" s="53"/>
      <c r="BX179" s="45"/>
      <c r="BY179" s="45"/>
      <c r="BZ179" s="53"/>
      <c r="CA179" s="53"/>
      <c r="CB179" s="53"/>
      <c r="CC179" s="53"/>
      <c r="CD179" s="53"/>
      <c r="CE179" s="53"/>
      <c r="CF179" s="35"/>
      <c r="CH179" s="35"/>
      <c r="CI179" s="53"/>
      <c r="CJ179" s="53"/>
      <c r="CK179" s="53"/>
      <c r="CL179" s="53"/>
      <c r="CM179" s="53"/>
      <c r="CN179" s="53"/>
      <c r="CO179" s="53"/>
      <c r="CP179" s="53"/>
      <c r="CQ179" s="53"/>
      <c r="CR179" s="53"/>
      <c r="CS179" s="54"/>
    </row>
    <row r="180" spans="1:99" s="159" customFormat="1" ht="12.75" hidden="1" customHeight="1">
      <c r="A180" s="137" t="s">
        <v>214</v>
      </c>
      <c r="B180" s="140"/>
      <c r="C180" s="137" t="s">
        <v>86</v>
      </c>
      <c r="D180" s="137"/>
      <c r="E180" s="156">
        <f t="shared" si="26"/>
        <v>0</v>
      </c>
      <c r="F180" s="156"/>
      <c r="G180" s="156">
        <v>0</v>
      </c>
      <c r="H180" s="156"/>
      <c r="I180" s="156">
        <v>0</v>
      </c>
      <c r="J180" s="156"/>
      <c r="K180" s="156">
        <f t="shared" si="27"/>
        <v>0</v>
      </c>
      <c r="L180" s="156"/>
      <c r="M180" s="156">
        <v>0</v>
      </c>
      <c r="N180" s="156"/>
      <c r="O180" s="156">
        <v>0</v>
      </c>
      <c r="P180" s="156"/>
      <c r="Q180" s="156">
        <v>0</v>
      </c>
      <c r="R180" s="156"/>
      <c r="S180" s="156">
        <v>0</v>
      </c>
      <c r="T180" s="156"/>
      <c r="U180" s="156">
        <v>0</v>
      </c>
      <c r="V180" s="156"/>
      <c r="W180" s="156">
        <f t="shared" si="33"/>
        <v>0</v>
      </c>
      <c r="X180" s="156"/>
      <c r="Y180" s="137" t="s">
        <v>214</v>
      </c>
      <c r="AA180" s="137" t="s">
        <v>86</v>
      </c>
      <c r="AB180" s="137"/>
      <c r="AC180" s="156">
        <v>0</v>
      </c>
      <c r="AD180" s="156"/>
      <c r="AE180" s="156">
        <v>0</v>
      </c>
      <c r="AF180" s="156"/>
      <c r="AG180" s="156">
        <v>0</v>
      </c>
      <c r="AH180" s="156"/>
      <c r="AI180" s="143">
        <f t="shared" si="29"/>
        <v>0</v>
      </c>
      <c r="AJ180" s="143"/>
      <c r="AK180" s="156">
        <v>0</v>
      </c>
      <c r="AL180" s="143"/>
      <c r="AM180" s="156">
        <v>0</v>
      </c>
      <c r="AN180" s="156"/>
      <c r="AO180" s="156">
        <v>0</v>
      </c>
      <c r="AP180" s="156"/>
      <c r="AQ180" s="156">
        <v>0</v>
      </c>
      <c r="AR180" s="156"/>
      <c r="AS180" s="143">
        <f t="shared" si="30"/>
        <v>0</v>
      </c>
      <c r="AT180" s="143"/>
      <c r="AU180" s="156">
        <v>0</v>
      </c>
      <c r="AV180" s="156"/>
      <c r="AW180" s="156">
        <v>0</v>
      </c>
      <c r="AX180" s="156"/>
      <c r="AY180" s="156">
        <f t="shared" si="31"/>
        <v>0</v>
      </c>
      <c r="AZ180" s="156"/>
      <c r="BA180" s="137" t="s">
        <v>214</v>
      </c>
      <c r="BC180" s="137" t="s">
        <v>86</v>
      </c>
      <c r="BD180" s="156"/>
      <c r="BE180" s="156">
        <v>0</v>
      </c>
      <c r="BF180" s="156"/>
      <c r="BG180" s="156">
        <v>0</v>
      </c>
      <c r="BH180" s="156"/>
      <c r="BI180" s="156">
        <v>0</v>
      </c>
      <c r="BJ180" s="156"/>
      <c r="BK180" s="156">
        <v>0</v>
      </c>
      <c r="BL180" s="156"/>
      <c r="BM180" s="156">
        <f t="shared" si="32"/>
        <v>0</v>
      </c>
      <c r="BN180" s="158" t="s">
        <v>347</v>
      </c>
      <c r="BO180" s="159" t="s">
        <v>404</v>
      </c>
      <c r="BR180" s="140"/>
      <c r="BS180" s="156"/>
      <c r="BT180" s="156"/>
      <c r="BU180" s="156"/>
      <c r="BV180" s="156"/>
      <c r="BW180" s="156"/>
      <c r="BX180" s="143"/>
      <c r="BY180" s="143"/>
      <c r="BZ180" s="156"/>
      <c r="CA180" s="156"/>
      <c r="CB180" s="156"/>
      <c r="CC180" s="156"/>
      <c r="CD180" s="156"/>
      <c r="CE180" s="156"/>
      <c r="CF180" s="142"/>
      <c r="CH180" s="142"/>
      <c r="CI180" s="156"/>
      <c r="CJ180" s="156"/>
      <c r="CK180" s="156"/>
      <c r="CL180" s="156"/>
      <c r="CM180" s="156"/>
      <c r="CN180" s="156"/>
      <c r="CO180" s="156"/>
      <c r="CP180" s="156"/>
      <c r="CQ180" s="156"/>
      <c r="CR180" s="156"/>
      <c r="CS180" s="158"/>
    </row>
    <row r="181" spans="1:99" s="55" customFormat="1" ht="12.75" customHeight="1">
      <c r="A181" s="35" t="s">
        <v>215</v>
      </c>
      <c r="C181" s="35" t="s">
        <v>22</v>
      </c>
      <c r="D181" s="44"/>
      <c r="E181" s="53">
        <f t="shared" si="26"/>
        <v>6827102</v>
      </c>
      <c r="F181" s="53"/>
      <c r="G181" s="53">
        <v>15784876</v>
      </c>
      <c r="H181" s="53"/>
      <c r="I181" s="53">
        <v>22611978</v>
      </c>
      <c r="J181" s="53"/>
      <c r="K181" s="53">
        <f t="shared" si="27"/>
        <v>6352265</v>
      </c>
      <c r="L181" s="53"/>
      <c r="M181" s="53">
        <v>12874581</v>
      </c>
      <c r="N181" s="53"/>
      <c r="O181" s="53">
        <v>19226846</v>
      </c>
      <c r="P181" s="53"/>
      <c r="Q181" s="53">
        <v>2253310</v>
      </c>
      <c r="R181" s="53"/>
      <c r="S181" s="53">
        <v>0</v>
      </c>
      <c r="T181" s="53"/>
      <c r="U181" s="53">
        <v>1131822</v>
      </c>
      <c r="V181" s="53"/>
      <c r="W181" s="53">
        <f t="shared" si="33"/>
        <v>3385132</v>
      </c>
      <c r="X181" s="53"/>
      <c r="Y181" s="35" t="s">
        <v>215</v>
      </c>
      <c r="AA181" s="35" t="s">
        <v>22</v>
      </c>
      <c r="AB181" s="35"/>
      <c r="AC181" s="53">
        <v>3093523</v>
      </c>
      <c r="AD181" s="53"/>
      <c r="AE181" s="53">
        <v>1928053</v>
      </c>
      <c r="AF181" s="53"/>
      <c r="AG181" s="53">
        <v>565768</v>
      </c>
      <c r="AH181" s="53"/>
      <c r="AI181" s="45">
        <f t="shared" si="29"/>
        <v>599702</v>
      </c>
      <c r="AJ181" s="45"/>
      <c r="AK181" s="53">
        <v>-560642</v>
      </c>
      <c r="AL181" s="45"/>
      <c r="AM181" s="53">
        <v>414108</v>
      </c>
      <c r="AN181" s="53"/>
      <c r="AO181" s="53">
        <v>0</v>
      </c>
      <c r="AP181" s="53"/>
      <c r="AQ181" s="53">
        <v>0</v>
      </c>
      <c r="AR181" s="53"/>
      <c r="AS181" s="45">
        <f t="shared" si="30"/>
        <v>453168</v>
      </c>
      <c r="AT181" s="45"/>
      <c r="AU181" s="53">
        <v>0</v>
      </c>
      <c r="AV181" s="53"/>
      <c r="AW181" s="53">
        <v>0</v>
      </c>
      <c r="AX181" s="53"/>
      <c r="AY181" s="53">
        <f t="shared" si="31"/>
        <v>474837</v>
      </c>
      <c r="AZ181" s="53"/>
      <c r="BA181" s="35" t="s">
        <v>215</v>
      </c>
      <c r="BC181" s="35" t="s">
        <v>22</v>
      </c>
      <c r="BD181" s="53"/>
      <c r="BE181" s="53">
        <v>0</v>
      </c>
      <c r="BF181" s="53"/>
      <c r="BG181" s="53">
        <v>0</v>
      </c>
      <c r="BH181" s="53"/>
      <c r="BI181" s="53">
        <v>12670012</v>
      </c>
      <c r="BJ181" s="53"/>
      <c r="BK181" s="53">
        <v>204569</v>
      </c>
      <c r="BL181" s="53"/>
      <c r="BM181" s="53">
        <f t="shared" si="32"/>
        <v>12874581</v>
      </c>
      <c r="BN181" s="54" t="s">
        <v>347</v>
      </c>
      <c r="BR181" s="51"/>
      <c r="BS181" s="53"/>
      <c r="BT181" s="53"/>
      <c r="BU181" s="53"/>
      <c r="BV181" s="53"/>
      <c r="BW181" s="53"/>
      <c r="BX181" s="45"/>
      <c r="BY181" s="45"/>
      <c r="BZ181" s="53"/>
      <c r="CA181" s="53"/>
      <c r="CB181" s="53"/>
      <c r="CC181" s="53"/>
      <c r="CD181" s="53"/>
      <c r="CE181" s="53"/>
      <c r="CF181" s="35"/>
      <c r="CH181" s="35"/>
      <c r="CI181" s="53"/>
      <c r="CJ181" s="53"/>
      <c r="CK181" s="53"/>
      <c r="CL181" s="53"/>
      <c r="CM181" s="53"/>
      <c r="CN181" s="53"/>
      <c r="CO181" s="53"/>
      <c r="CP181" s="53"/>
      <c r="CQ181" s="53"/>
      <c r="CR181" s="53"/>
      <c r="CS181" s="54"/>
    </row>
    <row r="182" spans="1:99" s="159" customFormat="1" ht="12.75" hidden="1" customHeight="1">
      <c r="A182" s="142" t="s">
        <v>216</v>
      </c>
      <c r="B182" s="140"/>
      <c r="C182" s="142" t="s">
        <v>45</v>
      </c>
      <c r="D182" s="137"/>
      <c r="E182" s="156">
        <f t="shared" si="26"/>
        <v>0</v>
      </c>
      <c r="F182" s="156"/>
      <c r="G182" s="156"/>
      <c r="H182" s="156"/>
      <c r="I182" s="156"/>
      <c r="J182" s="156"/>
      <c r="K182" s="156">
        <f t="shared" si="27"/>
        <v>0</v>
      </c>
      <c r="L182" s="156"/>
      <c r="M182" s="156"/>
      <c r="N182" s="156"/>
      <c r="O182" s="156"/>
      <c r="P182" s="156"/>
      <c r="Q182" s="156"/>
      <c r="R182" s="156"/>
      <c r="S182" s="156"/>
      <c r="T182" s="156"/>
      <c r="U182" s="156"/>
      <c r="V182" s="156"/>
      <c r="W182" s="156">
        <f t="shared" si="33"/>
        <v>0</v>
      </c>
      <c r="X182" s="156"/>
      <c r="Y182" s="142" t="s">
        <v>216</v>
      </c>
      <c r="AA182" s="142" t="s">
        <v>45</v>
      </c>
      <c r="AB182" s="142"/>
      <c r="AC182" s="156"/>
      <c r="AD182" s="156"/>
      <c r="AE182" s="156"/>
      <c r="AF182" s="156"/>
      <c r="AG182" s="156"/>
      <c r="AH182" s="156"/>
      <c r="AI182" s="143">
        <f t="shared" si="29"/>
        <v>0</v>
      </c>
      <c r="AJ182" s="143"/>
      <c r="AK182" s="156"/>
      <c r="AL182" s="143"/>
      <c r="AM182" s="156"/>
      <c r="AN182" s="156"/>
      <c r="AO182" s="156"/>
      <c r="AP182" s="156"/>
      <c r="AQ182" s="156"/>
      <c r="AR182" s="156"/>
      <c r="AS182" s="143">
        <f t="shared" si="30"/>
        <v>0</v>
      </c>
      <c r="AT182" s="143"/>
      <c r="AU182" s="156">
        <v>0</v>
      </c>
      <c r="AV182" s="156"/>
      <c r="AW182" s="156">
        <v>0</v>
      </c>
      <c r="AX182" s="156"/>
      <c r="AY182" s="156">
        <f t="shared" si="31"/>
        <v>0</v>
      </c>
      <c r="AZ182" s="156"/>
      <c r="BA182" s="142" t="s">
        <v>216</v>
      </c>
      <c r="BC182" s="142" t="s">
        <v>45</v>
      </c>
      <c r="BD182" s="156"/>
      <c r="BE182" s="156"/>
      <c r="BF182" s="156"/>
      <c r="BG182" s="156"/>
      <c r="BH182" s="156"/>
      <c r="BI182" s="156"/>
      <c r="BJ182" s="156"/>
      <c r="BK182" s="156"/>
      <c r="BL182" s="156"/>
      <c r="BM182" s="156">
        <f t="shared" si="32"/>
        <v>0</v>
      </c>
      <c r="BN182" s="158" t="s">
        <v>347</v>
      </c>
      <c r="BR182" s="140"/>
      <c r="BS182" s="156"/>
      <c r="BT182" s="156"/>
      <c r="BU182" s="156"/>
      <c r="BV182" s="156"/>
      <c r="BW182" s="156"/>
      <c r="BX182" s="143"/>
      <c r="BY182" s="143"/>
      <c r="BZ182" s="156"/>
      <c r="CA182" s="156"/>
      <c r="CB182" s="156"/>
      <c r="CC182" s="156"/>
      <c r="CD182" s="156"/>
      <c r="CE182" s="156"/>
      <c r="CF182" s="142"/>
      <c r="CH182" s="142"/>
      <c r="CI182" s="156"/>
      <c r="CJ182" s="156"/>
      <c r="CK182" s="156"/>
      <c r="CL182" s="156"/>
      <c r="CM182" s="156"/>
      <c r="CN182" s="156"/>
      <c r="CO182" s="156"/>
      <c r="CP182" s="156"/>
      <c r="CQ182" s="156"/>
      <c r="CR182" s="156"/>
      <c r="CS182" s="158"/>
    </row>
    <row r="183" spans="1:99" s="55" customFormat="1" ht="12.75" customHeight="1">
      <c r="A183" s="35" t="s">
        <v>217</v>
      </c>
      <c r="B183" s="51"/>
      <c r="C183" s="35" t="s">
        <v>43</v>
      </c>
      <c r="D183" s="44"/>
      <c r="E183" s="53">
        <f>I183-G183</f>
        <v>5392573</v>
      </c>
      <c r="F183" s="53"/>
      <c r="G183" s="53">
        <v>34734349</v>
      </c>
      <c r="H183" s="53"/>
      <c r="I183" s="53">
        <v>40126922</v>
      </c>
      <c r="J183" s="53"/>
      <c r="K183" s="53">
        <f t="shared" si="27"/>
        <v>1136043</v>
      </c>
      <c r="L183" s="53"/>
      <c r="M183" s="53">
        <v>2086449</v>
      </c>
      <c r="N183" s="53"/>
      <c r="O183" s="53">
        <v>3222492</v>
      </c>
      <c r="P183" s="53"/>
      <c r="Q183" s="53">
        <v>32365629</v>
      </c>
      <c r="R183" s="53"/>
      <c r="S183" s="53">
        <v>0</v>
      </c>
      <c r="T183" s="53"/>
      <c r="U183" s="53">
        <v>4538801</v>
      </c>
      <c r="V183" s="53"/>
      <c r="W183" s="53">
        <f t="shared" si="33"/>
        <v>36904430</v>
      </c>
      <c r="X183" s="53"/>
      <c r="Y183" s="35" t="s">
        <v>217</v>
      </c>
      <c r="AA183" s="35" t="s">
        <v>43</v>
      </c>
      <c r="AB183" s="35"/>
      <c r="AC183" s="53">
        <v>4536083</v>
      </c>
      <c r="AD183" s="53"/>
      <c r="AE183" s="53">
        <v>4226566</v>
      </c>
      <c r="AF183" s="53"/>
      <c r="AG183" s="53">
        <v>919394</v>
      </c>
      <c r="AH183" s="53"/>
      <c r="AI183" s="45">
        <f t="shared" si="29"/>
        <v>-609877</v>
      </c>
      <c r="AJ183" s="45"/>
      <c r="AK183" s="53">
        <v>-95919</v>
      </c>
      <c r="AL183" s="45"/>
      <c r="AM183" s="53">
        <v>0</v>
      </c>
      <c r="AN183" s="53"/>
      <c r="AO183" s="53">
        <v>0</v>
      </c>
      <c r="AP183" s="53"/>
      <c r="AQ183" s="53">
        <v>641660</v>
      </c>
      <c r="AR183" s="53"/>
      <c r="AS183" s="45">
        <f t="shared" si="30"/>
        <v>-64136</v>
      </c>
      <c r="AT183" s="45"/>
      <c r="AU183" s="53">
        <v>0</v>
      </c>
      <c r="AV183" s="53"/>
      <c r="AW183" s="53">
        <v>0</v>
      </c>
      <c r="AX183" s="53"/>
      <c r="AY183" s="53">
        <f t="shared" si="31"/>
        <v>4256530</v>
      </c>
      <c r="AZ183" s="53"/>
      <c r="BA183" s="35" t="s">
        <v>217</v>
      </c>
      <c r="BC183" s="35" t="s">
        <v>43</v>
      </c>
      <c r="BD183" s="53"/>
      <c r="BE183" s="53">
        <v>664868</v>
      </c>
      <c r="BF183" s="53"/>
      <c r="BG183" s="53">
        <v>0</v>
      </c>
      <c r="BH183" s="53"/>
      <c r="BI183" s="53">
        <v>0</v>
      </c>
      <c r="BJ183" s="53"/>
      <c r="BK183" s="53">
        <v>1421581</v>
      </c>
      <c r="BL183" s="53"/>
      <c r="BM183" s="53">
        <f t="shared" si="32"/>
        <v>2086449</v>
      </c>
      <c r="BN183" s="54" t="s">
        <v>347</v>
      </c>
      <c r="BR183" s="65"/>
      <c r="BS183" s="53"/>
      <c r="BT183" s="53"/>
      <c r="BU183" s="53"/>
      <c r="BV183" s="53"/>
      <c r="BW183" s="53"/>
      <c r="BX183" s="45"/>
      <c r="BY183" s="45"/>
      <c r="BZ183" s="53"/>
      <c r="CA183" s="53"/>
      <c r="CB183" s="53"/>
      <c r="CC183" s="53"/>
      <c r="CD183" s="53"/>
      <c r="CE183" s="53"/>
      <c r="CF183" s="35"/>
      <c r="CH183" s="35"/>
      <c r="CI183" s="53"/>
      <c r="CJ183" s="53"/>
      <c r="CK183" s="53"/>
      <c r="CL183" s="53"/>
      <c r="CM183" s="53"/>
      <c r="CN183" s="53"/>
      <c r="CO183" s="53"/>
      <c r="CP183" s="53"/>
      <c r="CQ183" s="53"/>
      <c r="CR183" s="53"/>
      <c r="CS183" s="54"/>
    </row>
    <row r="184" spans="1:99" s="159" customFormat="1" ht="12.75" hidden="1" customHeight="1">
      <c r="A184" s="142" t="s">
        <v>218</v>
      </c>
      <c r="B184" s="140"/>
      <c r="C184" s="142" t="s">
        <v>27</v>
      </c>
      <c r="D184" s="137"/>
      <c r="E184" s="156">
        <f t="shared" si="26"/>
        <v>0</v>
      </c>
      <c r="F184" s="156"/>
      <c r="G184" s="156">
        <v>0</v>
      </c>
      <c r="H184" s="156"/>
      <c r="I184" s="156">
        <v>0</v>
      </c>
      <c r="J184" s="156"/>
      <c r="K184" s="156">
        <f t="shared" si="27"/>
        <v>0</v>
      </c>
      <c r="L184" s="156"/>
      <c r="M184" s="156">
        <v>0</v>
      </c>
      <c r="N184" s="156"/>
      <c r="O184" s="156">
        <v>0</v>
      </c>
      <c r="P184" s="156"/>
      <c r="Q184" s="156">
        <v>0</v>
      </c>
      <c r="R184" s="156"/>
      <c r="S184" s="156">
        <v>0</v>
      </c>
      <c r="T184" s="156"/>
      <c r="U184" s="156">
        <v>0</v>
      </c>
      <c r="V184" s="156"/>
      <c r="W184" s="156">
        <f t="shared" si="33"/>
        <v>0</v>
      </c>
      <c r="X184" s="156"/>
      <c r="Y184" s="142" t="s">
        <v>218</v>
      </c>
      <c r="AA184" s="142" t="s">
        <v>27</v>
      </c>
      <c r="AB184" s="142"/>
      <c r="AC184" s="156">
        <v>0</v>
      </c>
      <c r="AD184" s="156"/>
      <c r="AE184" s="156">
        <v>0</v>
      </c>
      <c r="AF184" s="156"/>
      <c r="AG184" s="156">
        <v>0</v>
      </c>
      <c r="AH184" s="156"/>
      <c r="AI184" s="143">
        <f t="shared" si="29"/>
        <v>0</v>
      </c>
      <c r="AJ184" s="143"/>
      <c r="AK184" s="156">
        <v>0</v>
      </c>
      <c r="AL184" s="143"/>
      <c r="AM184" s="156">
        <v>0</v>
      </c>
      <c r="AN184" s="156"/>
      <c r="AO184" s="156">
        <v>0</v>
      </c>
      <c r="AP184" s="156"/>
      <c r="AQ184" s="156">
        <v>0</v>
      </c>
      <c r="AR184" s="156"/>
      <c r="AS184" s="143">
        <f t="shared" si="30"/>
        <v>0</v>
      </c>
      <c r="AT184" s="143"/>
      <c r="AU184" s="156">
        <v>0</v>
      </c>
      <c r="AV184" s="156"/>
      <c r="AW184" s="156">
        <v>0</v>
      </c>
      <c r="AX184" s="156"/>
      <c r="AY184" s="156">
        <f t="shared" si="31"/>
        <v>0</v>
      </c>
      <c r="AZ184" s="156"/>
      <c r="BA184" s="142" t="s">
        <v>218</v>
      </c>
      <c r="BC184" s="142" t="s">
        <v>27</v>
      </c>
      <c r="BD184" s="156"/>
      <c r="BE184" s="156">
        <v>0</v>
      </c>
      <c r="BF184" s="156"/>
      <c r="BG184" s="156">
        <v>0</v>
      </c>
      <c r="BH184" s="156"/>
      <c r="BI184" s="156">
        <v>0</v>
      </c>
      <c r="BJ184" s="156"/>
      <c r="BK184" s="156">
        <v>0</v>
      </c>
      <c r="BL184" s="156"/>
      <c r="BM184" s="156">
        <f t="shared" si="32"/>
        <v>0</v>
      </c>
      <c r="BN184" s="158" t="s">
        <v>347</v>
      </c>
      <c r="BR184" s="140"/>
      <c r="BS184" s="156"/>
      <c r="BT184" s="156"/>
      <c r="BU184" s="156"/>
      <c r="BV184" s="156"/>
      <c r="BW184" s="156"/>
      <c r="BX184" s="143"/>
      <c r="BY184" s="143"/>
      <c r="BZ184" s="156"/>
      <c r="CA184" s="156"/>
      <c r="CB184" s="156"/>
      <c r="CC184" s="156"/>
      <c r="CD184" s="156"/>
      <c r="CE184" s="156"/>
      <c r="CF184" s="142"/>
      <c r="CH184" s="142"/>
      <c r="CI184" s="156"/>
      <c r="CJ184" s="156"/>
      <c r="CK184" s="156"/>
      <c r="CL184" s="156"/>
      <c r="CM184" s="156"/>
      <c r="CN184" s="156"/>
      <c r="CO184" s="156"/>
      <c r="CP184" s="156"/>
      <c r="CQ184" s="156"/>
      <c r="CR184" s="156"/>
      <c r="CS184" s="158"/>
    </row>
    <row r="185" spans="1:99" s="55" customFormat="1" ht="12.75" customHeight="1">
      <c r="A185" s="35" t="s">
        <v>219</v>
      </c>
      <c r="B185" s="51"/>
      <c r="C185" s="35" t="s">
        <v>199</v>
      </c>
      <c r="D185" s="44"/>
      <c r="E185" s="53">
        <f t="shared" si="26"/>
        <v>794121</v>
      </c>
      <c r="F185" s="53"/>
      <c r="G185" s="53">
        <v>7012752</v>
      </c>
      <c r="H185" s="53"/>
      <c r="I185" s="53">
        <v>7806873</v>
      </c>
      <c r="J185" s="53"/>
      <c r="K185" s="53">
        <f t="shared" si="27"/>
        <v>277338</v>
      </c>
      <c r="L185" s="53"/>
      <c r="M185" s="53">
        <v>2158547</v>
      </c>
      <c r="N185" s="53"/>
      <c r="O185" s="53">
        <v>2435885</v>
      </c>
      <c r="P185" s="53"/>
      <c r="Q185" s="53">
        <v>4635083</v>
      </c>
      <c r="R185" s="53"/>
      <c r="S185" s="53">
        <v>0</v>
      </c>
      <c r="T185" s="53"/>
      <c r="U185" s="53">
        <v>735905</v>
      </c>
      <c r="V185" s="53"/>
      <c r="W185" s="53">
        <f t="shared" ref="W185:W217" si="34">SUM(Q185:U185)</f>
        <v>5370988</v>
      </c>
      <c r="X185" s="53"/>
      <c r="Y185" s="35" t="s">
        <v>219</v>
      </c>
      <c r="AA185" s="35" t="s">
        <v>199</v>
      </c>
      <c r="AB185" s="35"/>
      <c r="AC185" s="53">
        <v>1199620</v>
      </c>
      <c r="AD185" s="53"/>
      <c r="AE185" s="53">
        <v>608320</v>
      </c>
      <c r="AF185" s="53"/>
      <c r="AG185" s="53">
        <v>211883</v>
      </c>
      <c r="AH185" s="53"/>
      <c r="AI185" s="45">
        <f t="shared" si="29"/>
        <v>379417</v>
      </c>
      <c r="AJ185" s="45"/>
      <c r="AK185" s="53">
        <v>-131557</v>
      </c>
      <c r="AL185" s="45"/>
      <c r="AM185" s="53">
        <v>0</v>
      </c>
      <c r="AN185" s="53"/>
      <c r="AO185" s="53">
        <v>0</v>
      </c>
      <c r="AP185" s="53"/>
      <c r="AQ185" s="53">
        <v>0</v>
      </c>
      <c r="AR185" s="53"/>
      <c r="AS185" s="45">
        <f t="shared" si="30"/>
        <v>247860</v>
      </c>
      <c r="AT185" s="45"/>
      <c r="AU185" s="53">
        <v>0</v>
      </c>
      <c r="AV185" s="53"/>
      <c r="AW185" s="53">
        <v>0</v>
      </c>
      <c r="AX185" s="53"/>
      <c r="AY185" s="53">
        <f t="shared" si="31"/>
        <v>516783</v>
      </c>
      <c r="AZ185" s="53"/>
      <c r="BA185" s="35" t="s">
        <v>219</v>
      </c>
      <c r="BC185" s="35" t="s">
        <v>199</v>
      </c>
      <c r="BD185" s="53"/>
      <c r="BE185" s="53">
        <v>0</v>
      </c>
      <c r="BF185" s="53"/>
      <c r="BG185" s="53">
        <v>1060300</v>
      </c>
      <c r="BH185" s="53"/>
      <c r="BI185" s="53">
        <v>1086256</v>
      </c>
      <c r="BJ185" s="53"/>
      <c r="BK185" s="53">
        <v>11991</v>
      </c>
      <c r="BL185" s="53"/>
      <c r="BM185" s="53">
        <f t="shared" si="32"/>
        <v>2158547</v>
      </c>
      <c r="BN185" s="54" t="s">
        <v>347</v>
      </c>
      <c r="BR185" s="51"/>
      <c r="BS185" s="53"/>
      <c r="BT185" s="53"/>
      <c r="BU185" s="53"/>
      <c r="BV185" s="53"/>
      <c r="BW185" s="53"/>
      <c r="BX185" s="45"/>
      <c r="BY185" s="45"/>
      <c r="BZ185" s="53"/>
      <c r="CA185" s="53"/>
      <c r="CB185" s="53"/>
      <c r="CC185" s="53"/>
      <c r="CD185" s="53"/>
      <c r="CE185" s="53"/>
      <c r="CF185" s="35"/>
      <c r="CH185" s="35"/>
      <c r="CI185" s="53"/>
      <c r="CJ185" s="53"/>
      <c r="CK185" s="53"/>
      <c r="CL185" s="53"/>
      <c r="CM185" s="53"/>
      <c r="CN185" s="53"/>
      <c r="CO185" s="53"/>
      <c r="CP185" s="53"/>
      <c r="CQ185" s="53"/>
      <c r="CR185" s="53"/>
      <c r="CS185" s="54"/>
    </row>
    <row r="186" spans="1:99" s="159" customFormat="1" ht="13.5" hidden="1" customHeight="1">
      <c r="A186" s="142" t="s">
        <v>220</v>
      </c>
      <c r="B186" s="140"/>
      <c r="C186" s="142" t="s">
        <v>66</v>
      </c>
      <c r="D186" s="137"/>
      <c r="E186" s="156">
        <f>I186-G186</f>
        <v>0</v>
      </c>
      <c r="F186" s="156"/>
      <c r="G186" s="156">
        <v>0</v>
      </c>
      <c r="H186" s="156"/>
      <c r="I186" s="156">
        <v>0</v>
      </c>
      <c r="J186" s="156"/>
      <c r="K186" s="156">
        <f t="shared" si="27"/>
        <v>0</v>
      </c>
      <c r="L186" s="156"/>
      <c r="M186" s="156">
        <v>0</v>
      </c>
      <c r="N186" s="156"/>
      <c r="O186" s="156">
        <v>0</v>
      </c>
      <c r="P186" s="156"/>
      <c r="Q186" s="156">
        <v>0</v>
      </c>
      <c r="R186" s="156"/>
      <c r="S186" s="156">
        <v>0</v>
      </c>
      <c r="T186" s="156"/>
      <c r="U186" s="156">
        <v>0</v>
      </c>
      <c r="V186" s="156"/>
      <c r="W186" s="156">
        <f t="shared" si="34"/>
        <v>0</v>
      </c>
      <c r="X186" s="156"/>
      <c r="Y186" s="142" t="s">
        <v>220</v>
      </c>
      <c r="AA186" s="142" t="s">
        <v>66</v>
      </c>
      <c r="AB186" s="142"/>
      <c r="AC186" s="156">
        <v>0</v>
      </c>
      <c r="AD186" s="156"/>
      <c r="AE186" s="156">
        <v>0</v>
      </c>
      <c r="AF186" s="156"/>
      <c r="AG186" s="156">
        <v>0</v>
      </c>
      <c r="AH186" s="156"/>
      <c r="AI186" s="143">
        <f t="shared" si="29"/>
        <v>0</v>
      </c>
      <c r="AJ186" s="143"/>
      <c r="AK186" s="156">
        <v>0</v>
      </c>
      <c r="AL186" s="143"/>
      <c r="AM186" s="156">
        <v>0</v>
      </c>
      <c r="AN186" s="156"/>
      <c r="AO186" s="156">
        <v>0</v>
      </c>
      <c r="AP186" s="156"/>
      <c r="AQ186" s="156">
        <v>0</v>
      </c>
      <c r="AR186" s="156"/>
      <c r="AS186" s="143">
        <f t="shared" si="30"/>
        <v>0</v>
      </c>
      <c r="AT186" s="143"/>
      <c r="AU186" s="156">
        <v>0</v>
      </c>
      <c r="AV186" s="156"/>
      <c r="AW186" s="156">
        <v>0</v>
      </c>
      <c r="AX186" s="156"/>
      <c r="AY186" s="156">
        <f t="shared" si="31"/>
        <v>0</v>
      </c>
      <c r="AZ186" s="156"/>
      <c r="BA186" s="142" t="s">
        <v>220</v>
      </c>
      <c r="BC186" s="142" t="s">
        <v>66</v>
      </c>
      <c r="BD186" s="156"/>
      <c r="BE186" s="156">
        <v>0</v>
      </c>
      <c r="BF186" s="156"/>
      <c r="BG186" s="156">
        <v>0</v>
      </c>
      <c r="BH186" s="156"/>
      <c r="BI186" s="156">
        <v>0</v>
      </c>
      <c r="BJ186" s="156"/>
      <c r="BK186" s="156">
        <v>0</v>
      </c>
      <c r="BL186" s="156"/>
      <c r="BM186" s="156">
        <f t="shared" si="32"/>
        <v>0</v>
      </c>
      <c r="BN186" s="158" t="s">
        <v>347</v>
      </c>
      <c r="BR186" s="140"/>
      <c r="BS186" s="156"/>
      <c r="BT186" s="156"/>
      <c r="BU186" s="156"/>
      <c r="BV186" s="156"/>
      <c r="BW186" s="143"/>
      <c r="BX186" s="143"/>
      <c r="BY186" s="156"/>
      <c r="BZ186" s="156"/>
      <c r="CA186" s="156"/>
      <c r="CB186" s="156"/>
      <c r="CC186" s="156"/>
      <c r="CD186" s="156"/>
      <c r="CE186" s="156"/>
      <c r="CF186" s="142"/>
      <c r="CH186" s="142"/>
      <c r="CI186" s="156"/>
      <c r="CJ186" s="156"/>
      <c r="CK186" s="156"/>
      <c r="CL186" s="156"/>
      <c r="CM186" s="156"/>
      <c r="CN186" s="156"/>
      <c r="CO186" s="156"/>
      <c r="CP186" s="156"/>
      <c r="CQ186" s="156"/>
      <c r="CR186" s="156"/>
      <c r="CS186" s="158"/>
    </row>
    <row r="187" spans="1:99" s="55" customFormat="1" ht="12.75" customHeight="1">
      <c r="A187" s="35" t="s">
        <v>221</v>
      </c>
      <c r="C187" s="35" t="s">
        <v>27</v>
      </c>
      <c r="D187" s="44"/>
      <c r="E187" s="53">
        <f>I187-G187</f>
        <v>947386</v>
      </c>
      <c r="F187" s="53"/>
      <c r="G187" s="53">
        <v>22386350</v>
      </c>
      <c r="H187" s="53"/>
      <c r="I187" s="53">
        <v>23333736</v>
      </c>
      <c r="J187" s="53"/>
      <c r="K187" s="53">
        <f t="shared" si="27"/>
        <v>88396</v>
      </c>
      <c r="L187" s="53"/>
      <c r="M187" s="53">
        <v>344907</v>
      </c>
      <c r="N187" s="53"/>
      <c r="O187" s="53">
        <v>433303</v>
      </c>
      <c r="P187" s="53"/>
      <c r="Q187" s="53">
        <v>16178646</v>
      </c>
      <c r="R187" s="53"/>
      <c r="S187" s="53">
        <v>0</v>
      </c>
      <c r="T187" s="53"/>
      <c r="U187" s="53">
        <v>6721787</v>
      </c>
      <c r="V187" s="53"/>
      <c r="W187" s="53">
        <f t="shared" si="34"/>
        <v>22900433</v>
      </c>
      <c r="X187" s="53"/>
      <c r="Y187" s="35" t="s">
        <v>221</v>
      </c>
      <c r="AA187" s="35" t="s">
        <v>27</v>
      </c>
      <c r="AB187" s="35"/>
      <c r="AC187" s="53">
        <v>1862049</v>
      </c>
      <c r="AD187" s="53"/>
      <c r="AE187" s="53">
        <v>1825772</v>
      </c>
      <c r="AF187" s="53"/>
      <c r="AG187" s="53">
        <v>276779</v>
      </c>
      <c r="AH187" s="53"/>
      <c r="AI187" s="45">
        <f t="shared" si="29"/>
        <v>-240502</v>
      </c>
      <c r="AJ187" s="45"/>
      <c r="AK187" s="53">
        <v>-320817</v>
      </c>
      <c r="AL187" s="45"/>
      <c r="AM187" s="53">
        <v>0</v>
      </c>
      <c r="AN187" s="53"/>
      <c r="AO187" s="53">
        <v>0</v>
      </c>
      <c r="AP187" s="53"/>
      <c r="AQ187" s="53">
        <v>54603</v>
      </c>
      <c r="AR187" s="53"/>
      <c r="AS187" s="45">
        <f t="shared" si="30"/>
        <v>-506716</v>
      </c>
      <c r="AT187" s="45"/>
      <c r="AU187" s="53">
        <v>0</v>
      </c>
      <c r="AV187" s="53"/>
      <c r="AW187" s="53">
        <v>0</v>
      </c>
      <c r="AX187" s="53"/>
      <c r="AY187" s="53">
        <f t="shared" si="31"/>
        <v>858990</v>
      </c>
      <c r="AZ187" s="53"/>
      <c r="BA187" s="35" t="s">
        <v>221</v>
      </c>
      <c r="BC187" s="35" t="s">
        <v>27</v>
      </c>
      <c r="BD187" s="53"/>
      <c r="BE187" s="53">
        <v>0</v>
      </c>
      <c r="BF187" s="53"/>
      <c r="BG187" s="53">
        <v>0</v>
      </c>
      <c r="BH187" s="53"/>
      <c r="BI187" s="53">
        <v>247210</v>
      </c>
      <c r="BJ187" s="53"/>
      <c r="BK187" s="53">
        <v>97697</v>
      </c>
      <c r="BL187" s="53"/>
      <c r="BM187" s="53">
        <f t="shared" si="32"/>
        <v>344907</v>
      </c>
      <c r="BN187" s="54" t="s">
        <v>347</v>
      </c>
      <c r="BR187" s="51"/>
      <c r="BS187" s="53"/>
      <c r="BT187" s="53"/>
      <c r="BU187" s="53"/>
      <c r="BV187" s="53"/>
      <c r="BW187" s="53"/>
      <c r="BX187" s="45"/>
      <c r="BY187" s="45"/>
      <c r="BZ187" s="53"/>
      <c r="CA187" s="53"/>
      <c r="CB187" s="53"/>
      <c r="CC187" s="53"/>
      <c r="CD187" s="53"/>
      <c r="CE187" s="53"/>
      <c r="CF187" s="35"/>
      <c r="CH187" s="35"/>
      <c r="CI187" s="53"/>
      <c r="CJ187" s="53"/>
      <c r="CK187" s="53"/>
      <c r="CL187" s="53"/>
      <c r="CM187" s="53"/>
      <c r="CN187" s="53"/>
      <c r="CO187" s="53"/>
      <c r="CP187" s="53"/>
      <c r="CQ187" s="53"/>
      <c r="CR187" s="53"/>
      <c r="CS187" s="54"/>
    </row>
    <row r="188" spans="1:99" s="55" customFormat="1" ht="12.75" customHeight="1">
      <c r="A188" s="35" t="s">
        <v>222</v>
      </c>
      <c r="B188" s="51"/>
      <c r="C188" s="35" t="s">
        <v>47</v>
      </c>
      <c r="D188" s="44"/>
      <c r="E188" s="53">
        <f t="shared" si="26"/>
        <v>603830</v>
      </c>
      <c r="F188" s="53"/>
      <c r="G188" s="53">
        <v>4229999</v>
      </c>
      <c r="H188" s="53"/>
      <c r="I188" s="53">
        <v>4833829</v>
      </c>
      <c r="J188" s="53"/>
      <c r="K188" s="53">
        <f t="shared" si="27"/>
        <v>586863</v>
      </c>
      <c r="L188" s="53"/>
      <c r="M188" s="53">
        <v>2393784</v>
      </c>
      <c r="N188" s="53"/>
      <c r="O188" s="53">
        <v>2980647</v>
      </c>
      <c r="P188" s="53"/>
      <c r="Q188" s="53">
        <v>1553338</v>
      </c>
      <c r="R188" s="53"/>
      <c r="S188" s="53">
        <v>0</v>
      </c>
      <c r="T188" s="53"/>
      <c r="U188" s="53">
        <v>299844</v>
      </c>
      <c r="V188" s="53"/>
      <c r="W188" s="53">
        <f t="shared" si="34"/>
        <v>1853182</v>
      </c>
      <c r="X188" s="53"/>
      <c r="Y188" s="35" t="s">
        <v>222</v>
      </c>
      <c r="AA188" s="35" t="s">
        <v>47</v>
      </c>
      <c r="AB188" s="35"/>
      <c r="AC188" s="53">
        <v>591691</v>
      </c>
      <c r="AD188" s="53"/>
      <c r="AE188" s="53">
        <v>234981</v>
      </c>
      <c r="AF188" s="53"/>
      <c r="AG188" s="53">
        <v>118921</v>
      </c>
      <c r="AH188" s="53"/>
      <c r="AI188" s="45">
        <f t="shared" si="29"/>
        <v>237789</v>
      </c>
      <c r="AJ188" s="45"/>
      <c r="AK188" s="53">
        <v>-137187</v>
      </c>
      <c r="AL188" s="45"/>
      <c r="AM188" s="53">
        <v>102000</v>
      </c>
      <c r="AN188" s="53"/>
      <c r="AO188" s="53">
        <v>0</v>
      </c>
      <c r="AP188" s="53"/>
      <c r="AQ188" s="53">
        <v>0</v>
      </c>
      <c r="AR188" s="53"/>
      <c r="AS188" s="45">
        <f t="shared" si="30"/>
        <v>202602</v>
      </c>
      <c r="AT188" s="45"/>
      <c r="AU188" s="53">
        <v>0</v>
      </c>
      <c r="AV188" s="53"/>
      <c r="AW188" s="53">
        <v>0</v>
      </c>
      <c r="AX188" s="53"/>
      <c r="AY188" s="53">
        <f t="shared" si="31"/>
        <v>16967</v>
      </c>
      <c r="AZ188" s="53"/>
      <c r="BA188" s="35" t="s">
        <v>222</v>
      </c>
      <c r="BC188" s="35" t="s">
        <v>47</v>
      </c>
      <c r="BD188" s="53"/>
      <c r="BE188" s="53">
        <v>0</v>
      </c>
      <c r="BF188" s="53"/>
      <c r="BG188" s="53">
        <v>1317759</v>
      </c>
      <c r="BH188" s="53"/>
      <c r="BI188" s="53">
        <v>1076025</v>
      </c>
      <c r="BJ188" s="53"/>
      <c r="BK188" s="53">
        <v>0</v>
      </c>
      <c r="BL188" s="53"/>
      <c r="BM188" s="53">
        <f t="shared" si="32"/>
        <v>2393784</v>
      </c>
      <c r="BN188" s="54" t="s">
        <v>347</v>
      </c>
      <c r="BR188" s="51"/>
      <c r="BS188" s="53"/>
      <c r="BT188" s="53"/>
      <c r="BU188" s="53"/>
      <c r="BV188" s="53"/>
      <c r="BW188" s="53"/>
      <c r="BX188" s="45"/>
      <c r="BY188" s="45"/>
      <c r="BZ188" s="53"/>
      <c r="CA188" s="53"/>
      <c r="CB188" s="53"/>
      <c r="CC188" s="53"/>
      <c r="CD188" s="53"/>
      <c r="CE188" s="53"/>
      <c r="CF188" s="35"/>
      <c r="CH188" s="35"/>
      <c r="CI188" s="53"/>
      <c r="CJ188" s="53"/>
      <c r="CK188" s="53"/>
      <c r="CL188" s="53"/>
      <c r="CM188" s="53"/>
      <c r="CN188" s="53"/>
      <c r="CO188" s="53"/>
      <c r="CP188" s="53"/>
      <c r="CQ188" s="53"/>
      <c r="CR188" s="53"/>
      <c r="CS188" s="54"/>
    </row>
    <row r="189" spans="1:99" s="55" customFormat="1" ht="12.75" customHeight="1">
      <c r="A189" s="35" t="s">
        <v>223</v>
      </c>
      <c r="B189" s="51"/>
      <c r="C189" s="35" t="s">
        <v>94</v>
      </c>
      <c r="D189" s="44"/>
      <c r="E189" s="53">
        <f t="shared" si="26"/>
        <v>10886298</v>
      </c>
      <c r="F189" s="53"/>
      <c r="G189" s="53">
        <v>9298452</v>
      </c>
      <c r="H189" s="53"/>
      <c r="I189" s="53">
        <v>20184750</v>
      </c>
      <c r="J189" s="53"/>
      <c r="K189" s="53">
        <f t="shared" si="27"/>
        <v>88720</v>
      </c>
      <c r="L189" s="53"/>
      <c r="M189" s="53">
        <v>24291</v>
      </c>
      <c r="N189" s="53"/>
      <c r="O189" s="53">
        <v>113011</v>
      </c>
      <c r="P189" s="53"/>
      <c r="Q189" s="53">
        <v>9298452</v>
      </c>
      <c r="R189" s="53"/>
      <c r="S189" s="53">
        <v>0</v>
      </c>
      <c r="T189" s="53"/>
      <c r="U189" s="53">
        <v>10773287</v>
      </c>
      <c r="V189" s="53"/>
      <c r="W189" s="53">
        <f t="shared" si="34"/>
        <v>20071739</v>
      </c>
      <c r="X189" s="53"/>
      <c r="Y189" s="35" t="s">
        <v>223</v>
      </c>
      <c r="AA189" s="35" t="s">
        <v>94</v>
      </c>
      <c r="AB189" s="35"/>
      <c r="AC189" s="53">
        <v>2277223</v>
      </c>
      <c r="AD189" s="53"/>
      <c r="AE189" s="53">
        <f>1837432-405495</f>
        <v>1431937</v>
      </c>
      <c r="AF189" s="53"/>
      <c r="AG189" s="53">
        <v>405905</v>
      </c>
      <c r="AH189" s="53"/>
      <c r="AI189" s="45">
        <f t="shared" si="29"/>
        <v>439381</v>
      </c>
      <c r="AJ189" s="45"/>
      <c r="AK189" s="53">
        <v>59665</v>
      </c>
      <c r="AL189" s="45"/>
      <c r="AM189" s="53">
        <v>468873</v>
      </c>
      <c r="AN189" s="53"/>
      <c r="AO189" s="53">
        <v>0</v>
      </c>
      <c r="AP189" s="53"/>
      <c r="AQ189" s="53">
        <v>30000</v>
      </c>
      <c r="AR189" s="53"/>
      <c r="AS189" s="45">
        <f t="shared" si="30"/>
        <v>997919</v>
      </c>
      <c r="AT189" s="45"/>
      <c r="AU189" s="53">
        <v>0</v>
      </c>
      <c r="AV189" s="53"/>
      <c r="AW189" s="53">
        <v>0</v>
      </c>
      <c r="AX189" s="53"/>
      <c r="AY189" s="53">
        <f t="shared" si="31"/>
        <v>10797578</v>
      </c>
      <c r="AZ189" s="53"/>
      <c r="BA189" s="35" t="s">
        <v>223</v>
      </c>
      <c r="BC189" s="35" t="s">
        <v>94</v>
      </c>
      <c r="BD189" s="53"/>
      <c r="BE189" s="53">
        <v>0</v>
      </c>
      <c r="BF189" s="53"/>
      <c r="BG189" s="53">
        <v>0</v>
      </c>
      <c r="BH189" s="53"/>
      <c r="BI189" s="53">
        <v>256250</v>
      </c>
      <c r="BJ189" s="53"/>
      <c r="BK189" s="53">
        <v>59531</v>
      </c>
      <c r="BL189" s="53"/>
      <c r="BM189" s="53">
        <f t="shared" si="32"/>
        <v>315781</v>
      </c>
      <c r="BN189" s="54" t="s">
        <v>347</v>
      </c>
      <c r="BR189" s="51"/>
      <c r="BS189" s="53"/>
      <c r="BT189" s="53"/>
      <c r="BU189" s="53"/>
      <c r="BV189" s="53"/>
      <c r="BW189" s="53"/>
      <c r="BX189" s="45"/>
      <c r="BY189" s="45"/>
      <c r="BZ189" s="53"/>
      <c r="CA189" s="53"/>
      <c r="CB189" s="53"/>
      <c r="CC189" s="53"/>
      <c r="CD189" s="53"/>
      <c r="CE189" s="53"/>
      <c r="CF189" s="35"/>
      <c r="CH189" s="35"/>
      <c r="CI189" s="53"/>
      <c r="CJ189" s="53"/>
      <c r="CK189" s="53"/>
      <c r="CL189" s="53"/>
      <c r="CM189" s="53"/>
      <c r="CN189" s="53"/>
      <c r="CO189" s="53"/>
      <c r="CP189" s="53"/>
      <c r="CQ189" s="53"/>
      <c r="CR189" s="53"/>
      <c r="CS189" s="54"/>
    </row>
    <row r="190" spans="1:99" s="55" customFormat="1" ht="12.75" customHeight="1">
      <c r="A190" s="35" t="s">
        <v>76</v>
      </c>
      <c r="B190" s="51"/>
      <c r="C190" s="35" t="s">
        <v>132</v>
      </c>
      <c r="D190" s="44"/>
      <c r="E190" s="53">
        <f t="shared" si="26"/>
        <v>14044219</v>
      </c>
      <c r="F190" s="53"/>
      <c r="G190" s="53">
        <v>32272552</v>
      </c>
      <c r="H190" s="53"/>
      <c r="I190" s="53">
        <v>46316771</v>
      </c>
      <c r="J190" s="53"/>
      <c r="K190" s="53">
        <f t="shared" si="27"/>
        <v>1448494</v>
      </c>
      <c r="L190" s="53"/>
      <c r="M190" s="53">
        <v>22872759</v>
      </c>
      <c r="N190" s="53"/>
      <c r="O190" s="53">
        <v>24321253</v>
      </c>
      <c r="P190" s="53"/>
      <c r="Q190" s="53">
        <v>8774873</v>
      </c>
      <c r="R190" s="53"/>
      <c r="S190" s="53">
        <v>0</v>
      </c>
      <c r="T190" s="53"/>
      <c r="U190" s="53">
        <v>13220645</v>
      </c>
      <c r="V190" s="53"/>
      <c r="W190" s="53">
        <f t="shared" si="34"/>
        <v>21995518</v>
      </c>
      <c r="X190" s="53"/>
      <c r="Y190" s="35" t="s">
        <v>76</v>
      </c>
      <c r="AA190" s="35" t="s">
        <v>132</v>
      </c>
      <c r="AB190" s="35"/>
      <c r="AC190" s="53">
        <v>6749919</v>
      </c>
      <c r="AD190" s="53"/>
      <c r="AE190" s="53">
        <v>4202529</v>
      </c>
      <c r="AF190" s="53"/>
      <c r="AG190" s="53">
        <v>719065</v>
      </c>
      <c r="AH190" s="53"/>
      <c r="AI190" s="45">
        <f t="shared" si="29"/>
        <v>1828325</v>
      </c>
      <c r="AJ190" s="45"/>
      <c r="AK190" s="53">
        <v>-1094346</v>
      </c>
      <c r="AL190" s="45"/>
      <c r="AM190" s="53">
        <v>0</v>
      </c>
      <c r="AN190" s="53"/>
      <c r="AO190" s="53">
        <v>264031</v>
      </c>
      <c r="AP190" s="53"/>
      <c r="AQ190" s="53">
        <v>8151334</v>
      </c>
      <c r="AR190" s="53"/>
      <c r="AS190" s="45">
        <f t="shared" si="30"/>
        <v>8621282</v>
      </c>
      <c r="AT190" s="45"/>
      <c r="AU190" s="53">
        <v>0</v>
      </c>
      <c r="AV190" s="53"/>
      <c r="AW190" s="53">
        <v>0</v>
      </c>
      <c r="AX190" s="53"/>
      <c r="AY190" s="53">
        <f t="shared" si="31"/>
        <v>12595725</v>
      </c>
      <c r="AZ190" s="53"/>
      <c r="BA190" s="35" t="s">
        <v>76</v>
      </c>
      <c r="BC190" s="35" t="s">
        <v>132</v>
      </c>
      <c r="BD190" s="53"/>
      <c r="BE190" s="53">
        <v>1883087</v>
      </c>
      <c r="BF190" s="53"/>
      <c r="BG190" s="53">
        <v>0</v>
      </c>
      <c r="BH190" s="53"/>
      <c r="BI190" s="53">
        <v>20794805</v>
      </c>
      <c r="BJ190" s="53"/>
      <c r="BK190" s="53">
        <v>194867</v>
      </c>
      <c r="BL190" s="53"/>
      <c r="BM190" s="53">
        <f t="shared" si="32"/>
        <v>22872759</v>
      </c>
      <c r="BN190" s="54" t="s">
        <v>347</v>
      </c>
      <c r="BR190" s="51"/>
      <c r="BS190" s="53"/>
      <c r="BT190" s="53"/>
      <c r="BU190" s="53"/>
      <c r="BV190" s="53"/>
      <c r="BW190" s="53"/>
      <c r="BX190" s="45"/>
      <c r="BY190" s="45"/>
      <c r="BZ190" s="53"/>
      <c r="CA190" s="53"/>
      <c r="CB190" s="53"/>
      <c r="CC190" s="53"/>
      <c r="CD190" s="53"/>
      <c r="CE190" s="53"/>
      <c r="CF190" s="35"/>
      <c r="CH190" s="35"/>
      <c r="CI190" s="53"/>
      <c r="CJ190" s="53"/>
      <c r="CK190" s="53"/>
      <c r="CL190" s="53"/>
      <c r="CM190" s="53"/>
      <c r="CN190" s="53"/>
      <c r="CO190" s="53"/>
      <c r="CP190" s="53"/>
      <c r="CQ190" s="53"/>
      <c r="CR190" s="53"/>
      <c r="CS190" s="54"/>
    </row>
    <row r="191" spans="1:99" s="159" customFormat="1" ht="12.75" hidden="1" customHeight="1">
      <c r="A191" s="142" t="s">
        <v>224</v>
      </c>
      <c r="C191" s="142" t="s">
        <v>27</v>
      </c>
      <c r="D191" s="137"/>
      <c r="E191" s="156">
        <f t="shared" si="26"/>
        <v>0</v>
      </c>
      <c r="F191" s="156"/>
      <c r="G191" s="156">
        <v>0</v>
      </c>
      <c r="H191" s="156"/>
      <c r="I191" s="156">
        <v>0</v>
      </c>
      <c r="J191" s="156"/>
      <c r="K191" s="156">
        <f t="shared" si="27"/>
        <v>0</v>
      </c>
      <c r="L191" s="156"/>
      <c r="M191" s="156">
        <v>0</v>
      </c>
      <c r="N191" s="156"/>
      <c r="O191" s="156">
        <v>0</v>
      </c>
      <c r="P191" s="156"/>
      <c r="Q191" s="156">
        <v>0</v>
      </c>
      <c r="R191" s="156"/>
      <c r="S191" s="156">
        <v>0</v>
      </c>
      <c r="T191" s="156"/>
      <c r="U191" s="156">
        <v>0</v>
      </c>
      <c r="V191" s="156"/>
      <c r="W191" s="156">
        <f t="shared" si="34"/>
        <v>0</v>
      </c>
      <c r="X191" s="156"/>
      <c r="Y191" s="142" t="s">
        <v>224</v>
      </c>
      <c r="AA191" s="142" t="s">
        <v>27</v>
      </c>
      <c r="AB191" s="142"/>
      <c r="AC191" s="156">
        <v>0</v>
      </c>
      <c r="AD191" s="156"/>
      <c r="AE191" s="156">
        <v>0</v>
      </c>
      <c r="AF191" s="156"/>
      <c r="AG191" s="156">
        <v>0</v>
      </c>
      <c r="AH191" s="156"/>
      <c r="AI191" s="143">
        <f t="shared" si="29"/>
        <v>0</v>
      </c>
      <c r="AJ191" s="143"/>
      <c r="AK191" s="156">
        <v>0</v>
      </c>
      <c r="AL191" s="143"/>
      <c r="AM191" s="156">
        <v>0</v>
      </c>
      <c r="AN191" s="156"/>
      <c r="AO191" s="156">
        <v>0</v>
      </c>
      <c r="AP191" s="156"/>
      <c r="AQ191" s="156">
        <v>0</v>
      </c>
      <c r="AR191" s="156"/>
      <c r="AS191" s="143">
        <f t="shared" si="30"/>
        <v>0</v>
      </c>
      <c r="AT191" s="143"/>
      <c r="AU191" s="156">
        <v>0</v>
      </c>
      <c r="AV191" s="156"/>
      <c r="AW191" s="156">
        <v>0</v>
      </c>
      <c r="AX191" s="156"/>
      <c r="AY191" s="156">
        <f t="shared" si="31"/>
        <v>0</v>
      </c>
      <c r="AZ191" s="156"/>
      <c r="BA191" s="142" t="s">
        <v>224</v>
      </c>
      <c r="BC191" s="142" t="s">
        <v>27</v>
      </c>
      <c r="BD191" s="156"/>
      <c r="BE191" s="156">
        <v>0</v>
      </c>
      <c r="BF191" s="156"/>
      <c r="BG191" s="156">
        <v>0</v>
      </c>
      <c r="BH191" s="156"/>
      <c r="BI191" s="156">
        <v>0</v>
      </c>
      <c r="BJ191" s="156"/>
      <c r="BK191" s="156">
        <v>0</v>
      </c>
      <c r="BL191" s="156"/>
      <c r="BM191" s="156">
        <f t="shared" si="32"/>
        <v>0</v>
      </c>
      <c r="BN191" s="158" t="s">
        <v>347</v>
      </c>
      <c r="BR191" s="140"/>
      <c r="BS191" s="156"/>
      <c r="BT191" s="156"/>
      <c r="BU191" s="156"/>
      <c r="BV191" s="156"/>
      <c r="BW191" s="156"/>
      <c r="BX191" s="143"/>
      <c r="BY191" s="143"/>
      <c r="BZ191" s="156"/>
      <c r="CA191" s="156"/>
      <c r="CB191" s="156"/>
      <c r="CC191" s="156"/>
      <c r="CD191" s="156"/>
      <c r="CE191" s="156"/>
      <c r="CF191" s="142"/>
      <c r="CH191" s="142"/>
      <c r="CI191" s="156"/>
      <c r="CJ191" s="156"/>
      <c r="CK191" s="156"/>
      <c r="CL191" s="156"/>
      <c r="CM191" s="156"/>
      <c r="CN191" s="156"/>
      <c r="CO191" s="156"/>
      <c r="CP191" s="156"/>
      <c r="CQ191" s="156"/>
      <c r="CR191" s="156"/>
      <c r="CS191" s="158"/>
    </row>
    <row r="192" spans="1:99" s="149" customFormat="1" ht="12.75" hidden="1" customHeight="1">
      <c r="A192" s="142" t="s">
        <v>225</v>
      </c>
      <c r="B192" s="140"/>
      <c r="C192" s="142" t="s">
        <v>27</v>
      </c>
      <c r="D192" s="137"/>
      <c r="E192" s="156">
        <f t="shared" si="26"/>
        <v>0</v>
      </c>
      <c r="F192" s="156"/>
      <c r="G192" s="156">
        <v>0</v>
      </c>
      <c r="H192" s="156"/>
      <c r="I192" s="156">
        <v>0</v>
      </c>
      <c r="J192" s="156"/>
      <c r="K192" s="156">
        <f t="shared" si="27"/>
        <v>0</v>
      </c>
      <c r="L192" s="156"/>
      <c r="M192" s="156">
        <v>0</v>
      </c>
      <c r="N192" s="156"/>
      <c r="O192" s="156">
        <v>0</v>
      </c>
      <c r="P192" s="156"/>
      <c r="Q192" s="156">
        <v>0</v>
      </c>
      <c r="R192" s="156"/>
      <c r="S192" s="156">
        <v>0</v>
      </c>
      <c r="T192" s="156"/>
      <c r="U192" s="156">
        <v>0</v>
      </c>
      <c r="V192" s="156"/>
      <c r="W192" s="156">
        <f t="shared" si="34"/>
        <v>0</v>
      </c>
      <c r="X192" s="156"/>
      <c r="Y192" s="142" t="s">
        <v>225</v>
      </c>
      <c r="Z192" s="159"/>
      <c r="AA192" s="142" t="s">
        <v>27</v>
      </c>
      <c r="AB192" s="142"/>
      <c r="AC192" s="156">
        <v>0</v>
      </c>
      <c r="AD192" s="156"/>
      <c r="AE192" s="156">
        <v>0</v>
      </c>
      <c r="AF192" s="156"/>
      <c r="AG192" s="156">
        <v>0</v>
      </c>
      <c r="AH192" s="156"/>
      <c r="AI192" s="143">
        <f t="shared" si="29"/>
        <v>0</v>
      </c>
      <c r="AJ192" s="143"/>
      <c r="AK192" s="156">
        <v>0</v>
      </c>
      <c r="AL192" s="143"/>
      <c r="AM192" s="156">
        <v>0</v>
      </c>
      <c r="AN192" s="156"/>
      <c r="AO192" s="156">
        <v>0</v>
      </c>
      <c r="AP192" s="156"/>
      <c r="AQ192" s="156">
        <v>0</v>
      </c>
      <c r="AR192" s="156"/>
      <c r="AS192" s="143">
        <f t="shared" si="30"/>
        <v>0</v>
      </c>
      <c r="AT192" s="143"/>
      <c r="AU192" s="156">
        <v>0</v>
      </c>
      <c r="AV192" s="156"/>
      <c r="AW192" s="156">
        <v>0</v>
      </c>
      <c r="AX192" s="156"/>
      <c r="AY192" s="156">
        <f t="shared" si="31"/>
        <v>0</v>
      </c>
      <c r="AZ192" s="156"/>
      <c r="BA192" s="142" t="s">
        <v>225</v>
      </c>
      <c r="BB192" s="159"/>
      <c r="BC192" s="142" t="s">
        <v>27</v>
      </c>
      <c r="BD192" s="156"/>
      <c r="BE192" s="156">
        <v>0</v>
      </c>
      <c r="BF192" s="156"/>
      <c r="BG192" s="156">
        <v>0</v>
      </c>
      <c r="BH192" s="156"/>
      <c r="BI192" s="156">
        <v>0</v>
      </c>
      <c r="BJ192" s="156"/>
      <c r="BK192" s="156">
        <v>0</v>
      </c>
      <c r="BL192" s="156"/>
      <c r="BM192" s="156">
        <f t="shared" si="32"/>
        <v>0</v>
      </c>
      <c r="BN192" s="157" t="s">
        <v>347</v>
      </c>
      <c r="BR192" s="155"/>
      <c r="BS192" s="153"/>
      <c r="BT192" s="153"/>
      <c r="BU192" s="153"/>
      <c r="BV192" s="153"/>
      <c r="BW192" s="153"/>
      <c r="BX192" s="144"/>
      <c r="BY192" s="144"/>
      <c r="BZ192" s="153"/>
      <c r="CA192" s="153"/>
      <c r="CB192" s="153"/>
      <c r="CC192" s="153"/>
      <c r="CD192" s="153"/>
      <c r="CE192" s="153"/>
      <c r="CF192" s="139"/>
      <c r="CH192" s="139"/>
      <c r="CI192" s="153"/>
      <c r="CJ192" s="153"/>
      <c r="CK192" s="153"/>
      <c r="CL192" s="153"/>
      <c r="CM192" s="153"/>
      <c r="CN192" s="153"/>
      <c r="CO192" s="153"/>
      <c r="CP192" s="153"/>
      <c r="CQ192" s="153"/>
      <c r="CR192" s="153"/>
      <c r="CS192" s="157"/>
    </row>
    <row r="193" spans="1:108" s="149" customFormat="1" ht="12.75" hidden="1" customHeight="1">
      <c r="A193" s="142" t="s">
        <v>226</v>
      </c>
      <c r="B193" s="140"/>
      <c r="C193" s="142" t="s">
        <v>45</v>
      </c>
      <c r="D193" s="137"/>
      <c r="E193" s="156">
        <f t="shared" si="26"/>
        <v>0</v>
      </c>
      <c r="F193" s="156"/>
      <c r="G193" s="156">
        <v>0</v>
      </c>
      <c r="H193" s="156"/>
      <c r="I193" s="156">
        <v>0</v>
      </c>
      <c r="J193" s="156"/>
      <c r="K193" s="156">
        <f t="shared" si="27"/>
        <v>0</v>
      </c>
      <c r="L193" s="156"/>
      <c r="M193" s="156">
        <v>0</v>
      </c>
      <c r="N193" s="156"/>
      <c r="O193" s="156">
        <v>0</v>
      </c>
      <c r="P193" s="156"/>
      <c r="Q193" s="156">
        <v>0</v>
      </c>
      <c r="R193" s="156"/>
      <c r="S193" s="156">
        <v>0</v>
      </c>
      <c r="T193" s="156"/>
      <c r="U193" s="156">
        <v>0</v>
      </c>
      <c r="V193" s="156"/>
      <c r="W193" s="156">
        <f t="shared" si="34"/>
        <v>0</v>
      </c>
      <c r="X193" s="156"/>
      <c r="Y193" s="142" t="s">
        <v>226</v>
      </c>
      <c r="Z193" s="159"/>
      <c r="AA193" s="142" t="s">
        <v>45</v>
      </c>
      <c r="AB193" s="142"/>
      <c r="AC193" s="156">
        <v>0</v>
      </c>
      <c r="AD193" s="156"/>
      <c r="AE193" s="156">
        <v>0</v>
      </c>
      <c r="AF193" s="156"/>
      <c r="AG193" s="156">
        <v>0</v>
      </c>
      <c r="AH193" s="156"/>
      <c r="AI193" s="143">
        <f t="shared" si="29"/>
        <v>0</v>
      </c>
      <c r="AJ193" s="143"/>
      <c r="AK193" s="156">
        <v>0</v>
      </c>
      <c r="AL193" s="143"/>
      <c r="AM193" s="156">
        <v>0</v>
      </c>
      <c r="AN193" s="156"/>
      <c r="AO193" s="156">
        <v>0</v>
      </c>
      <c r="AP193" s="156"/>
      <c r="AQ193" s="156">
        <v>0</v>
      </c>
      <c r="AR193" s="156"/>
      <c r="AS193" s="143">
        <f t="shared" si="30"/>
        <v>0</v>
      </c>
      <c r="AT193" s="143"/>
      <c r="AU193" s="156">
        <v>0</v>
      </c>
      <c r="AV193" s="156"/>
      <c r="AW193" s="156">
        <v>0</v>
      </c>
      <c r="AX193" s="156"/>
      <c r="AY193" s="156">
        <f t="shared" si="31"/>
        <v>0</v>
      </c>
      <c r="AZ193" s="156"/>
      <c r="BA193" s="142" t="s">
        <v>226</v>
      </c>
      <c r="BB193" s="159"/>
      <c r="BC193" s="142" t="s">
        <v>45</v>
      </c>
      <c r="BD193" s="156"/>
      <c r="BE193" s="156">
        <v>0</v>
      </c>
      <c r="BF193" s="156"/>
      <c r="BG193" s="156">
        <v>0</v>
      </c>
      <c r="BH193" s="156"/>
      <c r="BI193" s="156">
        <v>0</v>
      </c>
      <c r="BJ193" s="156"/>
      <c r="BK193" s="156">
        <v>0</v>
      </c>
      <c r="BL193" s="156"/>
      <c r="BM193" s="156">
        <f t="shared" si="32"/>
        <v>0</v>
      </c>
      <c r="BN193" s="157"/>
      <c r="BR193" s="155"/>
      <c r="BS193" s="153"/>
      <c r="BT193" s="153"/>
      <c r="BU193" s="153"/>
      <c r="BV193" s="153"/>
      <c r="BW193" s="153"/>
      <c r="BX193" s="144"/>
      <c r="BY193" s="144"/>
      <c r="BZ193" s="153"/>
      <c r="CA193" s="153"/>
      <c r="CB193" s="153"/>
      <c r="CC193" s="153"/>
      <c r="CD193" s="153"/>
      <c r="CE193" s="153"/>
      <c r="CF193" s="139"/>
      <c r="CH193" s="139"/>
      <c r="CI193" s="153"/>
      <c r="CJ193" s="153"/>
      <c r="CK193" s="153"/>
      <c r="CL193" s="153"/>
      <c r="CM193" s="153"/>
      <c r="CN193" s="153"/>
      <c r="CO193" s="153"/>
      <c r="CP193" s="153"/>
      <c r="CQ193" s="153"/>
      <c r="CR193" s="153"/>
      <c r="CS193" s="157"/>
    </row>
    <row r="194" spans="1:108" s="55" customFormat="1" ht="12.75" customHeight="1">
      <c r="A194" s="35" t="s">
        <v>227</v>
      </c>
      <c r="C194" s="35" t="s">
        <v>17</v>
      </c>
      <c r="D194" s="44"/>
      <c r="E194" s="53">
        <f t="shared" si="26"/>
        <v>1200349</v>
      </c>
      <c r="F194" s="53"/>
      <c r="G194" s="53">
        <v>0</v>
      </c>
      <c r="H194" s="53"/>
      <c r="I194" s="53">
        <v>1200349</v>
      </c>
      <c r="J194" s="53"/>
      <c r="K194" s="53">
        <f t="shared" si="27"/>
        <v>164422</v>
      </c>
      <c r="L194" s="53"/>
      <c r="M194" s="53">
        <v>157437</v>
      </c>
      <c r="N194" s="53"/>
      <c r="O194" s="53">
        <v>321859</v>
      </c>
      <c r="P194" s="53"/>
      <c r="Q194" s="53">
        <v>698559</v>
      </c>
      <c r="R194" s="53"/>
      <c r="S194" s="53">
        <v>0</v>
      </c>
      <c r="T194" s="53"/>
      <c r="U194" s="53">
        <v>179931</v>
      </c>
      <c r="V194" s="53"/>
      <c r="W194" s="53">
        <f t="shared" si="34"/>
        <v>878490</v>
      </c>
      <c r="X194" s="53"/>
      <c r="Y194" s="35" t="s">
        <v>227</v>
      </c>
      <c r="AA194" s="35" t="s">
        <v>17</v>
      </c>
      <c r="AB194" s="35"/>
      <c r="AC194" s="53">
        <v>955485</v>
      </c>
      <c r="AD194" s="53"/>
      <c r="AE194" s="53">
        <v>882074</v>
      </c>
      <c r="AF194" s="53"/>
      <c r="AG194" s="53">
        <v>109090</v>
      </c>
      <c r="AH194" s="53"/>
      <c r="AI194" s="45">
        <f t="shared" si="29"/>
        <v>-35679</v>
      </c>
      <c r="AJ194" s="45"/>
      <c r="AK194" s="53">
        <v>0</v>
      </c>
      <c r="AL194" s="45"/>
      <c r="AM194" s="53">
        <v>0</v>
      </c>
      <c r="AN194" s="53"/>
      <c r="AO194" s="53">
        <v>0</v>
      </c>
      <c r="AP194" s="53"/>
      <c r="AQ194" s="53">
        <v>0</v>
      </c>
      <c r="AR194" s="53"/>
      <c r="AS194" s="45">
        <f t="shared" si="30"/>
        <v>-35679</v>
      </c>
      <c r="AT194" s="45"/>
      <c r="AU194" s="53">
        <v>0</v>
      </c>
      <c r="AV194" s="53"/>
      <c r="AW194" s="53">
        <v>0</v>
      </c>
      <c r="AX194" s="53"/>
      <c r="AY194" s="53">
        <f t="shared" si="31"/>
        <v>1035927</v>
      </c>
      <c r="AZ194" s="53"/>
      <c r="BA194" s="35" t="s">
        <v>227</v>
      </c>
      <c r="BC194" s="35" t="s">
        <v>17</v>
      </c>
      <c r="BD194" s="53"/>
      <c r="BE194" s="53">
        <v>0</v>
      </c>
      <c r="BF194" s="53"/>
      <c r="BG194" s="53">
        <v>0</v>
      </c>
      <c r="BH194" s="53"/>
      <c r="BI194" s="53">
        <v>1500</v>
      </c>
      <c r="BJ194" s="53"/>
      <c r="BK194" s="53">
        <v>155937</v>
      </c>
      <c r="BL194" s="53"/>
      <c r="BM194" s="53">
        <f t="shared" si="32"/>
        <v>157437</v>
      </c>
      <c r="BN194" s="54" t="s">
        <v>347</v>
      </c>
      <c r="BR194" s="65"/>
      <c r="BS194" s="53"/>
      <c r="BT194" s="53"/>
      <c r="BU194" s="53"/>
      <c r="BV194" s="53"/>
      <c r="BW194" s="53"/>
      <c r="BX194" s="45"/>
      <c r="BY194" s="45"/>
      <c r="BZ194" s="53"/>
      <c r="CA194" s="53"/>
      <c r="CB194" s="53"/>
      <c r="CC194" s="53"/>
      <c r="CD194" s="53"/>
      <c r="CE194" s="53"/>
      <c r="CF194" s="35"/>
      <c r="CH194" s="35"/>
      <c r="CI194" s="53"/>
      <c r="CJ194" s="53"/>
      <c r="CK194" s="53"/>
      <c r="CL194" s="53"/>
      <c r="CM194" s="53"/>
      <c r="CN194" s="53"/>
      <c r="CO194" s="53"/>
      <c r="CP194" s="53"/>
      <c r="CQ194" s="53"/>
      <c r="CR194" s="53"/>
      <c r="CS194" s="54"/>
    </row>
    <row r="195" spans="1:108" s="55" customFormat="1" ht="12.75" customHeight="1">
      <c r="A195" s="35" t="s">
        <v>228</v>
      </c>
      <c r="B195" s="51"/>
      <c r="C195" s="35" t="s">
        <v>153</v>
      </c>
      <c r="D195" s="44"/>
      <c r="E195" s="53">
        <f t="shared" si="26"/>
        <v>910234</v>
      </c>
      <c r="F195" s="53"/>
      <c r="G195" s="53">
        <v>6976900</v>
      </c>
      <c r="H195" s="53"/>
      <c r="I195" s="53">
        <v>7887134</v>
      </c>
      <c r="J195" s="53"/>
      <c r="K195" s="53">
        <f t="shared" si="27"/>
        <v>202352</v>
      </c>
      <c r="L195" s="53"/>
      <c r="M195" s="53">
        <v>1471857</v>
      </c>
      <c r="N195" s="53"/>
      <c r="O195" s="53">
        <v>1674209</v>
      </c>
      <c r="P195" s="53"/>
      <c r="Q195" s="53">
        <v>5398821</v>
      </c>
      <c r="R195" s="53"/>
      <c r="S195" s="53">
        <v>0</v>
      </c>
      <c r="T195" s="53"/>
      <c r="U195" s="53">
        <v>814104</v>
      </c>
      <c r="V195" s="53"/>
      <c r="W195" s="53">
        <f t="shared" si="34"/>
        <v>6212925</v>
      </c>
      <c r="X195" s="53"/>
      <c r="Y195" s="35" t="s">
        <v>228</v>
      </c>
      <c r="AA195" s="35" t="s">
        <v>153</v>
      </c>
      <c r="AB195" s="35"/>
      <c r="AC195" s="53">
        <v>1326577</v>
      </c>
      <c r="AD195" s="53"/>
      <c r="AE195" s="53">
        <v>983508</v>
      </c>
      <c r="AF195" s="53"/>
      <c r="AG195" s="53">
        <v>328839</v>
      </c>
      <c r="AH195" s="53"/>
      <c r="AI195" s="45">
        <f t="shared" si="29"/>
        <v>14230</v>
      </c>
      <c r="AJ195" s="45"/>
      <c r="AK195" s="53">
        <v>-15966</v>
      </c>
      <c r="AL195" s="45"/>
      <c r="AM195" s="53">
        <v>0</v>
      </c>
      <c r="AN195" s="53"/>
      <c r="AO195" s="53">
        <v>0</v>
      </c>
      <c r="AP195" s="53"/>
      <c r="AQ195" s="53">
        <v>186028</v>
      </c>
      <c r="AR195" s="53"/>
      <c r="AS195" s="45">
        <f t="shared" si="30"/>
        <v>184292</v>
      </c>
      <c r="AT195" s="45"/>
      <c r="AU195" s="53">
        <v>0</v>
      </c>
      <c r="AV195" s="53"/>
      <c r="AW195" s="53">
        <v>0</v>
      </c>
      <c r="AX195" s="53"/>
      <c r="AY195" s="53">
        <f t="shared" si="31"/>
        <v>707882</v>
      </c>
      <c r="AZ195" s="53"/>
      <c r="BA195" s="35" t="s">
        <v>228</v>
      </c>
      <c r="BC195" s="35" t="s">
        <v>153</v>
      </c>
      <c r="BD195" s="53"/>
      <c r="BE195" s="53">
        <v>0</v>
      </c>
      <c r="BF195" s="53"/>
      <c r="BG195" s="53">
        <v>0</v>
      </c>
      <c r="BH195" s="53"/>
      <c r="BI195" s="53">
        <v>1424354</v>
      </c>
      <c r="BJ195" s="53"/>
      <c r="BK195" s="53">
        <v>47503</v>
      </c>
      <c r="BL195" s="53"/>
      <c r="BM195" s="53">
        <f t="shared" si="32"/>
        <v>1471857</v>
      </c>
      <c r="BN195" s="54" t="s">
        <v>347</v>
      </c>
      <c r="BO195" s="55" t="s">
        <v>404</v>
      </c>
      <c r="BR195" s="51"/>
      <c r="BS195" s="53"/>
      <c r="BT195" s="53"/>
      <c r="BU195" s="53"/>
      <c r="BV195" s="53"/>
      <c r="BW195" s="53"/>
      <c r="BX195" s="45"/>
      <c r="BY195" s="45"/>
      <c r="BZ195" s="53"/>
      <c r="CA195" s="53"/>
      <c r="CB195" s="53"/>
      <c r="CC195" s="53"/>
      <c r="CD195" s="53"/>
      <c r="CE195" s="53"/>
      <c r="CF195" s="35"/>
      <c r="CH195" s="35"/>
      <c r="CI195" s="53"/>
      <c r="CJ195" s="53"/>
      <c r="CK195" s="53"/>
      <c r="CL195" s="53"/>
      <c r="CM195" s="53"/>
      <c r="CN195" s="53"/>
      <c r="CO195" s="53"/>
      <c r="CP195" s="53"/>
      <c r="CQ195" s="53"/>
      <c r="CR195" s="53"/>
      <c r="CS195" s="54"/>
    </row>
    <row r="196" spans="1:108" s="55" customFormat="1" ht="12.75" customHeight="1">
      <c r="A196" s="35" t="s">
        <v>229</v>
      </c>
      <c r="B196" s="51"/>
      <c r="C196" s="35" t="s">
        <v>228</v>
      </c>
      <c r="D196" s="44"/>
      <c r="E196" s="53">
        <f t="shared" si="26"/>
        <v>2613514</v>
      </c>
      <c r="F196" s="53"/>
      <c r="G196" s="53">
        <v>20893049</v>
      </c>
      <c r="H196" s="53"/>
      <c r="I196" s="53">
        <v>23506563</v>
      </c>
      <c r="J196" s="53"/>
      <c r="K196" s="53">
        <f t="shared" si="27"/>
        <v>1195879</v>
      </c>
      <c r="L196" s="53"/>
      <c r="M196" s="53">
        <v>6520354</v>
      </c>
      <c r="N196" s="53"/>
      <c r="O196" s="53">
        <v>7716233</v>
      </c>
      <c r="P196" s="53"/>
      <c r="Q196" s="53">
        <v>13442549</v>
      </c>
      <c r="R196" s="53"/>
      <c r="S196" s="53">
        <v>0</v>
      </c>
      <c r="T196" s="53"/>
      <c r="U196" s="53">
        <v>2347781</v>
      </c>
      <c r="V196" s="53"/>
      <c r="W196" s="53">
        <f t="shared" si="34"/>
        <v>15790330</v>
      </c>
      <c r="X196" s="53"/>
      <c r="Y196" s="35" t="s">
        <v>229</v>
      </c>
      <c r="AA196" s="35" t="s">
        <v>228</v>
      </c>
      <c r="AB196" s="35"/>
      <c r="AC196" s="53">
        <v>4446775</v>
      </c>
      <c r="AD196" s="53"/>
      <c r="AE196" s="53">
        <v>2440077</v>
      </c>
      <c r="AF196" s="53"/>
      <c r="AG196" s="53">
        <v>896035</v>
      </c>
      <c r="AH196" s="53"/>
      <c r="AI196" s="45">
        <f t="shared" si="29"/>
        <v>1110663</v>
      </c>
      <c r="AJ196" s="45"/>
      <c r="AK196" s="53">
        <v>-113386</v>
      </c>
      <c r="AL196" s="45"/>
      <c r="AM196" s="53">
        <v>0</v>
      </c>
      <c r="AN196" s="53"/>
      <c r="AO196" s="53">
        <v>8573</v>
      </c>
      <c r="AP196" s="53"/>
      <c r="AQ196" s="53">
        <v>5343</v>
      </c>
      <c r="AR196" s="53"/>
      <c r="AS196" s="45">
        <f t="shared" si="30"/>
        <v>994047</v>
      </c>
      <c r="AT196" s="45"/>
      <c r="AU196" s="53">
        <v>0</v>
      </c>
      <c r="AV196" s="53"/>
      <c r="AW196" s="53">
        <v>0</v>
      </c>
      <c r="AX196" s="53"/>
      <c r="AY196" s="53">
        <f t="shared" si="31"/>
        <v>1417635</v>
      </c>
      <c r="AZ196" s="53"/>
      <c r="BA196" s="35" t="s">
        <v>229</v>
      </c>
      <c r="BC196" s="35" t="s">
        <v>228</v>
      </c>
      <c r="BD196" s="53"/>
      <c r="BE196" s="53">
        <v>0</v>
      </c>
      <c r="BF196" s="53"/>
      <c r="BG196" s="53">
        <v>0</v>
      </c>
      <c r="BH196" s="53"/>
      <c r="BI196" s="53">
        <v>0</v>
      </c>
      <c r="BJ196" s="53"/>
      <c r="BK196" s="53">
        <v>6520354</v>
      </c>
      <c r="BL196" s="53"/>
      <c r="BM196" s="53">
        <f t="shared" si="32"/>
        <v>6520354</v>
      </c>
      <c r="BN196" s="54" t="s">
        <v>347</v>
      </c>
      <c r="BO196" s="35" t="s">
        <v>404</v>
      </c>
      <c r="BP196" s="35"/>
      <c r="BQ196" s="35"/>
      <c r="BR196" s="51"/>
      <c r="BS196" s="53"/>
      <c r="BT196" s="53"/>
      <c r="BU196" s="53"/>
      <c r="BV196" s="53"/>
      <c r="BW196" s="53"/>
      <c r="BX196" s="45"/>
      <c r="BY196" s="45"/>
      <c r="BZ196" s="53"/>
      <c r="CA196" s="53"/>
      <c r="CB196" s="53"/>
      <c r="CC196" s="53"/>
      <c r="CD196" s="53"/>
      <c r="CE196" s="53"/>
      <c r="CF196" s="35"/>
      <c r="CH196" s="35"/>
      <c r="CI196" s="53"/>
      <c r="CJ196" s="53"/>
      <c r="CK196" s="53"/>
      <c r="CL196" s="53"/>
      <c r="CM196" s="53"/>
      <c r="CN196" s="53"/>
      <c r="CO196" s="53"/>
      <c r="CP196" s="53"/>
      <c r="CQ196" s="53"/>
      <c r="CR196" s="53"/>
      <c r="CS196" s="54"/>
      <c r="CT196" s="35"/>
      <c r="CU196" s="35"/>
      <c r="CV196" s="35"/>
      <c r="CW196" s="35"/>
      <c r="CX196" s="35"/>
      <c r="CY196" s="35"/>
      <c r="CZ196" s="35"/>
      <c r="DA196" s="35"/>
      <c r="DB196" s="35"/>
      <c r="DC196" s="35"/>
      <c r="DD196" s="35"/>
    </row>
    <row r="197" spans="1:108" s="159" customFormat="1" ht="12.75" hidden="1" customHeight="1">
      <c r="A197" s="142" t="s">
        <v>230</v>
      </c>
      <c r="B197" s="140"/>
      <c r="C197" s="142" t="s">
        <v>45</v>
      </c>
      <c r="D197" s="137"/>
      <c r="E197" s="156">
        <f t="shared" si="26"/>
        <v>0</v>
      </c>
      <c r="F197" s="156"/>
      <c r="G197" s="156"/>
      <c r="H197" s="156"/>
      <c r="I197" s="156"/>
      <c r="J197" s="156"/>
      <c r="K197" s="156">
        <f t="shared" si="27"/>
        <v>0</v>
      </c>
      <c r="L197" s="156"/>
      <c r="M197" s="156"/>
      <c r="N197" s="156"/>
      <c r="O197" s="156"/>
      <c r="P197" s="156"/>
      <c r="Q197" s="156"/>
      <c r="R197" s="156"/>
      <c r="S197" s="156"/>
      <c r="T197" s="156"/>
      <c r="U197" s="156"/>
      <c r="V197" s="156"/>
      <c r="W197" s="156">
        <f t="shared" si="34"/>
        <v>0</v>
      </c>
      <c r="X197" s="156"/>
      <c r="Y197" s="142" t="s">
        <v>230</v>
      </c>
      <c r="AA197" s="142" t="s">
        <v>45</v>
      </c>
      <c r="AB197" s="142"/>
      <c r="AC197" s="156"/>
      <c r="AD197" s="156"/>
      <c r="AE197" s="156"/>
      <c r="AF197" s="156"/>
      <c r="AG197" s="156"/>
      <c r="AH197" s="156"/>
      <c r="AI197" s="143">
        <f t="shared" si="29"/>
        <v>0</v>
      </c>
      <c r="AJ197" s="143"/>
      <c r="AK197" s="156"/>
      <c r="AL197" s="143"/>
      <c r="AM197" s="156"/>
      <c r="AN197" s="156"/>
      <c r="AO197" s="156"/>
      <c r="AP197" s="156"/>
      <c r="AQ197" s="156"/>
      <c r="AR197" s="156"/>
      <c r="AS197" s="143">
        <f t="shared" si="30"/>
        <v>0</v>
      </c>
      <c r="AT197" s="143"/>
      <c r="AU197" s="156">
        <v>0</v>
      </c>
      <c r="AV197" s="156"/>
      <c r="AW197" s="156">
        <v>0</v>
      </c>
      <c r="AX197" s="156"/>
      <c r="AY197" s="156">
        <f t="shared" si="31"/>
        <v>0</v>
      </c>
      <c r="AZ197" s="156"/>
      <c r="BA197" s="142" t="s">
        <v>230</v>
      </c>
      <c r="BC197" s="142" t="s">
        <v>45</v>
      </c>
      <c r="BD197" s="156"/>
      <c r="BE197" s="156"/>
      <c r="BF197" s="156"/>
      <c r="BG197" s="156"/>
      <c r="BH197" s="156"/>
      <c r="BI197" s="156"/>
      <c r="BJ197" s="156"/>
      <c r="BK197" s="156"/>
      <c r="BL197" s="156"/>
      <c r="BM197" s="156">
        <f t="shared" si="32"/>
        <v>0</v>
      </c>
      <c r="BN197" s="158" t="s">
        <v>347</v>
      </c>
      <c r="BR197" s="140"/>
      <c r="BS197" s="156"/>
      <c r="BT197" s="156"/>
      <c r="BU197" s="156"/>
      <c r="BV197" s="156"/>
      <c r="BW197" s="156"/>
      <c r="BX197" s="143"/>
      <c r="BY197" s="143"/>
      <c r="BZ197" s="156"/>
      <c r="CA197" s="156"/>
      <c r="CB197" s="156"/>
      <c r="CC197" s="156"/>
      <c r="CD197" s="156"/>
      <c r="CE197" s="156"/>
      <c r="CF197" s="142"/>
      <c r="CH197" s="142"/>
      <c r="CI197" s="156"/>
      <c r="CJ197" s="156"/>
      <c r="CK197" s="156"/>
      <c r="CL197" s="156"/>
      <c r="CM197" s="156"/>
      <c r="CN197" s="156"/>
      <c r="CO197" s="156"/>
      <c r="CP197" s="156"/>
      <c r="CQ197" s="156"/>
      <c r="CR197" s="156"/>
      <c r="CS197" s="158"/>
    </row>
    <row r="198" spans="1:108" s="159" customFormat="1" ht="12.75" hidden="1" customHeight="1">
      <c r="A198" s="142" t="s">
        <v>231</v>
      </c>
      <c r="B198" s="140"/>
      <c r="C198" s="142" t="s">
        <v>27</v>
      </c>
      <c r="D198" s="137"/>
      <c r="E198" s="156">
        <f t="shared" si="26"/>
        <v>0</v>
      </c>
      <c r="F198" s="156"/>
      <c r="G198" s="156">
        <v>0</v>
      </c>
      <c r="H198" s="156"/>
      <c r="I198" s="156">
        <v>0</v>
      </c>
      <c r="J198" s="156"/>
      <c r="K198" s="156">
        <f t="shared" si="27"/>
        <v>0</v>
      </c>
      <c r="L198" s="156"/>
      <c r="M198" s="156">
        <v>0</v>
      </c>
      <c r="N198" s="156"/>
      <c r="O198" s="156">
        <v>0</v>
      </c>
      <c r="P198" s="156"/>
      <c r="Q198" s="156">
        <v>0</v>
      </c>
      <c r="R198" s="156"/>
      <c r="S198" s="156">
        <v>0</v>
      </c>
      <c r="T198" s="156"/>
      <c r="U198" s="156">
        <v>0</v>
      </c>
      <c r="V198" s="156"/>
      <c r="W198" s="156">
        <f t="shared" si="34"/>
        <v>0</v>
      </c>
      <c r="X198" s="156"/>
      <c r="Y198" s="142" t="s">
        <v>231</v>
      </c>
      <c r="AA198" s="142" t="s">
        <v>27</v>
      </c>
      <c r="AB198" s="142"/>
      <c r="AC198" s="156">
        <v>0</v>
      </c>
      <c r="AD198" s="156"/>
      <c r="AE198" s="156">
        <v>0</v>
      </c>
      <c r="AF198" s="156"/>
      <c r="AG198" s="156">
        <v>0</v>
      </c>
      <c r="AH198" s="156"/>
      <c r="AI198" s="143">
        <f t="shared" si="29"/>
        <v>0</v>
      </c>
      <c r="AJ198" s="143"/>
      <c r="AK198" s="156">
        <v>0</v>
      </c>
      <c r="AL198" s="143"/>
      <c r="AM198" s="156">
        <v>0</v>
      </c>
      <c r="AN198" s="156"/>
      <c r="AO198" s="156">
        <v>0</v>
      </c>
      <c r="AP198" s="156"/>
      <c r="AQ198" s="156">
        <v>0</v>
      </c>
      <c r="AR198" s="156"/>
      <c r="AS198" s="143">
        <f t="shared" si="30"/>
        <v>0</v>
      </c>
      <c r="AT198" s="143"/>
      <c r="AU198" s="156">
        <v>0</v>
      </c>
      <c r="AV198" s="156"/>
      <c r="AW198" s="156">
        <v>0</v>
      </c>
      <c r="AX198" s="156"/>
      <c r="AY198" s="156">
        <f t="shared" si="31"/>
        <v>0</v>
      </c>
      <c r="AZ198" s="156"/>
      <c r="BA198" s="142" t="s">
        <v>231</v>
      </c>
      <c r="BC198" s="142" t="s">
        <v>27</v>
      </c>
      <c r="BD198" s="156"/>
      <c r="BE198" s="156">
        <v>0</v>
      </c>
      <c r="BF198" s="156"/>
      <c r="BG198" s="156">
        <v>0</v>
      </c>
      <c r="BH198" s="156"/>
      <c r="BI198" s="156">
        <v>0</v>
      </c>
      <c r="BJ198" s="156"/>
      <c r="BK198" s="156">
        <v>0</v>
      </c>
      <c r="BL198" s="156"/>
      <c r="BM198" s="156">
        <f t="shared" si="32"/>
        <v>0</v>
      </c>
      <c r="BN198" s="158" t="s">
        <v>347</v>
      </c>
      <c r="BR198" s="140"/>
      <c r="BS198" s="156"/>
      <c r="BT198" s="156"/>
      <c r="BU198" s="156"/>
      <c r="BV198" s="156"/>
      <c r="BW198" s="143"/>
      <c r="BX198" s="143"/>
      <c r="BY198" s="156"/>
      <c r="BZ198" s="156"/>
      <c r="CA198" s="156"/>
      <c r="CB198" s="156"/>
      <c r="CC198" s="156"/>
      <c r="CD198" s="156"/>
      <c r="CE198" s="156"/>
      <c r="CF198" s="142"/>
      <c r="CH198" s="142"/>
      <c r="CI198" s="156"/>
      <c r="CJ198" s="156"/>
      <c r="CK198" s="156"/>
      <c r="CL198" s="156"/>
      <c r="CM198" s="156"/>
      <c r="CN198" s="156"/>
      <c r="CO198" s="156"/>
      <c r="CP198" s="156"/>
      <c r="CQ198" s="156"/>
      <c r="CR198" s="156"/>
      <c r="CS198" s="158"/>
    </row>
    <row r="199" spans="1:108" s="159" customFormat="1" ht="12.75" hidden="1" customHeight="1">
      <c r="A199" s="142" t="s">
        <v>232</v>
      </c>
      <c r="B199" s="140"/>
      <c r="C199" s="142" t="s">
        <v>27</v>
      </c>
      <c r="D199" s="137"/>
      <c r="E199" s="156">
        <f t="shared" si="26"/>
        <v>0</v>
      </c>
      <c r="F199" s="156"/>
      <c r="G199" s="156">
        <v>0</v>
      </c>
      <c r="H199" s="156"/>
      <c r="I199" s="156">
        <v>0</v>
      </c>
      <c r="J199" s="156"/>
      <c r="K199" s="156">
        <f t="shared" si="27"/>
        <v>0</v>
      </c>
      <c r="L199" s="156"/>
      <c r="M199" s="156">
        <v>0</v>
      </c>
      <c r="N199" s="156"/>
      <c r="O199" s="156">
        <v>0</v>
      </c>
      <c r="P199" s="156"/>
      <c r="Q199" s="156">
        <v>0</v>
      </c>
      <c r="R199" s="156"/>
      <c r="S199" s="156">
        <v>0</v>
      </c>
      <c r="T199" s="156"/>
      <c r="U199" s="156">
        <v>0</v>
      </c>
      <c r="V199" s="156"/>
      <c r="W199" s="156">
        <f t="shared" si="34"/>
        <v>0</v>
      </c>
      <c r="X199" s="156"/>
      <c r="Y199" s="142" t="s">
        <v>232</v>
      </c>
      <c r="AA199" s="142" t="s">
        <v>27</v>
      </c>
      <c r="AB199" s="142"/>
      <c r="AC199" s="156">
        <v>0</v>
      </c>
      <c r="AD199" s="156"/>
      <c r="AE199" s="156">
        <v>0</v>
      </c>
      <c r="AF199" s="156"/>
      <c r="AG199" s="156">
        <v>0</v>
      </c>
      <c r="AH199" s="156"/>
      <c r="AI199" s="143">
        <f t="shared" si="29"/>
        <v>0</v>
      </c>
      <c r="AJ199" s="143"/>
      <c r="AK199" s="156">
        <v>0</v>
      </c>
      <c r="AL199" s="143"/>
      <c r="AM199" s="156">
        <v>0</v>
      </c>
      <c r="AN199" s="156"/>
      <c r="AO199" s="156">
        <v>0</v>
      </c>
      <c r="AP199" s="156"/>
      <c r="AQ199" s="156">
        <v>0</v>
      </c>
      <c r="AR199" s="156"/>
      <c r="AS199" s="143">
        <f t="shared" si="30"/>
        <v>0</v>
      </c>
      <c r="AT199" s="143"/>
      <c r="AU199" s="156">
        <v>0</v>
      </c>
      <c r="AV199" s="156"/>
      <c r="AW199" s="156">
        <v>0</v>
      </c>
      <c r="AX199" s="156"/>
      <c r="AY199" s="156">
        <f t="shared" si="31"/>
        <v>0</v>
      </c>
      <c r="AZ199" s="156"/>
      <c r="BA199" s="142" t="s">
        <v>232</v>
      </c>
      <c r="BC199" s="142" t="s">
        <v>27</v>
      </c>
      <c r="BD199" s="156"/>
      <c r="BE199" s="156">
        <v>0</v>
      </c>
      <c r="BF199" s="156"/>
      <c r="BG199" s="156">
        <v>0</v>
      </c>
      <c r="BH199" s="156"/>
      <c r="BI199" s="156">
        <v>0</v>
      </c>
      <c r="BJ199" s="156"/>
      <c r="BK199" s="156">
        <v>0</v>
      </c>
      <c r="BL199" s="156"/>
      <c r="BM199" s="156">
        <f t="shared" si="32"/>
        <v>0</v>
      </c>
      <c r="BN199" s="158" t="s">
        <v>347</v>
      </c>
      <c r="BR199" s="140"/>
      <c r="BS199" s="156"/>
      <c r="BT199" s="156"/>
      <c r="BU199" s="156"/>
      <c r="BV199" s="156"/>
      <c r="BW199" s="156"/>
      <c r="BX199" s="143"/>
      <c r="BY199" s="143"/>
      <c r="BZ199" s="156"/>
      <c r="CA199" s="156"/>
      <c r="CB199" s="156"/>
      <c r="CC199" s="156"/>
      <c r="CD199" s="156"/>
      <c r="CE199" s="156"/>
      <c r="CF199" s="142"/>
      <c r="CH199" s="142"/>
      <c r="CI199" s="156"/>
      <c r="CJ199" s="156"/>
      <c r="CK199" s="156"/>
      <c r="CL199" s="156"/>
      <c r="CM199" s="156"/>
      <c r="CN199" s="156"/>
      <c r="CO199" s="156"/>
      <c r="CP199" s="156"/>
      <c r="CQ199" s="156"/>
      <c r="CR199" s="156"/>
      <c r="CS199" s="158"/>
    </row>
    <row r="200" spans="1:108" s="55" customFormat="1" ht="12.75" customHeight="1">
      <c r="A200" s="35" t="s">
        <v>233</v>
      </c>
      <c r="B200" s="51"/>
      <c r="C200" s="35" t="s">
        <v>111</v>
      </c>
      <c r="D200" s="44"/>
      <c r="E200" s="53">
        <f t="shared" si="26"/>
        <v>3717385</v>
      </c>
      <c r="F200" s="53"/>
      <c r="G200" s="53">
        <v>38635519</v>
      </c>
      <c r="H200" s="53"/>
      <c r="I200" s="53">
        <v>42352904</v>
      </c>
      <c r="J200" s="53"/>
      <c r="K200" s="53">
        <f t="shared" si="27"/>
        <v>860385</v>
      </c>
      <c r="L200" s="53"/>
      <c r="M200" s="53">
        <v>19873716</v>
      </c>
      <c r="N200" s="53"/>
      <c r="O200" s="53">
        <v>20734101</v>
      </c>
      <c r="P200" s="53"/>
      <c r="Q200" s="53">
        <v>17460473</v>
      </c>
      <c r="R200" s="53"/>
      <c r="S200" s="53">
        <v>573510</v>
      </c>
      <c r="T200" s="53"/>
      <c r="U200" s="53">
        <v>3584820</v>
      </c>
      <c r="V200" s="53"/>
      <c r="W200" s="53">
        <f t="shared" si="34"/>
        <v>21618803</v>
      </c>
      <c r="X200" s="53"/>
      <c r="Y200" s="35" t="s">
        <v>233</v>
      </c>
      <c r="AA200" s="35" t="s">
        <v>111</v>
      </c>
      <c r="AB200" s="35"/>
      <c r="AC200" s="53">
        <v>2243482</v>
      </c>
      <c r="AD200" s="53"/>
      <c r="AE200" s="53">
        <v>1545645</v>
      </c>
      <c r="AF200" s="53"/>
      <c r="AG200" s="53">
        <v>485144</v>
      </c>
      <c r="AH200" s="53"/>
      <c r="AI200" s="45">
        <f t="shared" si="29"/>
        <v>212693</v>
      </c>
      <c r="AJ200" s="45"/>
      <c r="AK200" s="53">
        <v>-719911</v>
      </c>
      <c r="AL200" s="45"/>
      <c r="AM200" s="53">
        <v>1581000</v>
      </c>
      <c r="AN200" s="53"/>
      <c r="AO200" s="53">
        <v>0</v>
      </c>
      <c r="AP200" s="53"/>
      <c r="AQ200" s="53">
        <v>819488</v>
      </c>
      <c r="AR200" s="53"/>
      <c r="AS200" s="45">
        <f t="shared" si="30"/>
        <v>1893270</v>
      </c>
      <c r="AT200" s="45"/>
      <c r="AU200" s="53">
        <v>0</v>
      </c>
      <c r="AV200" s="53"/>
      <c r="AW200" s="53">
        <v>0</v>
      </c>
      <c r="AX200" s="53"/>
      <c r="AY200" s="53">
        <f t="shared" si="31"/>
        <v>2857000</v>
      </c>
      <c r="AZ200" s="53"/>
      <c r="BA200" s="35" t="s">
        <v>233</v>
      </c>
      <c r="BC200" s="35" t="s">
        <v>111</v>
      </c>
      <c r="BD200" s="53"/>
      <c r="BE200" s="53">
        <v>0</v>
      </c>
      <c r="BF200" s="53"/>
      <c r="BG200" s="53">
        <v>19848955</v>
      </c>
      <c r="BH200" s="53"/>
      <c r="BI200" s="53">
        <v>0</v>
      </c>
      <c r="BJ200" s="53"/>
      <c r="BK200" s="53">
        <v>24761</v>
      </c>
      <c r="BL200" s="53"/>
      <c r="BM200" s="53">
        <f t="shared" si="32"/>
        <v>19873716</v>
      </c>
      <c r="BN200" s="54" t="s">
        <v>347</v>
      </c>
      <c r="BR200" s="51"/>
      <c r="BS200" s="53"/>
      <c r="BT200" s="53"/>
      <c r="BU200" s="53"/>
      <c r="BV200" s="53"/>
      <c r="BW200" s="53"/>
      <c r="BX200" s="45"/>
      <c r="BY200" s="45"/>
      <c r="BZ200" s="53"/>
      <c r="CA200" s="53"/>
      <c r="CB200" s="53"/>
      <c r="CC200" s="53"/>
      <c r="CD200" s="53"/>
      <c r="CE200" s="53"/>
      <c r="CF200" s="35"/>
      <c r="CH200" s="35"/>
      <c r="CI200" s="53"/>
      <c r="CJ200" s="53"/>
      <c r="CK200" s="53"/>
      <c r="CL200" s="53"/>
      <c r="CM200" s="53"/>
      <c r="CN200" s="53"/>
      <c r="CO200" s="53"/>
      <c r="CP200" s="53"/>
      <c r="CQ200" s="53"/>
      <c r="CR200" s="53"/>
      <c r="CS200" s="54"/>
    </row>
    <row r="201" spans="1:108" s="159" customFormat="1" ht="12.75" hidden="1" customHeight="1">
      <c r="A201" s="142" t="s">
        <v>234</v>
      </c>
      <c r="B201" s="140"/>
      <c r="C201" s="142" t="s">
        <v>45</v>
      </c>
      <c r="D201" s="137"/>
      <c r="E201" s="156">
        <f t="shared" si="26"/>
        <v>0</v>
      </c>
      <c r="F201" s="156"/>
      <c r="G201" s="156">
        <v>0</v>
      </c>
      <c r="H201" s="156"/>
      <c r="I201" s="156">
        <v>0</v>
      </c>
      <c r="J201" s="156"/>
      <c r="K201" s="156">
        <f t="shared" si="27"/>
        <v>0</v>
      </c>
      <c r="L201" s="156"/>
      <c r="M201" s="156">
        <v>0</v>
      </c>
      <c r="N201" s="156"/>
      <c r="O201" s="156">
        <v>0</v>
      </c>
      <c r="P201" s="156"/>
      <c r="Q201" s="156">
        <v>0</v>
      </c>
      <c r="R201" s="156"/>
      <c r="S201" s="156">
        <v>0</v>
      </c>
      <c r="T201" s="156"/>
      <c r="U201" s="156">
        <v>0</v>
      </c>
      <c r="V201" s="156"/>
      <c r="W201" s="156">
        <f t="shared" si="34"/>
        <v>0</v>
      </c>
      <c r="X201" s="156"/>
      <c r="Y201" s="142" t="s">
        <v>234</v>
      </c>
      <c r="AA201" s="142" t="s">
        <v>45</v>
      </c>
      <c r="AB201" s="142"/>
      <c r="AC201" s="156">
        <v>0</v>
      </c>
      <c r="AD201" s="156"/>
      <c r="AE201" s="156">
        <v>0</v>
      </c>
      <c r="AF201" s="156"/>
      <c r="AG201" s="156">
        <v>0</v>
      </c>
      <c r="AH201" s="156"/>
      <c r="AI201" s="143">
        <f t="shared" si="29"/>
        <v>0</v>
      </c>
      <c r="AJ201" s="143"/>
      <c r="AK201" s="156">
        <v>0</v>
      </c>
      <c r="AL201" s="143"/>
      <c r="AM201" s="156">
        <v>0</v>
      </c>
      <c r="AN201" s="156"/>
      <c r="AO201" s="156">
        <v>0</v>
      </c>
      <c r="AP201" s="156"/>
      <c r="AQ201" s="156">
        <v>0</v>
      </c>
      <c r="AR201" s="156"/>
      <c r="AS201" s="143">
        <f t="shared" si="30"/>
        <v>0</v>
      </c>
      <c r="AT201" s="143"/>
      <c r="AU201" s="156">
        <v>0</v>
      </c>
      <c r="AV201" s="156"/>
      <c r="AW201" s="156">
        <v>0</v>
      </c>
      <c r="AX201" s="156"/>
      <c r="AY201" s="156">
        <f t="shared" si="31"/>
        <v>0</v>
      </c>
      <c r="AZ201" s="156"/>
      <c r="BA201" s="142" t="s">
        <v>234</v>
      </c>
      <c r="BC201" s="142" t="s">
        <v>45</v>
      </c>
      <c r="BD201" s="156"/>
      <c r="BE201" s="156">
        <v>0</v>
      </c>
      <c r="BF201" s="156"/>
      <c r="BG201" s="156">
        <v>0</v>
      </c>
      <c r="BH201" s="156"/>
      <c r="BI201" s="156">
        <v>0</v>
      </c>
      <c r="BJ201" s="156"/>
      <c r="BK201" s="156">
        <v>0</v>
      </c>
      <c r="BL201" s="156"/>
      <c r="BM201" s="156">
        <f t="shared" si="32"/>
        <v>0</v>
      </c>
      <c r="BN201" s="158" t="s">
        <v>347</v>
      </c>
      <c r="BR201" s="140"/>
      <c r="BS201" s="156"/>
      <c r="BT201" s="156"/>
      <c r="BU201" s="156"/>
      <c r="BV201" s="156"/>
      <c r="BW201" s="143"/>
      <c r="BX201" s="143"/>
      <c r="BY201" s="156"/>
      <c r="BZ201" s="156"/>
      <c r="CA201" s="156"/>
      <c r="CB201" s="156"/>
      <c r="CC201" s="156"/>
      <c r="CD201" s="156"/>
      <c r="CE201" s="156"/>
      <c r="CF201" s="142"/>
      <c r="CH201" s="142"/>
      <c r="CI201" s="156"/>
      <c r="CJ201" s="156"/>
      <c r="CK201" s="156"/>
      <c r="CL201" s="156"/>
      <c r="CM201" s="156"/>
      <c r="CN201" s="156"/>
      <c r="CO201" s="156"/>
      <c r="CP201" s="156"/>
      <c r="CQ201" s="156"/>
      <c r="CR201" s="156"/>
      <c r="CS201" s="158"/>
    </row>
    <row r="202" spans="1:108" s="55" customFormat="1" ht="12.75" customHeight="1">
      <c r="A202" s="35" t="s">
        <v>235</v>
      </c>
      <c r="B202" s="51"/>
      <c r="C202" s="35" t="s">
        <v>183</v>
      </c>
      <c r="D202" s="44"/>
      <c r="E202" s="53">
        <f t="shared" si="26"/>
        <v>13768118</v>
      </c>
      <c r="F202" s="53"/>
      <c r="G202" s="53">
        <v>41220202</v>
      </c>
      <c r="H202" s="53"/>
      <c r="I202" s="53">
        <v>54988320</v>
      </c>
      <c r="J202" s="53"/>
      <c r="K202" s="53">
        <f t="shared" si="27"/>
        <v>3607170</v>
      </c>
      <c r="L202" s="53"/>
      <c r="M202" s="53">
        <v>18635408</v>
      </c>
      <c r="N202" s="53"/>
      <c r="O202" s="53">
        <v>22242578</v>
      </c>
      <c r="P202" s="53"/>
      <c r="Q202" s="53">
        <v>20506876</v>
      </c>
      <c r="R202" s="53"/>
      <c r="S202" s="53">
        <v>0</v>
      </c>
      <c r="T202" s="53"/>
      <c r="U202" s="53">
        <v>12238866</v>
      </c>
      <c r="V202" s="53"/>
      <c r="W202" s="53">
        <f t="shared" si="34"/>
        <v>32745742</v>
      </c>
      <c r="X202" s="53"/>
      <c r="Y202" s="35" t="s">
        <v>235</v>
      </c>
      <c r="AA202" s="35" t="s">
        <v>183</v>
      </c>
      <c r="AB202" s="35"/>
      <c r="AC202" s="53">
        <v>10599320</v>
      </c>
      <c r="AD202" s="53"/>
      <c r="AE202" s="53">
        <v>5686452</v>
      </c>
      <c r="AF202" s="53"/>
      <c r="AG202" s="53">
        <v>3045301</v>
      </c>
      <c r="AH202" s="53"/>
      <c r="AI202" s="45">
        <f t="shared" si="29"/>
        <v>1867567</v>
      </c>
      <c r="AJ202" s="45"/>
      <c r="AK202" s="53">
        <v>-60112</v>
      </c>
      <c r="AL202" s="45"/>
      <c r="AM202" s="53">
        <v>0</v>
      </c>
      <c r="AN202" s="53"/>
      <c r="AO202" s="53">
        <v>323973</v>
      </c>
      <c r="AP202" s="53"/>
      <c r="AQ202" s="53">
        <v>421077</v>
      </c>
      <c r="AR202" s="53"/>
      <c r="AS202" s="45">
        <f t="shared" si="30"/>
        <v>1904559</v>
      </c>
      <c r="AT202" s="45"/>
      <c r="AU202" s="53">
        <v>0</v>
      </c>
      <c r="AV202" s="53"/>
      <c r="AW202" s="53">
        <v>0</v>
      </c>
      <c r="AX202" s="53"/>
      <c r="AY202" s="53">
        <f t="shared" si="31"/>
        <v>10160948</v>
      </c>
      <c r="AZ202" s="53"/>
      <c r="BA202" s="35" t="s">
        <v>235</v>
      </c>
      <c r="BC202" s="35" t="s">
        <v>183</v>
      </c>
      <c r="BD202" s="53"/>
      <c r="BE202" s="53">
        <v>0</v>
      </c>
      <c r="BF202" s="53"/>
      <c r="BG202" s="53">
        <v>0</v>
      </c>
      <c r="BH202" s="53"/>
      <c r="BI202" s="53">
        <v>0</v>
      </c>
      <c r="BJ202" s="53"/>
      <c r="BK202" s="53">
        <v>18635408</v>
      </c>
      <c r="BL202" s="53"/>
      <c r="BM202" s="53">
        <f t="shared" si="32"/>
        <v>18635408</v>
      </c>
      <c r="BN202" s="54" t="s">
        <v>347</v>
      </c>
      <c r="BO202" s="55" t="s">
        <v>404</v>
      </c>
      <c r="BR202" s="51"/>
      <c r="BS202" s="53"/>
      <c r="BT202" s="53"/>
      <c r="BU202" s="53"/>
      <c r="BV202" s="53"/>
      <c r="BW202" s="53"/>
      <c r="BX202" s="45"/>
      <c r="BY202" s="45"/>
      <c r="BZ202" s="53"/>
      <c r="CA202" s="53"/>
      <c r="CB202" s="53"/>
      <c r="CC202" s="53"/>
      <c r="CD202" s="53"/>
      <c r="CE202" s="53"/>
      <c r="CF202" s="35"/>
      <c r="CH202" s="35"/>
      <c r="CI202" s="53"/>
      <c r="CJ202" s="53"/>
      <c r="CK202" s="53"/>
      <c r="CL202" s="53"/>
      <c r="CM202" s="53"/>
      <c r="CN202" s="53"/>
      <c r="CO202" s="53"/>
      <c r="CP202" s="53"/>
      <c r="CQ202" s="53"/>
      <c r="CR202" s="53"/>
      <c r="CS202" s="54"/>
    </row>
    <row r="203" spans="1:108" s="159" customFormat="1" ht="12.75" hidden="1" customHeight="1">
      <c r="A203" s="142" t="s">
        <v>236</v>
      </c>
      <c r="B203" s="140"/>
      <c r="C203" s="142" t="s">
        <v>45</v>
      </c>
      <c r="D203" s="137"/>
      <c r="E203" s="156">
        <f t="shared" si="26"/>
        <v>0</v>
      </c>
      <c r="F203" s="156"/>
      <c r="G203" s="156">
        <v>0</v>
      </c>
      <c r="H203" s="156"/>
      <c r="I203" s="156">
        <v>0</v>
      </c>
      <c r="J203" s="156"/>
      <c r="K203" s="156">
        <f t="shared" si="27"/>
        <v>0</v>
      </c>
      <c r="L203" s="156"/>
      <c r="M203" s="156">
        <v>0</v>
      </c>
      <c r="N203" s="156"/>
      <c r="O203" s="156">
        <v>0</v>
      </c>
      <c r="P203" s="156"/>
      <c r="Q203" s="156">
        <v>0</v>
      </c>
      <c r="R203" s="156"/>
      <c r="S203" s="156">
        <v>0</v>
      </c>
      <c r="T203" s="156"/>
      <c r="U203" s="156">
        <v>0</v>
      </c>
      <c r="V203" s="156"/>
      <c r="W203" s="156">
        <f t="shared" si="34"/>
        <v>0</v>
      </c>
      <c r="X203" s="156"/>
      <c r="Y203" s="142" t="s">
        <v>236</v>
      </c>
      <c r="AA203" s="142" t="s">
        <v>45</v>
      </c>
      <c r="AB203" s="142"/>
      <c r="AC203" s="156">
        <v>0</v>
      </c>
      <c r="AD203" s="156"/>
      <c r="AE203" s="156">
        <v>0</v>
      </c>
      <c r="AF203" s="156"/>
      <c r="AG203" s="156">
        <v>0</v>
      </c>
      <c r="AH203" s="156"/>
      <c r="AI203" s="143">
        <f t="shared" si="29"/>
        <v>0</v>
      </c>
      <c r="AJ203" s="143"/>
      <c r="AK203" s="156">
        <v>0</v>
      </c>
      <c r="AL203" s="143"/>
      <c r="AM203" s="156">
        <v>0</v>
      </c>
      <c r="AN203" s="156"/>
      <c r="AO203" s="156">
        <v>0</v>
      </c>
      <c r="AP203" s="156"/>
      <c r="AQ203" s="156">
        <v>0</v>
      </c>
      <c r="AR203" s="156"/>
      <c r="AS203" s="143">
        <f t="shared" si="30"/>
        <v>0</v>
      </c>
      <c r="AT203" s="143"/>
      <c r="AU203" s="156">
        <v>0</v>
      </c>
      <c r="AV203" s="156"/>
      <c r="AW203" s="156">
        <v>0</v>
      </c>
      <c r="AX203" s="156"/>
      <c r="AY203" s="156">
        <f t="shared" si="31"/>
        <v>0</v>
      </c>
      <c r="AZ203" s="156"/>
      <c r="BA203" s="142" t="s">
        <v>236</v>
      </c>
      <c r="BC203" s="142" t="s">
        <v>45</v>
      </c>
      <c r="BD203" s="156"/>
      <c r="BE203" s="156">
        <v>0</v>
      </c>
      <c r="BF203" s="156"/>
      <c r="BG203" s="156">
        <v>0</v>
      </c>
      <c r="BH203" s="156"/>
      <c r="BI203" s="156">
        <v>0</v>
      </c>
      <c r="BJ203" s="156"/>
      <c r="BK203" s="156">
        <v>0</v>
      </c>
      <c r="BL203" s="156"/>
      <c r="BM203" s="156">
        <f t="shared" si="32"/>
        <v>0</v>
      </c>
      <c r="BN203" s="158" t="s">
        <v>347</v>
      </c>
      <c r="BR203" s="140"/>
      <c r="BS203" s="156"/>
      <c r="BT203" s="156"/>
      <c r="BU203" s="156"/>
      <c r="BV203" s="156"/>
      <c r="BW203" s="156"/>
      <c r="BX203" s="143"/>
      <c r="BY203" s="143"/>
      <c r="BZ203" s="156"/>
      <c r="CA203" s="156"/>
      <c r="CB203" s="156"/>
      <c r="CC203" s="156"/>
      <c r="CD203" s="156"/>
      <c r="CE203" s="156"/>
      <c r="CF203" s="142"/>
      <c r="CH203" s="142"/>
      <c r="CI203" s="156"/>
      <c r="CJ203" s="156"/>
      <c r="CK203" s="156"/>
      <c r="CL203" s="156"/>
      <c r="CM203" s="156"/>
      <c r="CN203" s="156"/>
      <c r="CO203" s="156"/>
      <c r="CP203" s="156"/>
      <c r="CQ203" s="156"/>
      <c r="CR203" s="156"/>
      <c r="CS203" s="158"/>
    </row>
    <row r="204" spans="1:108" s="55" customFormat="1" ht="12.75" customHeight="1">
      <c r="A204" s="35" t="s">
        <v>237</v>
      </c>
      <c r="B204" s="51"/>
      <c r="C204" s="35" t="s">
        <v>33</v>
      </c>
      <c r="D204" s="44"/>
      <c r="E204" s="53">
        <f t="shared" si="26"/>
        <v>419217</v>
      </c>
      <c r="F204" s="53"/>
      <c r="G204" s="53">
        <v>3002724</v>
      </c>
      <c r="H204" s="53"/>
      <c r="I204" s="53">
        <v>3421941</v>
      </c>
      <c r="J204" s="53"/>
      <c r="K204" s="53">
        <f t="shared" si="27"/>
        <v>148344</v>
      </c>
      <c r="L204" s="53"/>
      <c r="M204" s="53">
        <v>872775</v>
      </c>
      <c r="N204" s="53"/>
      <c r="O204" s="53">
        <v>1021119</v>
      </c>
      <c r="P204" s="53"/>
      <c r="Q204" s="53">
        <v>2019438</v>
      </c>
      <c r="R204" s="53"/>
      <c r="S204" s="53">
        <v>0</v>
      </c>
      <c r="T204" s="53"/>
      <c r="U204" s="53">
        <v>381384</v>
      </c>
      <c r="V204" s="53"/>
      <c r="W204" s="53">
        <f t="shared" si="34"/>
        <v>2400822</v>
      </c>
      <c r="X204" s="53"/>
      <c r="Y204" s="35" t="s">
        <v>237</v>
      </c>
      <c r="AA204" s="35" t="s">
        <v>33</v>
      </c>
      <c r="AB204" s="35"/>
      <c r="AC204" s="53">
        <v>789881</v>
      </c>
      <c r="AD204" s="53"/>
      <c r="AE204" s="53">
        <v>557349</v>
      </c>
      <c r="AF204" s="53"/>
      <c r="AG204" s="53">
        <v>356683</v>
      </c>
      <c r="AH204" s="53"/>
      <c r="AI204" s="45">
        <f t="shared" si="29"/>
        <v>-124151</v>
      </c>
      <c r="AJ204" s="45"/>
      <c r="AK204" s="53">
        <v>-135529</v>
      </c>
      <c r="AL204" s="45"/>
      <c r="AM204" s="53">
        <v>0</v>
      </c>
      <c r="AN204" s="53"/>
      <c r="AO204" s="53">
        <v>0</v>
      </c>
      <c r="AP204" s="53"/>
      <c r="AQ204" s="53">
        <v>0</v>
      </c>
      <c r="AR204" s="53"/>
      <c r="AS204" s="45">
        <f t="shared" si="30"/>
        <v>-259680</v>
      </c>
      <c r="AT204" s="45"/>
      <c r="AU204" s="53">
        <v>0</v>
      </c>
      <c r="AV204" s="53"/>
      <c r="AW204" s="53">
        <v>0</v>
      </c>
      <c r="AX204" s="53"/>
      <c r="AY204" s="53">
        <f t="shared" si="31"/>
        <v>270873</v>
      </c>
      <c r="AZ204" s="53"/>
      <c r="BA204" s="35" t="s">
        <v>237</v>
      </c>
      <c r="BC204" s="35" t="s">
        <v>33</v>
      </c>
      <c r="BD204" s="53"/>
      <c r="BE204" s="53">
        <v>399176</v>
      </c>
      <c r="BF204" s="53"/>
      <c r="BG204" s="53">
        <v>0</v>
      </c>
      <c r="BH204" s="53"/>
      <c r="BI204" s="53">
        <v>467893</v>
      </c>
      <c r="BJ204" s="53"/>
      <c r="BK204" s="53">
        <v>5706</v>
      </c>
      <c r="BL204" s="53"/>
      <c r="BM204" s="53">
        <f t="shared" si="32"/>
        <v>872775</v>
      </c>
      <c r="BN204" s="54" t="s">
        <v>347</v>
      </c>
      <c r="BR204" s="51"/>
      <c r="BS204" s="53"/>
      <c r="BT204" s="53"/>
      <c r="BU204" s="53"/>
      <c r="BV204" s="53"/>
      <c r="BW204" s="53"/>
      <c r="BX204" s="45"/>
      <c r="BY204" s="45"/>
      <c r="BZ204" s="53"/>
      <c r="CA204" s="53"/>
      <c r="CB204" s="53"/>
      <c r="CC204" s="53"/>
      <c r="CD204" s="53"/>
      <c r="CE204" s="53"/>
      <c r="CF204" s="35"/>
      <c r="CH204" s="35"/>
      <c r="CI204" s="53"/>
      <c r="CJ204" s="53"/>
      <c r="CK204" s="53"/>
      <c r="CL204" s="53"/>
      <c r="CM204" s="53"/>
      <c r="CN204" s="53"/>
      <c r="CO204" s="53"/>
      <c r="CP204" s="53"/>
      <c r="CQ204" s="53"/>
      <c r="CR204" s="53"/>
      <c r="CS204" s="54"/>
    </row>
    <row r="205" spans="1:108" s="55" customFormat="1" ht="12.75" customHeight="1">
      <c r="A205" s="35" t="s">
        <v>238</v>
      </c>
      <c r="C205" s="35" t="s">
        <v>239</v>
      </c>
      <c r="D205" s="44"/>
      <c r="E205" s="53">
        <f t="shared" si="26"/>
        <v>2865173</v>
      </c>
      <c r="F205" s="53"/>
      <c r="G205" s="53">
        <v>4396637</v>
      </c>
      <c r="H205" s="53"/>
      <c r="I205" s="53">
        <v>7261810</v>
      </c>
      <c r="J205" s="53"/>
      <c r="K205" s="53">
        <f t="shared" si="27"/>
        <v>394527</v>
      </c>
      <c r="L205" s="53"/>
      <c r="M205" s="53">
        <v>247924</v>
      </c>
      <c r="N205" s="53"/>
      <c r="O205" s="53">
        <v>642451</v>
      </c>
      <c r="P205" s="53"/>
      <c r="Q205" s="53">
        <v>3881637</v>
      </c>
      <c r="R205" s="53"/>
      <c r="S205" s="53">
        <v>1066266</v>
      </c>
      <c r="T205" s="53"/>
      <c r="U205" s="53">
        <v>1671456</v>
      </c>
      <c r="V205" s="53"/>
      <c r="W205" s="53">
        <f>SUM(Q205:U205)</f>
        <v>6619359</v>
      </c>
      <c r="X205" s="53"/>
      <c r="Y205" s="35" t="s">
        <v>238</v>
      </c>
      <c r="AA205" s="35" t="s">
        <v>239</v>
      </c>
      <c r="AB205" s="35"/>
      <c r="AC205" s="53">
        <v>1786276</v>
      </c>
      <c r="AD205" s="53"/>
      <c r="AE205" s="53">
        <v>1394959</v>
      </c>
      <c r="AF205" s="53"/>
      <c r="AG205" s="53">
        <v>214816</v>
      </c>
      <c r="AH205" s="53"/>
      <c r="AI205" s="45">
        <f t="shared" si="29"/>
        <v>176501</v>
      </c>
      <c r="AJ205" s="45"/>
      <c r="AK205" s="53">
        <v>494326</v>
      </c>
      <c r="AL205" s="45"/>
      <c r="AM205" s="53">
        <v>0</v>
      </c>
      <c r="AN205" s="53"/>
      <c r="AO205" s="53">
        <v>0</v>
      </c>
      <c r="AP205" s="53"/>
      <c r="AQ205" s="53">
        <v>54579</v>
      </c>
      <c r="AR205" s="53"/>
      <c r="AS205" s="45">
        <f>+AI205+AK205+AM205-AO205+AQ205</f>
        <v>725406</v>
      </c>
      <c r="AT205" s="45"/>
      <c r="AU205" s="53">
        <v>0</v>
      </c>
      <c r="AV205" s="53"/>
      <c r="AW205" s="53">
        <v>0</v>
      </c>
      <c r="AX205" s="53"/>
      <c r="AY205" s="53">
        <f t="shared" si="31"/>
        <v>2470646</v>
      </c>
      <c r="AZ205" s="53"/>
      <c r="BA205" s="35" t="s">
        <v>238</v>
      </c>
      <c r="BC205" s="35" t="s">
        <v>239</v>
      </c>
      <c r="BD205" s="53"/>
      <c r="BE205" s="53">
        <v>0</v>
      </c>
      <c r="BF205" s="53"/>
      <c r="BG205" s="53">
        <v>191973</v>
      </c>
      <c r="BH205" s="53"/>
      <c r="BI205" s="53">
        <v>0</v>
      </c>
      <c r="BJ205" s="53"/>
      <c r="BK205" s="53">
        <v>55951</v>
      </c>
      <c r="BL205" s="53"/>
      <c r="BM205" s="53">
        <f t="shared" si="32"/>
        <v>247924</v>
      </c>
      <c r="BN205" s="54" t="s">
        <v>347</v>
      </c>
      <c r="BR205" s="51"/>
      <c r="BS205" s="53"/>
      <c r="BT205" s="53"/>
      <c r="BU205" s="53"/>
      <c r="BV205" s="53"/>
      <c r="BW205" s="53"/>
      <c r="BX205" s="45"/>
      <c r="BY205" s="45"/>
      <c r="BZ205" s="53"/>
      <c r="CA205" s="53"/>
      <c r="CB205" s="53"/>
      <c r="CC205" s="53"/>
      <c r="CD205" s="53"/>
      <c r="CE205" s="53"/>
      <c r="CF205" s="35"/>
      <c r="CH205" s="35"/>
      <c r="CI205" s="53"/>
      <c r="CJ205" s="53"/>
      <c r="CK205" s="53"/>
      <c r="CL205" s="53"/>
      <c r="CM205" s="53"/>
      <c r="CN205" s="53"/>
      <c r="CO205" s="53"/>
      <c r="CP205" s="53"/>
      <c r="CQ205" s="53"/>
      <c r="CR205" s="53"/>
      <c r="CS205" s="54"/>
    </row>
    <row r="206" spans="1:108" s="55" customFormat="1" ht="12.75" customHeight="1">
      <c r="A206" s="35" t="s">
        <v>487</v>
      </c>
      <c r="B206" s="51"/>
      <c r="C206" s="35" t="s">
        <v>249</v>
      </c>
      <c r="D206" s="44"/>
      <c r="E206" s="53">
        <f>I206-G206</f>
        <v>2208151</v>
      </c>
      <c r="F206" s="53"/>
      <c r="G206" s="53">
        <v>3993690</v>
      </c>
      <c r="H206" s="53"/>
      <c r="I206" s="53">
        <v>6201841</v>
      </c>
      <c r="J206" s="53"/>
      <c r="K206" s="53">
        <f>O206-M206</f>
        <v>1108198</v>
      </c>
      <c r="L206" s="53"/>
      <c r="M206" s="53">
        <v>1735197</v>
      </c>
      <c r="N206" s="53"/>
      <c r="O206" s="53">
        <v>2843395</v>
      </c>
      <c r="P206" s="53"/>
      <c r="Q206" s="53">
        <v>1591156</v>
      </c>
      <c r="R206" s="53"/>
      <c r="S206" s="53">
        <v>0</v>
      </c>
      <c r="T206" s="53"/>
      <c r="U206" s="53">
        <v>1767290</v>
      </c>
      <c r="V206" s="53"/>
      <c r="W206" s="53">
        <f>SUM(Q206:U206)</f>
        <v>3358446</v>
      </c>
      <c r="X206" s="53"/>
      <c r="Y206" s="35" t="s">
        <v>487</v>
      </c>
      <c r="AA206" s="35" t="s">
        <v>249</v>
      </c>
      <c r="AB206" s="35"/>
      <c r="AC206" s="53">
        <v>5647788</v>
      </c>
      <c r="AD206" s="53"/>
      <c r="AE206" s="53">
        <v>2848753</v>
      </c>
      <c r="AF206" s="53"/>
      <c r="AG206" s="53">
        <v>74196</v>
      </c>
      <c r="AH206" s="53"/>
      <c r="AI206" s="45">
        <f>+AC206-AE206-AG206</f>
        <v>2724839</v>
      </c>
      <c r="AJ206" s="45"/>
      <c r="AK206" s="53">
        <v>-55909</v>
      </c>
      <c r="AL206" s="45"/>
      <c r="AM206" s="53">
        <v>0</v>
      </c>
      <c r="AN206" s="53"/>
      <c r="AO206" s="53">
        <v>0</v>
      </c>
      <c r="AP206" s="53"/>
      <c r="AQ206" s="53">
        <v>0</v>
      </c>
      <c r="AR206" s="53"/>
      <c r="AS206" s="45">
        <f>+AI206+AK206+AM206-AO206+AQ206</f>
        <v>2668930</v>
      </c>
      <c r="AT206" s="45"/>
      <c r="AU206" s="53">
        <v>0</v>
      </c>
      <c r="AV206" s="53"/>
      <c r="AW206" s="53">
        <v>0</v>
      </c>
      <c r="AX206" s="53"/>
      <c r="AY206" s="53">
        <f>+E206-K206</f>
        <v>1099953</v>
      </c>
      <c r="AZ206" s="53"/>
      <c r="BA206" s="35" t="s">
        <v>487</v>
      </c>
      <c r="BC206" s="35" t="s">
        <v>249</v>
      </c>
      <c r="BD206" s="53"/>
      <c r="BE206" s="53">
        <v>1181546</v>
      </c>
      <c r="BF206" s="53"/>
      <c r="BG206" s="53">
        <v>0</v>
      </c>
      <c r="BH206" s="53"/>
      <c r="BI206" s="53">
        <v>463842</v>
      </c>
      <c r="BJ206" s="53"/>
      <c r="BK206" s="53">
        <v>89809</v>
      </c>
      <c r="BL206" s="53"/>
      <c r="BM206" s="53">
        <f>SUM(BE206:BK206)</f>
        <v>1735197</v>
      </c>
      <c r="BN206" s="54" t="s">
        <v>347</v>
      </c>
      <c r="BR206" s="51"/>
      <c r="BS206" s="53"/>
      <c r="BT206" s="53"/>
      <c r="BU206" s="53"/>
      <c r="BV206" s="53"/>
      <c r="BW206" s="53"/>
      <c r="BX206" s="45"/>
      <c r="BY206" s="45"/>
      <c r="BZ206" s="53"/>
      <c r="CA206" s="53"/>
      <c r="CB206" s="53"/>
      <c r="CC206" s="53"/>
      <c r="CD206" s="53"/>
      <c r="CE206" s="53"/>
      <c r="CF206" s="44"/>
      <c r="CH206" s="44"/>
      <c r="CI206" s="53"/>
      <c r="CJ206" s="53"/>
      <c r="CK206" s="53"/>
      <c r="CL206" s="53"/>
      <c r="CM206" s="53"/>
      <c r="CN206" s="53"/>
      <c r="CO206" s="53"/>
      <c r="CP206" s="53"/>
      <c r="CQ206" s="53"/>
      <c r="CR206" s="53"/>
      <c r="CS206" s="54"/>
    </row>
    <row r="207" spans="1:108" s="159" customFormat="1" ht="12.75" hidden="1" customHeight="1">
      <c r="A207" s="142" t="s">
        <v>240</v>
      </c>
      <c r="B207" s="140"/>
      <c r="C207" s="142" t="s">
        <v>13</v>
      </c>
      <c r="D207" s="137"/>
      <c r="E207" s="156">
        <f t="shared" si="26"/>
        <v>0</v>
      </c>
      <c r="F207" s="156"/>
      <c r="G207" s="156">
        <v>0</v>
      </c>
      <c r="H207" s="156"/>
      <c r="I207" s="156">
        <v>0</v>
      </c>
      <c r="J207" s="156"/>
      <c r="K207" s="156">
        <f t="shared" si="27"/>
        <v>0</v>
      </c>
      <c r="L207" s="156"/>
      <c r="M207" s="156">
        <v>0</v>
      </c>
      <c r="N207" s="156"/>
      <c r="O207" s="156">
        <v>0</v>
      </c>
      <c r="P207" s="156"/>
      <c r="Q207" s="156">
        <v>0</v>
      </c>
      <c r="R207" s="156"/>
      <c r="S207" s="156">
        <v>0</v>
      </c>
      <c r="T207" s="156"/>
      <c r="U207" s="156">
        <v>0</v>
      </c>
      <c r="V207" s="156"/>
      <c r="W207" s="156">
        <f t="shared" si="34"/>
        <v>0</v>
      </c>
      <c r="X207" s="156"/>
      <c r="Y207" s="142" t="s">
        <v>240</v>
      </c>
      <c r="AA207" s="142" t="s">
        <v>13</v>
      </c>
      <c r="AB207" s="142"/>
      <c r="AC207" s="156">
        <v>0</v>
      </c>
      <c r="AD207" s="156"/>
      <c r="AE207" s="156">
        <v>0</v>
      </c>
      <c r="AF207" s="156"/>
      <c r="AG207" s="156">
        <v>0</v>
      </c>
      <c r="AH207" s="156"/>
      <c r="AI207" s="143">
        <f t="shared" si="29"/>
        <v>0</v>
      </c>
      <c r="AJ207" s="143"/>
      <c r="AK207" s="156">
        <v>0</v>
      </c>
      <c r="AL207" s="143"/>
      <c r="AM207" s="156">
        <v>0</v>
      </c>
      <c r="AN207" s="156"/>
      <c r="AO207" s="156">
        <v>0</v>
      </c>
      <c r="AP207" s="156"/>
      <c r="AQ207" s="156">
        <v>0</v>
      </c>
      <c r="AR207" s="156"/>
      <c r="AS207" s="143">
        <f t="shared" si="30"/>
        <v>0</v>
      </c>
      <c r="AT207" s="143"/>
      <c r="AU207" s="156">
        <v>0</v>
      </c>
      <c r="AV207" s="156"/>
      <c r="AW207" s="156">
        <v>0</v>
      </c>
      <c r="AX207" s="156"/>
      <c r="AY207" s="156">
        <f t="shared" si="31"/>
        <v>0</v>
      </c>
      <c r="AZ207" s="156"/>
      <c r="BA207" s="142" t="s">
        <v>240</v>
      </c>
      <c r="BC207" s="142" t="s">
        <v>13</v>
      </c>
      <c r="BD207" s="156"/>
      <c r="BE207" s="156">
        <v>0</v>
      </c>
      <c r="BF207" s="156"/>
      <c r="BG207" s="156">
        <v>0</v>
      </c>
      <c r="BH207" s="156"/>
      <c r="BI207" s="156">
        <v>0</v>
      </c>
      <c r="BJ207" s="156"/>
      <c r="BK207" s="156">
        <v>0</v>
      </c>
      <c r="BL207" s="156"/>
      <c r="BM207" s="156">
        <f t="shared" si="32"/>
        <v>0</v>
      </c>
      <c r="BN207" s="158" t="s">
        <v>347</v>
      </c>
      <c r="BR207" s="140"/>
      <c r="BS207" s="156"/>
      <c r="BT207" s="156"/>
      <c r="BU207" s="156"/>
      <c r="BV207" s="156"/>
      <c r="BW207" s="156"/>
      <c r="BX207" s="143"/>
      <c r="BY207" s="143"/>
      <c r="BZ207" s="156"/>
      <c r="CA207" s="156"/>
      <c r="CB207" s="156"/>
      <c r="CC207" s="156"/>
      <c r="CD207" s="156"/>
      <c r="CE207" s="156"/>
      <c r="CF207" s="137"/>
      <c r="CH207" s="137"/>
      <c r="CI207" s="156"/>
      <c r="CJ207" s="156"/>
      <c r="CK207" s="156"/>
      <c r="CL207" s="156"/>
      <c r="CM207" s="156"/>
      <c r="CN207" s="156"/>
      <c r="CO207" s="156"/>
      <c r="CP207" s="156"/>
      <c r="CQ207" s="156"/>
      <c r="CR207" s="156"/>
      <c r="CS207" s="158"/>
    </row>
    <row r="208" spans="1:108" s="159" customFormat="1" ht="12.75" hidden="1" customHeight="1">
      <c r="A208" s="142" t="s">
        <v>241</v>
      </c>
      <c r="B208" s="140"/>
      <c r="C208" s="142" t="s">
        <v>22</v>
      </c>
      <c r="D208" s="137"/>
      <c r="E208" s="156">
        <f t="shared" si="26"/>
        <v>0</v>
      </c>
      <c r="F208" s="156"/>
      <c r="G208" s="156">
        <v>0</v>
      </c>
      <c r="H208" s="156"/>
      <c r="I208" s="156">
        <v>0</v>
      </c>
      <c r="J208" s="156"/>
      <c r="K208" s="156">
        <f t="shared" si="27"/>
        <v>0</v>
      </c>
      <c r="L208" s="156"/>
      <c r="M208" s="156">
        <v>0</v>
      </c>
      <c r="N208" s="156"/>
      <c r="O208" s="156">
        <v>0</v>
      </c>
      <c r="P208" s="156"/>
      <c r="Q208" s="156">
        <v>0</v>
      </c>
      <c r="R208" s="156"/>
      <c r="S208" s="156">
        <v>0</v>
      </c>
      <c r="T208" s="156"/>
      <c r="U208" s="156">
        <v>0</v>
      </c>
      <c r="V208" s="156"/>
      <c r="W208" s="156">
        <f t="shared" si="34"/>
        <v>0</v>
      </c>
      <c r="X208" s="156"/>
      <c r="Y208" s="142" t="s">
        <v>241</v>
      </c>
      <c r="AA208" s="142" t="s">
        <v>22</v>
      </c>
      <c r="AB208" s="142"/>
      <c r="AC208" s="156">
        <v>0</v>
      </c>
      <c r="AD208" s="156"/>
      <c r="AE208" s="156">
        <v>0</v>
      </c>
      <c r="AF208" s="156"/>
      <c r="AG208" s="156">
        <v>0</v>
      </c>
      <c r="AH208" s="156"/>
      <c r="AI208" s="143">
        <f t="shared" si="29"/>
        <v>0</v>
      </c>
      <c r="AJ208" s="143"/>
      <c r="AK208" s="156">
        <v>0</v>
      </c>
      <c r="AL208" s="143"/>
      <c r="AM208" s="156">
        <v>0</v>
      </c>
      <c r="AN208" s="156"/>
      <c r="AO208" s="156">
        <v>0</v>
      </c>
      <c r="AP208" s="156"/>
      <c r="AQ208" s="156">
        <v>0</v>
      </c>
      <c r="AR208" s="156"/>
      <c r="AS208" s="143">
        <f t="shared" si="30"/>
        <v>0</v>
      </c>
      <c r="AT208" s="143"/>
      <c r="AU208" s="156">
        <v>0</v>
      </c>
      <c r="AV208" s="156"/>
      <c r="AW208" s="156">
        <v>0</v>
      </c>
      <c r="AX208" s="156"/>
      <c r="AY208" s="156">
        <f t="shared" si="31"/>
        <v>0</v>
      </c>
      <c r="AZ208" s="156"/>
      <c r="BA208" s="142" t="s">
        <v>241</v>
      </c>
      <c r="BC208" s="142" t="s">
        <v>22</v>
      </c>
      <c r="BD208" s="156"/>
      <c r="BE208" s="156">
        <v>0</v>
      </c>
      <c r="BF208" s="156"/>
      <c r="BG208" s="156">
        <v>0</v>
      </c>
      <c r="BH208" s="156"/>
      <c r="BI208" s="156">
        <v>0</v>
      </c>
      <c r="BJ208" s="156"/>
      <c r="BK208" s="156">
        <v>0</v>
      </c>
      <c r="BL208" s="156"/>
      <c r="BM208" s="156">
        <f t="shared" si="32"/>
        <v>0</v>
      </c>
      <c r="BN208" s="158" t="s">
        <v>347</v>
      </c>
      <c r="BR208" s="140"/>
      <c r="BS208" s="156"/>
      <c r="BT208" s="156"/>
      <c r="BU208" s="156"/>
      <c r="BV208" s="156"/>
      <c r="BW208" s="156"/>
      <c r="BX208" s="143"/>
      <c r="BY208" s="143"/>
      <c r="BZ208" s="156"/>
      <c r="CA208" s="156"/>
      <c r="CB208" s="156"/>
      <c r="CC208" s="156"/>
      <c r="CD208" s="156"/>
      <c r="CE208" s="156"/>
      <c r="CF208" s="142"/>
      <c r="CH208" s="142"/>
      <c r="CI208" s="156"/>
      <c r="CJ208" s="156"/>
      <c r="CK208" s="156"/>
      <c r="CL208" s="156"/>
      <c r="CM208" s="156"/>
      <c r="CN208" s="156"/>
      <c r="CO208" s="156"/>
      <c r="CP208" s="156"/>
      <c r="CQ208" s="156"/>
      <c r="CR208" s="156"/>
      <c r="CS208" s="158"/>
    </row>
    <row r="209" spans="1:105" s="159" customFormat="1" ht="12.75" hidden="1" customHeight="1">
      <c r="A209" s="142" t="s">
        <v>242</v>
      </c>
      <c r="B209" s="140"/>
      <c r="C209" s="142" t="s">
        <v>27</v>
      </c>
      <c r="D209" s="137"/>
      <c r="E209" s="156">
        <f t="shared" si="26"/>
        <v>0</v>
      </c>
      <c r="F209" s="156"/>
      <c r="G209" s="156">
        <v>0</v>
      </c>
      <c r="H209" s="156"/>
      <c r="I209" s="156">
        <v>0</v>
      </c>
      <c r="J209" s="156"/>
      <c r="K209" s="156">
        <f t="shared" si="27"/>
        <v>0</v>
      </c>
      <c r="L209" s="156"/>
      <c r="M209" s="156">
        <v>0</v>
      </c>
      <c r="N209" s="156"/>
      <c r="O209" s="156">
        <v>0</v>
      </c>
      <c r="P209" s="156"/>
      <c r="Q209" s="156">
        <v>0</v>
      </c>
      <c r="R209" s="156"/>
      <c r="S209" s="156">
        <v>0</v>
      </c>
      <c r="T209" s="156"/>
      <c r="U209" s="156">
        <v>0</v>
      </c>
      <c r="V209" s="156"/>
      <c r="W209" s="156">
        <f t="shared" si="34"/>
        <v>0</v>
      </c>
      <c r="X209" s="156"/>
      <c r="Y209" s="142" t="s">
        <v>242</v>
      </c>
      <c r="AA209" s="142" t="s">
        <v>27</v>
      </c>
      <c r="AB209" s="142"/>
      <c r="AC209" s="156">
        <v>0</v>
      </c>
      <c r="AD209" s="156"/>
      <c r="AE209" s="156">
        <v>0</v>
      </c>
      <c r="AF209" s="156"/>
      <c r="AG209" s="156">
        <v>0</v>
      </c>
      <c r="AH209" s="156"/>
      <c r="AI209" s="143">
        <f t="shared" si="29"/>
        <v>0</v>
      </c>
      <c r="AJ209" s="143"/>
      <c r="AK209" s="156">
        <v>0</v>
      </c>
      <c r="AL209" s="143"/>
      <c r="AM209" s="156">
        <v>0</v>
      </c>
      <c r="AN209" s="156"/>
      <c r="AO209" s="156">
        <v>0</v>
      </c>
      <c r="AP209" s="156"/>
      <c r="AQ209" s="156">
        <v>0</v>
      </c>
      <c r="AR209" s="156"/>
      <c r="AS209" s="143">
        <f t="shared" si="30"/>
        <v>0</v>
      </c>
      <c r="AT209" s="143"/>
      <c r="AU209" s="156">
        <v>0</v>
      </c>
      <c r="AV209" s="156"/>
      <c r="AW209" s="156">
        <v>0</v>
      </c>
      <c r="AX209" s="156"/>
      <c r="AY209" s="156">
        <f t="shared" si="31"/>
        <v>0</v>
      </c>
      <c r="AZ209" s="156"/>
      <c r="BA209" s="142" t="s">
        <v>242</v>
      </c>
      <c r="BC209" s="142" t="s">
        <v>27</v>
      </c>
      <c r="BD209" s="156"/>
      <c r="BE209" s="156">
        <v>0</v>
      </c>
      <c r="BF209" s="156"/>
      <c r="BG209" s="156">
        <v>0</v>
      </c>
      <c r="BH209" s="156"/>
      <c r="BI209" s="156">
        <v>0</v>
      </c>
      <c r="BJ209" s="156"/>
      <c r="BK209" s="156">
        <v>0</v>
      </c>
      <c r="BL209" s="156"/>
      <c r="BM209" s="156">
        <f t="shared" si="32"/>
        <v>0</v>
      </c>
      <c r="BN209" s="158" t="s">
        <v>347</v>
      </c>
      <c r="BR209" s="140"/>
      <c r="BS209" s="156"/>
      <c r="BT209" s="156"/>
      <c r="BU209" s="156"/>
      <c r="BV209" s="156"/>
      <c r="BW209" s="156"/>
      <c r="BX209" s="143"/>
      <c r="BY209" s="143"/>
      <c r="BZ209" s="156"/>
      <c r="CA209" s="156"/>
      <c r="CB209" s="156"/>
      <c r="CC209" s="156"/>
      <c r="CD209" s="156"/>
      <c r="CE209" s="156"/>
      <c r="CF209" s="142"/>
      <c r="CH209" s="142"/>
      <c r="CI209" s="156"/>
      <c r="CJ209" s="156"/>
      <c r="CK209" s="156"/>
      <c r="CL209" s="156"/>
      <c r="CM209" s="156"/>
      <c r="CN209" s="156"/>
      <c r="CO209" s="156"/>
      <c r="CP209" s="156"/>
      <c r="CQ209" s="156"/>
      <c r="CR209" s="156"/>
      <c r="CS209" s="158"/>
    </row>
    <row r="210" spans="1:105" s="55" customFormat="1" ht="12.75" customHeight="1">
      <c r="A210" s="35" t="s">
        <v>243</v>
      </c>
      <c r="C210" s="35" t="s">
        <v>163</v>
      </c>
      <c r="D210" s="44"/>
      <c r="E210" s="53">
        <f>I210-G210</f>
        <v>2171399</v>
      </c>
      <c r="F210" s="53"/>
      <c r="G210" s="53">
        <v>12394766</v>
      </c>
      <c r="H210" s="53"/>
      <c r="I210" s="53">
        <v>14566165</v>
      </c>
      <c r="J210" s="53"/>
      <c r="K210" s="53">
        <f t="shared" ref="K210:K251" si="35">O210-M210</f>
        <v>384561</v>
      </c>
      <c r="L210" s="53"/>
      <c r="M210" s="53">
        <v>106417</v>
      </c>
      <c r="N210" s="53"/>
      <c r="O210" s="53">
        <v>490978</v>
      </c>
      <c r="P210" s="53"/>
      <c r="Q210" s="53">
        <v>12394766</v>
      </c>
      <c r="R210" s="53"/>
      <c r="S210" s="53">
        <v>0</v>
      </c>
      <c r="T210" s="53"/>
      <c r="U210" s="53">
        <v>1680421</v>
      </c>
      <c r="V210" s="53"/>
      <c r="W210" s="53">
        <f t="shared" si="34"/>
        <v>14075187</v>
      </c>
      <c r="X210" s="53"/>
      <c r="Y210" s="35" t="s">
        <v>243</v>
      </c>
      <c r="AA210" s="35" t="s">
        <v>163</v>
      </c>
      <c r="AB210" s="35"/>
      <c r="AC210" s="53">
        <v>2342454</v>
      </c>
      <c r="AD210" s="53"/>
      <c r="AE210" s="53">
        <v>2386384</v>
      </c>
      <c r="AF210" s="53"/>
      <c r="AG210" s="53">
        <v>493252</v>
      </c>
      <c r="AH210" s="53"/>
      <c r="AI210" s="45">
        <f t="shared" ref="AI210:AI251" si="36">+AC210-AE210-AG210</f>
        <v>-537182</v>
      </c>
      <c r="AJ210" s="45"/>
      <c r="AK210" s="53">
        <v>93558</v>
      </c>
      <c r="AL210" s="45"/>
      <c r="AM210" s="53">
        <v>0</v>
      </c>
      <c r="AN210" s="53"/>
      <c r="AO210" s="53">
        <v>261139</v>
      </c>
      <c r="AP210" s="53"/>
      <c r="AQ210" s="53">
        <v>0</v>
      </c>
      <c r="AR210" s="53"/>
      <c r="AS210" s="45">
        <f t="shared" ref="AS210:AS251" si="37">+AI210+AK210+AM210-AO210+AQ210</f>
        <v>-704763</v>
      </c>
      <c r="AT210" s="45"/>
      <c r="AU210" s="53">
        <v>0</v>
      </c>
      <c r="AV210" s="53"/>
      <c r="AW210" s="53">
        <v>0</v>
      </c>
      <c r="AX210" s="53"/>
      <c r="AY210" s="53">
        <f t="shared" ref="AY210:AY251" si="38">+E210-K210</f>
        <v>1786838</v>
      </c>
      <c r="AZ210" s="53"/>
      <c r="BA210" s="35" t="s">
        <v>243</v>
      </c>
      <c r="BC210" s="35" t="s">
        <v>163</v>
      </c>
      <c r="BD210" s="53"/>
      <c r="BE210" s="53">
        <v>0</v>
      </c>
      <c r="BF210" s="53"/>
      <c r="BG210" s="53">
        <v>0</v>
      </c>
      <c r="BH210" s="53"/>
      <c r="BI210" s="53">
        <v>0</v>
      </c>
      <c r="BJ210" s="53"/>
      <c r="BK210" s="53">
        <v>106417</v>
      </c>
      <c r="BL210" s="53"/>
      <c r="BM210" s="53">
        <f t="shared" ref="BM210:BM251" si="39">SUM(BE210:BK210)</f>
        <v>106417</v>
      </c>
      <c r="BN210" s="54" t="s">
        <v>347</v>
      </c>
      <c r="BO210" s="55" t="s">
        <v>404</v>
      </c>
      <c r="BR210" s="51"/>
      <c r="BS210" s="53"/>
      <c r="BT210" s="53"/>
      <c r="BU210" s="53"/>
      <c r="BV210" s="53"/>
      <c r="BW210" s="53"/>
      <c r="BX210" s="45"/>
      <c r="BY210" s="45"/>
      <c r="BZ210" s="53"/>
      <c r="CA210" s="53"/>
      <c r="CB210" s="53"/>
      <c r="CC210" s="53"/>
      <c r="CD210" s="53"/>
      <c r="CE210" s="53"/>
      <c r="CF210" s="35"/>
      <c r="CH210" s="35"/>
      <c r="CI210" s="53"/>
      <c r="CJ210" s="53"/>
      <c r="CK210" s="53"/>
      <c r="CL210" s="53"/>
      <c r="CM210" s="53"/>
      <c r="CN210" s="53"/>
      <c r="CO210" s="53"/>
      <c r="CP210" s="53"/>
      <c r="CQ210" s="53"/>
      <c r="CR210" s="53"/>
      <c r="CS210" s="54"/>
    </row>
    <row r="211" spans="1:105" s="55" customFormat="1" ht="12.75" customHeight="1">
      <c r="A211" s="35" t="s">
        <v>244</v>
      </c>
      <c r="B211" s="65"/>
      <c r="C211" s="35" t="s">
        <v>13</v>
      </c>
      <c r="D211" s="44"/>
      <c r="E211" s="53">
        <f t="shared" ref="E211:E251" si="40">I211-G211</f>
        <v>4764027</v>
      </c>
      <c r="F211" s="53"/>
      <c r="G211" s="53">
        <v>5437464</v>
      </c>
      <c r="H211" s="53"/>
      <c r="I211" s="53">
        <v>10201491</v>
      </c>
      <c r="J211" s="53"/>
      <c r="K211" s="53">
        <f t="shared" si="35"/>
        <v>217124</v>
      </c>
      <c r="L211" s="53"/>
      <c r="M211" s="53">
        <v>342438</v>
      </c>
      <c r="N211" s="53"/>
      <c r="O211" s="53">
        <v>559562</v>
      </c>
      <c r="P211" s="53"/>
      <c r="Q211" s="53">
        <v>5095126</v>
      </c>
      <c r="R211" s="53"/>
      <c r="S211" s="53">
        <v>0</v>
      </c>
      <c r="T211" s="53"/>
      <c r="U211" s="53">
        <v>4546803</v>
      </c>
      <c r="V211" s="53"/>
      <c r="W211" s="53">
        <f t="shared" si="34"/>
        <v>9641929</v>
      </c>
      <c r="X211" s="53"/>
      <c r="Y211" s="35" t="s">
        <v>244</v>
      </c>
      <c r="AA211" s="35" t="s">
        <v>13</v>
      </c>
      <c r="AB211" s="35"/>
      <c r="AC211" s="53">
        <v>1599545</v>
      </c>
      <c r="AD211" s="53"/>
      <c r="AE211" s="53">
        <v>1407302</v>
      </c>
      <c r="AF211" s="53"/>
      <c r="AG211" s="53">
        <v>201624</v>
      </c>
      <c r="AH211" s="53"/>
      <c r="AI211" s="45">
        <f t="shared" si="36"/>
        <v>-9381</v>
      </c>
      <c r="AJ211" s="45"/>
      <c r="AK211" s="53">
        <v>367658</v>
      </c>
      <c r="AL211" s="45"/>
      <c r="AM211" s="53">
        <v>0</v>
      </c>
      <c r="AN211" s="53"/>
      <c r="AO211" s="53">
        <v>0</v>
      </c>
      <c r="AP211" s="53"/>
      <c r="AQ211" s="53">
        <v>0</v>
      </c>
      <c r="AR211" s="53"/>
      <c r="AS211" s="45">
        <f t="shared" si="37"/>
        <v>358277</v>
      </c>
      <c r="AT211" s="45"/>
      <c r="AU211" s="53">
        <v>0</v>
      </c>
      <c r="AV211" s="53"/>
      <c r="AW211" s="53">
        <v>0</v>
      </c>
      <c r="AX211" s="53"/>
      <c r="AY211" s="53">
        <f t="shared" si="38"/>
        <v>4546903</v>
      </c>
      <c r="AZ211" s="53"/>
      <c r="BA211" s="35" t="s">
        <v>244</v>
      </c>
      <c r="BC211" s="35" t="s">
        <v>13</v>
      </c>
      <c r="BD211" s="53"/>
      <c r="BE211" s="53">
        <v>0</v>
      </c>
      <c r="BF211" s="53"/>
      <c r="BG211" s="53">
        <v>0</v>
      </c>
      <c r="BH211" s="53"/>
      <c r="BI211" s="53">
        <v>0</v>
      </c>
      <c r="BJ211" s="53"/>
      <c r="BK211" s="53">
        <v>342338</v>
      </c>
      <c r="BL211" s="53"/>
      <c r="BM211" s="53">
        <f t="shared" si="39"/>
        <v>342338</v>
      </c>
      <c r="BN211" s="54" t="s">
        <v>347</v>
      </c>
      <c r="BR211" s="65"/>
      <c r="BS211" s="53"/>
      <c r="BT211" s="53"/>
      <c r="BU211" s="53"/>
      <c r="BV211" s="53"/>
      <c r="BW211" s="53"/>
      <c r="BX211" s="45"/>
      <c r="BY211" s="45"/>
      <c r="BZ211" s="53"/>
      <c r="CA211" s="53"/>
      <c r="CB211" s="53"/>
      <c r="CC211" s="53"/>
      <c r="CD211" s="53"/>
      <c r="CE211" s="53"/>
      <c r="CF211" s="35"/>
      <c r="CH211" s="35"/>
      <c r="CI211" s="53"/>
      <c r="CJ211" s="53"/>
      <c r="CK211" s="53"/>
      <c r="CL211" s="53"/>
      <c r="CM211" s="53"/>
      <c r="CN211" s="53"/>
      <c r="CO211" s="53"/>
      <c r="CP211" s="53"/>
      <c r="CQ211" s="53"/>
      <c r="CR211" s="53"/>
      <c r="CS211" s="54"/>
    </row>
    <row r="212" spans="1:105" s="159" customFormat="1" ht="12.75" hidden="1" customHeight="1">
      <c r="A212" s="142" t="s">
        <v>245</v>
      </c>
      <c r="B212" s="140"/>
      <c r="C212" s="142" t="s">
        <v>110</v>
      </c>
      <c r="D212" s="137"/>
      <c r="E212" s="156">
        <f t="shared" si="40"/>
        <v>0</v>
      </c>
      <c r="F212" s="156"/>
      <c r="G212" s="156">
        <v>0</v>
      </c>
      <c r="H212" s="156"/>
      <c r="I212" s="156">
        <v>0</v>
      </c>
      <c r="J212" s="156"/>
      <c r="K212" s="156">
        <f t="shared" si="35"/>
        <v>0</v>
      </c>
      <c r="L212" s="156"/>
      <c r="M212" s="156">
        <v>0</v>
      </c>
      <c r="N212" s="156"/>
      <c r="O212" s="156">
        <v>0</v>
      </c>
      <c r="P212" s="156"/>
      <c r="Q212" s="156">
        <v>0</v>
      </c>
      <c r="R212" s="156"/>
      <c r="S212" s="156">
        <v>0</v>
      </c>
      <c r="T212" s="156"/>
      <c r="U212" s="156">
        <v>0</v>
      </c>
      <c r="V212" s="156"/>
      <c r="W212" s="156">
        <f t="shared" si="34"/>
        <v>0</v>
      </c>
      <c r="X212" s="156"/>
      <c r="Y212" s="142" t="s">
        <v>245</v>
      </c>
      <c r="AA212" s="142" t="s">
        <v>110</v>
      </c>
      <c r="AB212" s="142"/>
      <c r="AC212" s="156">
        <v>0</v>
      </c>
      <c r="AD212" s="156"/>
      <c r="AE212" s="156">
        <v>0</v>
      </c>
      <c r="AF212" s="156"/>
      <c r="AG212" s="156">
        <v>0</v>
      </c>
      <c r="AH212" s="156"/>
      <c r="AI212" s="143">
        <f t="shared" si="36"/>
        <v>0</v>
      </c>
      <c r="AJ212" s="143"/>
      <c r="AK212" s="156">
        <v>0</v>
      </c>
      <c r="AL212" s="143"/>
      <c r="AM212" s="156">
        <v>0</v>
      </c>
      <c r="AN212" s="156"/>
      <c r="AO212" s="156">
        <v>0</v>
      </c>
      <c r="AP212" s="156"/>
      <c r="AQ212" s="156">
        <v>0</v>
      </c>
      <c r="AR212" s="156"/>
      <c r="AS212" s="143">
        <f t="shared" si="37"/>
        <v>0</v>
      </c>
      <c r="AT212" s="143"/>
      <c r="AU212" s="156">
        <v>0</v>
      </c>
      <c r="AV212" s="156"/>
      <c r="AW212" s="156">
        <v>0</v>
      </c>
      <c r="AX212" s="156"/>
      <c r="AY212" s="156">
        <f t="shared" si="38"/>
        <v>0</v>
      </c>
      <c r="AZ212" s="156"/>
      <c r="BA212" s="142" t="s">
        <v>245</v>
      </c>
      <c r="BC212" s="142" t="s">
        <v>110</v>
      </c>
      <c r="BD212" s="156"/>
      <c r="BE212" s="156">
        <v>0</v>
      </c>
      <c r="BF212" s="156"/>
      <c r="BG212" s="156">
        <v>0</v>
      </c>
      <c r="BH212" s="156"/>
      <c r="BI212" s="156">
        <v>0</v>
      </c>
      <c r="BJ212" s="156"/>
      <c r="BK212" s="156">
        <v>0</v>
      </c>
      <c r="BL212" s="156"/>
      <c r="BM212" s="156">
        <f t="shared" si="39"/>
        <v>0</v>
      </c>
      <c r="BN212" s="158" t="s">
        <v>347</v>
      </c>
      <c r="BR212" s="140"/>
      <c r="BS212" s="156"/>
      <c r="BT212" s="156"/>
      <c r="BU212" s="156"/>
      <c r="BV212" s="156"/>
      <c r="BW212" s="156"/>
      <c r="BX212" s="143"/>
      <c r="BY212" s="143"/>
      <c r="BZ212" s="156"/>
      <c r="CA212" s="156"/>
      <c r="CB212" s="156"/>
      <c r="CC212" s="156"/>
      <c r="CD212" s="156"/>
      <c r="CE212" s="156"/>
      <c r="CF212" s="137"/>
      <c r="CH212" s="142"/>
      <c r="CI212" s="156"/>
      <c r="CJ212" s="156"/>
      <c r="CK212" s="156"/>
      <c r="CL212" s="156"/>
      <c r="CM212" s="156"/>
      <c r="CN212" s="156"/>
      <c r="CO212" s="156"/>
      <c r="CP212" s="156"/>
      <c r="CQ212" s="156"/>
      <c r="CR212" s="156"/>
      <c r="CS212" s="158"/>
    </row>
    <row r="213" spans="1:105" s="55" customFormat="1" ht="12.75" customHeight="1">
      <c r="A213" s="35" t="s">
        <v>246</v>
      </c>
      <c r="B213" s="51"/>
      <c r="C213" s="35" t="s">
        <v>209</v>
      </c>
      <c r="D213" s="44"/>
      <c r="E213" s="53">
        <f t="shared" si="40"/>
        <v>1151157</v>
      </c>
      <c r="F213" s="53"/>
      <c r="G213" s="53">
        <v>10918720</v>
      </c>
      <c r="H213" s="53"/>
      <c r="I213" s="53">
        <v>12069877</v>
      </c>
      <c r="J213" s="53"/>
      <c r="K213" s="53">
        <f t="shared" si="35"/>
        <v>123685</v>
      </c>
      <c r="L213" s="53"/>
      <c r="M213" s="53">
        <v>755186</v>
      </c>
      <c r="N213" s="53"/>
      <c r="O213" s="53">
        <v>878871</v>
      </c>
      <c r="P213" s="53"/>
      <c r="Q213" s="53">
        <v>4981370</v>
      </c>
      <c r="R213" s="53"/>
      <c r="S213" s="53">
        <v>0</v>
      </c>
      <c r="T213" s="53"/>
      <c r="U213" s="53">
        <v>6209636</v>
      </c>
      <c r="V213" s="53"/>
      <c r="W213" s="53">
        <f t="shared" si="34"/>
        <v>11191006</v>
      </c>
      <c r="X213" s="53"/>
      <c r="Y213" s="35" t="s">
        <v>246</v>
      </c>
      <c r="AA213" s="35" t="s">
        <v>209</v>
      </c>
      <c r="AB213" s="35"/>
      <c r="AC213" s="53">
        <v>1062967</v>
      </c>
      <c r="AD213" s="53"/>
      <c r="AE213" s="53">
        <v>873967</v>
      </c>
      <c r="AF213" s="53"/>
      <c r="AG213" s="53">
        <v>256850</v>
      </c>
      <c r="AH213" s="53"/>
      <c r="AI213" s="45">
        <f t="shared" si="36"/>
        <v>-67850</v>
      </c>
      <c r="AJ213" s="45"/>
      <c r="AK213" s="53">
        <v>140824</v>
      </c>
      <c r="AL213" s="45"/>
      <c r="AM213" s="53">
        <v>0</v>
      </c>
      <c r="AN213" s="53"/>
      <c r="AO213" s="53">
        <v>97692</v>
      </c>
      <c r="AP213" s="53"/>
      <c r="AQ213" s="53">
        <v>222519</v>
      </c>
      <c r="AR213" s="53"/>
      <c r="AS213" s="45">
        <f t="shared" si="37"/>
        <v>197801</v>
      </c>
      <c r="AT213" s="45"/>
      <c r="AU213" s="53">
        <v>0</v>
      </c>
      <c r="AV213" s="53"/>
      <c r="AW213" s="53">
        <v>0</v>
      </c>
      <c r="AX213" s="53"/>
      <c r="AY213" s="53">
        <f t="shared" si="38"/>
        <v>1027472</v>
      </c>
      <c r="AZ213" s="53"/>
      <c r="BA213" s="35" t="s">
        <v>246</v>
      </c>
      <c r="BC213" s="35" t="s">
        <v>209</v>
      </c>
      <c r="BD213" s="53"/>
      <c r="BE213" s="53">
        <v>325000</v>
      </c>
      <c r="BF213" s="53"/>
      <c r="BG213" s="53">
        <v>0</v>
      </c>
      <c r="BH213" s="53"/>
      <c r="BI213" s="53">
        <v>408510</v>
      </c>
      <c r="BJ213" s="53"/>
      <c r="BK213" s="53">
        <v>21676</v>
      </c>
      <c r="BL213" s="53"/>
      <c r="BM213" s="53">
        <f t="shared" si="39"/>
        <v>755186</v>
      </c>
      <c r="BN213" s="54" t="s">
        <v>347</v>
      </c>
      <c r="BR213" s="51"/>
      <c r="BS213" s="53"/>
      <c r="BT213" s="53"/>
      <c r="BU213" s="53"/>
      <c r="BV213" s="53"/>
      <c r="BW213" s="53"/>
      <c r="BX213" s="45"/>
      <c r="BY213" s="45"/>
      <c r="BZ213" s="53"/>
      <c r="CA213" s="53"/>
      <c r="CB213" s="53"/>
      <c r="CC213" s="53"/>
      <c r="CD213" s="53"/>
      <c r="CE213" s="53"/>
      <c r="CF213" s="35"/>
      <c r="CH213" s="35"/>
      <c r="CI213" s="53"/>
      <c r="CJ213" s="53"/>
      <c r="CK213" s="53"/>
      <c r="CL213" s="53"/>
      <c r="CM213" s="53"/>
      <c r="CN213" s="53"/>
      <c r="CO213" s="53"/>
      <c r="CP213" s="53"/>
      <c r="CQ213" s="53"/>
      <c r="CR213" s="53"/>
      <c r="CS213" s="54"/>
    </row>
    <row r="214" spans="1:105" s="55" customFormat="1" ht="12.75" customHeight="1">
      <c r="A214" s="35" t="s">
        <v>247</v>
      </c>
      <c r="C214" s="35" t="s">
        <v>163</v>
      </c>
      <c r="D214" s="44"/>
      <c r="E214" s="53">
        <f t="shared" si="40"/>
        <v>90681000</v>
      </c>
      <c r="F214" s="53"/>
      <c r="G214" s="53">
        <v>413599000</v>
      </c>
      <c r="H214" s="53"/>
      <c r="I214" s="53">
        <v>504280000</v>
      </c>
      <c r="J214" s="53"/>
      <c r="K214" s="53">
        <f t="shared" si="35"/>
        <v>49833000</v>
      </c>
      <c r="L214" s="53"/>
      <c r="M214" s="53">
        <v>231827000</v>
      </c>
      <c r="N214" s="53"/>
      <c r="O214" s="53">
        <v>281660000</v>
      </c>
      <c r="P214" s="53"/>
      <c r="Q214" s="53">
        <v>181072000</v>
      </c>
      <c r="R214" s="53"/>
      <c r="S214" s="53">
        <v>33122000</v>
      </c>
      <c r="T214" s="53"/>
      <c r="U214" s="53">
        <v>8426000</v>
      </c>
      <c r="V214" s="53"/>
      <c r="W214" s="53">
        <f t="shared" si="34"/>
        <v>222620000</v>
      </c>
      <c r="X214" s="53"/>
      <c r="Y214" s="35" t="s">
        <v>247</v>
      </c>
      <c r="AA214" s="35" t="s">
        <v>163</v>
      </c>
      <c r="AB214" s="35"/>
      <c r="AC214" s="53">
        <v>48880000</v>
      </c>
      <c r="AD214" s="53"/>
      <c r="AE214" s="53">
        <v>31478000</v>
      </c>
      <c r="AF214" s="53"/>
      <c r="AG214" s="53">
        <v>9581000</v>
      </c>
      <c r="AH214" s="53"/>
      <c r="AI214" s="45">
        <f t="shared" si="36"/>
        <v>7821000</v>
      </c>
      <c r="AJ214" s="45"/>
      <c r="AK214" s="53">
        <v>-2974000</v>
      </c>
      <c r="AL214" s="45"/>
      <c r="AM214" s="53">
        <v>145000</v>
      </c>
      <c r="AN214" s="53"/>
      <c r="AO214" s="53">
        <v>0</v>
      </c>
      <c r="AP214" s="53"/>
      <c r="AQ214" s="53">
        <v>1072000</v>
      </c>
      <c r="AR214" s="53"/>
      <c r="AS214" s="45">
        <f t="shared" si="37"/>
        <v>6064000</v>
      </c>
      <c r="AT214" s="45"/>
      <c r="AU214" s="53">
        <v>0</v>
      </c>
      <c r="AV214" s="53"/>
      <c r="AW214" s="53">
        <v>0</v>
      </c>
      <c r="AX214" s="53"/>
      <c r="AY214" s="53">
        <f t="shared" si="38"/>
        <v>40848000</v>
      </c>
      <c r="AZ214" s="53"/>
      <c r="BA214" s="35" t="s">
        <v>247</v>
      </c>
      <c r="BC214" s="35" t="s">
        <v>163</v>
      </c>
      <c r="BD214" s="53"/>
      <c r="BE214" s="53">
        <v>0</v>
      </c>
      <c r="BF214" s="53"/>
      <c r="BG214" s="53">
        <v>39267000</v>
      </c>
      <c r="BH214" s="53"/>
      <c r="BI214" s="53">
        <v>0</v>
      </c>
      <c r="BJ214" s="53"/>
      <c r="BK214" s="53">
        <v>192560000</v>
      </c>
      <c r="BL214" s="53"/>
      <c r="BM214" s="53">
        <f t="shared" si="39"/>
        <v>231827000</v>
      </c>
      <c r="BN214" s="54" t="s">
        <v>347</v>
      </c>
      <c r="BR214" s="51"/>
      <c r="BS214" s="53"/>
      <c r="BT214" s="53"/>
      <c r="BU214" s="53"/>
      <c r="BV214" s="53"/>
      <c r="BW214" s="53"/>
      <c r="BX214" s="45"/>
      <c r="BY214" s="45"/>
      <c r="BZ214" s="53"/>
      <c r="CA214" s="53"/>
      <c r="CB214" s="53"/>
      <c r="CC214" s="53"/>
      <c r="CD214" s="53"/>
      <c r="CE214" s="53"/>
      <c r="CF214" s="35"/>
      <c r="CH214" s="35"/>
      <c r="CI214" s="53"/>
      <c r="CJ214" s="53"/>
      <c r="CK214" s="53"/>
      <c r="CL214" s="53"/>
      <c r="CM214" s="53"/>
      <c r="CN214" s="53"/>
      <c r="CO214" s="53"/>
      <c r="CP214" s="53"/>
      <c r="CQ214" s="53"/>
      <c r="CR214" s="53"/>
      <c r="CS214" s="54"/>
    </row>
    <row r="215" spans="1:105" s="55" customFormat="1" ht="12.75" customHeight="1">
      <c r="A215" s="35" t="s">
        <v>248</v>
      </c>
      <c r="C215" s="35" t="s">
        <v>249</v>
      </c>
      <c r="D215" s="44"/>
      <c r="E215" s="53">
        <f t="shared" si="40"/>
        <v>193861</v>
      </c>
      <c r="F215" s="53"/>
      <c r="G215" s="53">
        <v>947093</v>
      </c>
      <c r="H215" s="53"/>
      <c r="I215" s="53">
        <v>1140954</v>
      </c>
      <c r="J215" s="53"/>
      <c r="K215" s="53">
        <f t="shared" si="35"/>
        <v>2670</v>
      </c>
      <c r="L215" s="53"/>
      <c r="M215" s="53">
        <v>778</v>
      </c>
      <c r="N215" s="53"/>
      <c r="O215" s="53">
        <v>3448</v>
      </c>
      <c r="P215" s="53"/>
      <c r="Q215" s="53">
        <v>947092</v>
      </c>
      <c r="R215" s="53"/>
      <c r="S215" s="53">
        <v>0</v>
      </c>
      <c r="T215" s="53"/>
      <c r="U215" s="53">
        <v>190414</v>
      </c>
      <c r="V215" s="53"/>
      <c r="W215" s="53">
        <f t="shared" si="34"/>
        <v>1137506</v>
      </c>
      <c r="X215" s="53"/>
      <c r="Y215" s="35" t="s">
        <v>248</v>
      </c>
      <c r="AA215" s="35" t="s">
        <v>249</v>
      </c>
      <c r="AB215" s="35"/>
      <c r="AC215" s="53">
        <v>605728</v>
      </c>
      <c r="AD215" s="53"/>
      <c r="AE215" s="53">
        <v>438045</v>
      </c>
      <c r="AF215" s="53"/>
      <c r="AG215" s="53">
        <v>38385</v>
      </c>
      <c r="AH215" s="53"/>
      <c r="AI215" s="45">
        <f t="shared" si="36"/>
        <v>129298</v>
      </c>
      <c r="AJ215" s="45"/>
      <c r="AK215" s="53">
        <v>-16675</v>
      </c>
      <c r="AL215" s="45"/>
      <c r="AM215" s="53">
        <v>181500</v>
      </c>
      <c r="AN215" s="53"/>
      <c r="AO215" s="53">
        <v>0</v>
      </c>
      <c r="AP215" s="53"/>
      <c r="AQ215" s="53">
        <v>18854</v>
      </c>
      <c r="AR215" s="53"/>
      <c r="AS215" s="45">
        <f t="shared" si="37"/>
        <v>312977</v>
      </c>
      <c r="AT215" s="45"/>
      <c r="AU215" s="53">
        <v>0</v>
      </c>
      <c r="AV215" s="53"/>
      <c r="AW215" s="53">
        <v>0</v>
      </c>
      <c r="AX215" s="53"/>
      <c r="AY215" s="53">
        <f t="shared" si="38"/>
        <v>191191</v>
      </c>
      <c r="AZ215" s="53"/>
      <c r="BA215" s="35" t="s">
        <v>248</v>
      </c>
      <c r="BC215" s="35" t="s">
        <v>249</v>
      </c>
      <c r="BD215" s="53"/>
      <c r="BE215" s="53">
        <v>0</v>
      </c>
      <c r="BF215" s="53"/>
      <c r="BG215" s="53">
        <v>0</v>
      </c>
      <c r="BH215" s="53"/>
      <c r="BI215" s="53">
        <v>0</v>
      </c>
      <c r="BJ215" s="53"/>
      <c r="BK215" s="53">
        <v>778</v>
      </c>
      <c r="BL215" s="53"/>
      <c r="BM215" s="53">
        <f t="shared" si="39"/>
        <v>778</v>
      </c>
      <c r="BN215" s="54" t="s">
        <v>347</v>
      </c>
      <c r="BR215" s="51"/>
      <c r="BS215" s="53"/>
      <c r="BT215" s="53"/>
      <c r="BU215" s="53"/>
      <c r="BV215" s="53"/>
      <c r="BW215" s="53"/>
      <c r="BX215" s="45"/>
      <c r="BY215" s="45"/>
      <c r="BZ215" s="53"/>
      <c r="CA215" s="53"/>
      <c r="CB215" s="53"/>
      <c r="CC215" s="53"/>
      <c r="CD215" s="53"/>
      <c r="CE215" s="53"/>
      <c r="CF215" s="35"/>
      <c r="CH215" s="35"/>
      <c r="CI215" s="53"/>
      <c r="CJ215" s="53"/>
      <c r="CK215" s="53"/>
      <c r="CL215" s="53"/>
      <c r="CM215" s="53"/>
      <c r="CN215" s="53"/>
      <c r="CO215" s="53"/>
      <c r="CP215" s="53"/>
      <c r="CQ215" s="53"/>
      <c r="CR215" s="53"/>
      <c r="CS215" s="54"/>
    </row>
    <row r="216" spans="1:105" s="55" customFormat="1" ht="12.75" customHeight="1">
      <c r="A216" s="35" t="s">
        <v>250</v>
      </c>
      <c r="B216" s="51"/>
      <c r="C216" s="35" t="s">
        <v>103</v>
      </c>
      <c r="D216" s="44"/>
      <c r="E216" s="53">
        <f t="shared" si="40"/>
        <v>909957</v>
      </c>
      <c r="F216" s="53"/>
      <c r="G216" s="53">
        <v>695804</v>
      </c>
      <c r="H216" s="53"/>
      <c r="I216" s="53">
        <v>1605761</v>
      </c>
      <c r="J216" s="53"/>
      <c r="K216" s="53">
        <f t="shared" si="35"/>
        <v>111474</v>
      </c>
      <c r="L216" s="53"/>
      <c r="M216" s="53">
        <v>14799</v>
      </c>
      <c r="N216" s="53"/>
      <c r="O216" s="53">
        <v>126273</v>
      </c>
      <c r="P216" s="53"/>
      <c r="Q216" s="53">
        <v>690816</v>
      </c>
      <c r="R216" s="53"/>
      <c r="S216" s="53">
        <v>0</v>
      </c>
      <c r="T216" s="53"/>
      <c r="U216" s="53">
        <v>788672</v>
      </c>
      <c r="V216" s="53"/>
      <c r="W216" s="53">
        <f t="shared" si="34"/>
        <v>1479488</v>
      </c>
      <c r="X216" s="53"/>
      <c r="Y216" s="35" t="s">
        <v>250</v>
      </c>
      <c r="AA216" s="35" t="s">
        <v>103</v>
      </c>
      <c r="AB216" s="35"/>
      <c r="AC216" s="53">
        <v>1368997</v>
      </c>
      <c r="AD216" s="53"/>
      <c r="AE216" s="53">
        <v>1212522</v>
      </c>
      <c r="AF216" s="53"/>
      <c r="AG216" s="53">
        <v>47837</v>
      </c>
      <c r="AH216" s="53"/>
      <c r="AI216" s="45">
        <f t="shared" si="36"/>
        <v>108638</v>
      </c>
      <c r="AJ216" s="45"/>
      <c r="AK216" s="53">
        <v>6138</v>
      </c>
      <c r="AL216" s="45"/>
      <c r="AM216" s="53">
        <v>0</v>
      </c>
      <c r="AN216" s="53"/>
      <c r="AO216" s="53">
        <v>0</v>
      </c>
      <c r="AP216" s="53"/>
      <c r="AQ216" s="53">
        <v>0</v>
      </c>
      <c r="AR216" s="53"/>
      <c r="AS216" s="45">
        <f t="shared" si="37"/>
        <v>114776</v>
      </c>
      <c r="AT216" s="45"/>
      <c r="AU216" s="53">
        <v>0</v>
      </c>
      <c r="AV216" s="53"/>
      <c r="AW216" s="53">
        <v>0</v>
      </c>
      <c r="AX216" s="53"/>
      <c r="AY216" s="53">
        <f t="shared" si="38"/>
        <v>798483</v>
      </c>
      <c r="AZ216" s="53"/>
      <c r="BA216" s="35" t="s">
        <v>250</v>
      </c>
      <c r="BC216" s="35" t="s">
        <v>103</v>
      </c>
      <c r="BD216" s="53"/>
      <c r="BE216" s="53">
        <v>0</v>
      </c>
      <c r="BF216" s="53"/>
      <c r="BG216" s="53">
        <v>0</v>
      </c>
      <c r="BH216" s="53"/>
      <c r="BI216" s="53">
        <v>380</v>
      </c>
      <c r="BJ216" s="53"/>
      <c r="BK216" s="53">
        <v>14419</v>
      </c>
      <c r="BL216" s="53"/>
      <c r="BM216" s="53">
        <f t="shared" si="39"/>
        <v>14799</v>
      </c>
      <c r="BN216" s="54" t="s">
        <v>347</v>
      </c>
      <c r="BR216" s="51"/>
      <c r="BS216" s="53"/>
      <c r="BT216" s="53"/>
      <c r="BU216" s="53"/>
      <c r="BV216" s="53"/>
      <c r="BW216" s="53"/>
      <c r="BX216" s="45"/>
      <c r="BY216" s="45"/>
      <c r="BZ216" s="53"/>
      <c r="CA216" s="53"/>
      <c r="CB216" s="53"/>
      <c r="CC216" s="53"/>
      <c r="CD216" s="53"/>
      <c r="CE216" s="53"/>
      <c r="CF216" s="35"/>
      <c r="CH216" s="35"/>
      <c r="CI216" s="53"/>
      <c r="CJ216" s="53"/>
      <c r="CK216" s="53"/>
      <c r="CL216" s="53"/>
      <c r="CM216" s="53"/>
      <c r="CN216" s="53"/>
      <c r="CO216" s="53"/>
      <c r="CP216" s="53"/>
      <c r="CQ216" s="53"/>
      <c r="CR216" s="53"/>
      <c r="CS216" s="54"/>
    </row>
    <row r="217" spans="1:105" s="55" customFormat="1" ht="12.75" customHeight="1">
      <c r="A217" s="35" t="s">
        <v>251</v>
      </c>
      <c r="B217" s="51"/>
      <c r="C217" s="35" t="s">
        <v>66</v>
      </c>
      <c r="D217" s="44"/>
      <c r="E217" s="53">
        <f t="shared" si="40"/>
        <v>541763</v>
      </c>
      <c r="F217" s="53"/>
      <c r="G217" s="53">
        <v>421968</v>
      </c>
      <c r="H217" s="53"/>
      <c r="I217" s="53">
        <v>963731</v>
      </c>
      <c r="J217" s="53"/>
      <c r="K217" s="53">
        <f t="shared" si="35"/>
        <v>331763</v>
      </c>
      <c r="L217" s="53"/>
      <c r="M217" s="53">
        <v>24408</v>
      </c>
      <c r="N217" s="53"/>
      <c r="O217" s="53">
        <v>356171</v>
      </c>
      <c r="P217" s="53"/>
      <c r="Q217" s="53">
        <v>399961</v>
      </c>
      <c r="R217" s="53"/>
      <c r="S217" s="53">
        <v>0</v>
      </c>
      <c r="T217" s="53"/>
      <c r="U217" s="53">
        <v>207599</v>
      </c>
      <c r="V217" s="53"/>
      <c r="W217" s="53">
        <f t="shared" si="34"/>
        <v>607560</v>
      </c>
      <c r="X217" s="53"/>
      <c r="Y217" s="35" t="s">
        <v>251</v>
      </c>
      <c r="AA217" s="35" t="s">
        <v>66</v>
      </c>
      <c r="AB217" s="35"/>
      <c r="AC217" s="53">
        <v>996784</v>
      </c>
      <c r="AD217" s="53"/>
      <c r="AE217" s="53">
        <v>807475</v>
      </c>
      <c r="AF217" s="53"/>
      <c r="AG217" s="53">
        <v>45429</v>
      </c>
      <c r="AH217" s="53"/>
      <c r="AI217" s="45">
        <f t="shared" si="36"/>
        <v>143880</v>
      </c>
      <c r="AJ217" s="45"/>
      <c r="AK217" s="53">
        <v>-5748</v>
      </c>
      <c r="AL217" s="45"/>
      <c r="AM217" s="53">
        <v>0</v>
      </c>
      <c r="AN217" s="53"/>
      <c r="AO217" s="53">
        <v>0</v>
      </c>
      <c r="AP217" s="53"/>
      <c r="AQ217" s="53">
        <v>0</v>
      </c>
      <c r="AR217" s="53"/>
      <c r="AS217" s="45">
        <f t="shared" si="37"/>
        <v>138132</v>
      </c>
      <c r="AT217" s="45"/>
      <c r="AU217" s="53">
        <v>0</v>
      </c>
      <c r="AV217" s="53"/>
      <c r="AW217" s="53">
        <v>0</v>
      </c>
      <c r="AX217" s="53"/>
      <c r="AY217" s="53">
        <f t="shared" si="38"/>
        <v>210000</v>
      </c>
      <c r="AZ217" s="53"/>
      <c r="BA217" s="35" t="s">
        <v>251</v>
      </c>
      <c r="BC217" s="35" t="s">
        <v>66</v>
      </c>
      <c r="BD217" s="53"/>
      <c r="BE217" s="53">
        <v>0</v>
      </c>
      <c r="BF217" s="53"/>
      <c r="BG217" s="53">
        <v>0</v>
      </c>
      <c r="BH217" s="53"/>
      <c r="BI217" s="53">
        <v>0</v>
      </c>
      <c r="BJ217" s="53"/>
      <c r="BK217" s="53">
        <v>24408</v>
      </c>
      <c r="BL217" s="53"/>
      <c r="BM217" s="53">
        <f t="shared" si="39"/>
        <v>24408</v>
      </c>
      <c r="BN217" s="54" t="s">
        <v>347</v>
      </c>
      <c r="BR217" s="51"/>
      <c r="BS217" s="53"/>
      <c r="BT217" s="53"/>
      <c r="BU217" s="53"/>
      <c r="BV217" s="53"/>
      <c r="BW217" s="53"/>
      <c r="BX217" s="45"/>
      <c r="BY217" s="45"/>
      <c r="BZ217" s="53"/>
      <c r="CA217" s="53"/>
      <c r="CB217" s="53"/>
      <c r="CC217" s="53"/>
      <c r="CD217" s="53"/>
      <c r="CE217" s="53"/>
      <c r="CF217" s="35"/>
      <c r="CH217" s="35"/>
      <c r="CI217" s="53"/>
      <c r="CJ217" s="53"/>
      <c r="CK217" s="53"/>
      <c r="CL217" s="53"/>
      <c r="CM217" s="53"/>
      <c r="CN217" s="53"/>
      <c r="CO217" s="53"/>
      <c r="CP217" s="53"/>
      <c r="CQ217" s="53"/>
      <c r="CR217" s="53"/>
      <c r="CS217" s="54"/>
    </row>
    <row r="218" spans="1:105" s="55" customFormat="1" ht="12.75" customHeight="1">
      <c r="A218" s="35" t="s">
        <v>252</v>
      </c>
      <c r="B218" s="51"/>
      <c r="C218" s="35" t="s">
        <v>209</v>
      </c>
      <c r="D218" s="44"/>
      <c r="E218" s="53">
        <f t="shared" si="40"/>
        <v>9353125</v>
      </c>
      <c r="F218" s="53"/>
      <c r="G218" s="53">
        <v>19693421</v>
      </c>
      <c r="H218" s="53"/>
      <c r="I218" s="53">
        <v>29046546</v>
      </c>
      <c r="J218" s="53"/>
      <c r="K218" s="53">
        <f t="shared" si="35"/>
        <v>768090</v>
      </c>
      <c r="L218" s="53"/>
      <c r="M218" s="53">
        <v>6813472</v>
      </c>
      <c r="N218" s="53"/>
      <c r="O218" s="53">
        <v>7581562</v>
      </c>
      <c r="P218" s="53"/>
      <c r="Q218" s="53">
        <v>12478421</v>
      </c>
      <c r="R218" s="53"/>
      <c r="S218" s="53">
        <v>0</v>
      </c>
      <c r="T218" s="53"/>
      <c r="U218" s="53">
        <v>8986563</v>
      </c>
      <c r="V218" s="53"/>
      <c r="W218" s="53">
        <f t="shared" ref="W218:W251" si="41">SUM(Q218:U218)</f>
        <v>21464984</v>
      </c>
      <c r="X218" s="53"/>
      <c r="Y218" s="35" t="s">
        <v>252</v>
      </c>
      <c r="AA218" s="35" t="s">
        <v>209</v>
      </c>
      <c r="AB218" s="35"/>
      <c r="AC218" s="53">
        <v>3337395</v>
      </c>
      <c r="AD218" s="53"/>
      <c r="AE218" s="53">
        <v>2805727</v>
      </c>
      <c r="AF218" s="53"/>
      <c r="AG218" s="53">
        <v>864098</v>
      </c>
      <c r="AH218" s="53"/>
      <c r="AI218" s="45">
        <f t="shared" si="36"/>
        <v>-332430</v>
      </c>
      <c r="AJ218" s="45"/>
      <c r="AK218" s="53">
        <v>64474</v>
      </c>
      <c r="AL218" s="45"/>
      <c r="AM218" s="53">
        <v>0</v>
      </c>
      <c r="AN218" s="53"/>
      <c r="AO218" s="53">
        <v>0</v>
      </c>
      <c r="AP218" s="53"/>
      <c r="AQ218" s="53">
        <v>282332</v>
      </c>
      <c r="AR218" s="53"/>
      <c r="AS218" s="45">
        <f t="shared" si="37"/>
        <v>14376</v>
      </c>
      <c r="AT218" s="45"/>
      <c r="AU218" s="53">
        <v>0</v>
      </c>
      <c r="AV218" s="53"/>
      <c r="AW218" s="53">
        <v>0</v>
      </c>
      <c r="AX218" s="53"/>
      <c r="AY218" s="53">
        <f t="shared" si="38"/>
        <v>8585035</v>
      </c>
      <c r="AZ218" s="53"/>
      <c r="BA218" s="35" t="s">
        <v>252</v>
      </c>
      <c r="BC218" s="35" t="s">
        <v>209</v>
      </c>
      <c r="BD218" s="53"/>
      <c r="BE218" s="53">
        <v>0</v>
      </c>
      <c r="BF218" s="53"/>
      <c r="BG218" s="53">
        <v>0</v>
      </c>
      <c r="BH218" s="53"/>
      <c r="BI218" s="53">
        <v>0</v>
      </c>
      <c r="BJ218" s="53"/>
      <c r="BK218" s="53">
        <v>6813472</v>
      </c>
      <c r="BL218" s="53"/>
      <c r="BM218" s="53">
        <f t="shared" si="39"/>
        <v>6813472</v>
      </c>
      <c r="BN218" s="54" t="s">
        <v>347</v>
      </c>
      <c r="BO218" s="55" t="s">
        <v>405</v>
      </c>
      <c r="BR218" s="51"/>
      <c r="BS218" s="53"/>
      <c r="BT218" s="53"/>
      <c r="BU218" s="53"/>
      <c r="BV218" s="53"/>
      <c r="BW218" s="53"/>
      <c r="BX218" s="45"/>
      <c r="BY218" s="45"/>
      <c r="BZ218" s="53"/>
      <c r="CA218" s="53"/>
      <c r="CB218" s="53"/>
      <c r="CC218" s="53"/>
      <c r="CD218" s="53"/>
      <c r="CE218" s="53"/>
      <c r="CF218" s="35"/>
      <c r="CH218" s="35"/>
      <c r="CI218" s="53"/>
      <c r="CJ218" s="53"/>
      <c r="CK218" s="53"/>
      <c r="CL218" s="53"/>
      <c r="CM218" s="53"/>
      <c r="CN218" s="53"/>
      <c r="CO218" s="53"/>
      <c r="CP218" s="53"/>
      <c r="CQ218" s="53"/>
      <c r="CR218" s="53"/>
      <c r="CS218" s="54"/>
    </row>
    <row r="219" spans="1:105" s="159" customFormat="1" ht="12.75" hidden="1" customHeight="1">
      <c r="A219" s="142" t="s">
        <v>253</v>
      </c>
      <c r="B219" s="140"/>
      <c r="C219" s="142" t="s">
        <v>13</v>
      </c>
      <c r="D219" s="137"/>
      <c r="E219" s="156">
        <f>I219-G219</f>
        <v>0</v>
      </c>
      <c r="F219" s="156"/>
      <c r="G219" s="156">
        <v>0</v>
      </c>
      <c r="H219" s="156"/>
      <c r="I219" s="156">
        <v>0</v>
      </c>
      <c r="J219" s="156"/>
      <c r="K219" s="156">
        <f>O219-M219</f>
        <v>0</v>
      </c>
      <c r="L219" s="156"/>
      <c r="M219" s="156">
        <v>0</v>
      </c>
      <c r="N219" s="156"/>
      <c r="O219" s="156">
        <v>0</v>
      </c>
      <c r="P219" s="156"/>
      <c r="Q219" s="156">
        <v>0</v>
      </c>
      <c r="R219" s="156"/>
      <c r="S219" s="156">
        <v>0</v>
      </c>
      <c r="T219" s="156"/>
      <c r="U219" s="156">
        <v>0</v>
      </c>
      <c r="V219" s="156"/>
      <c r="W219" s="156">
        <f>SUM(Q219:U219)</f>
        <v>0</v>
      </c>
      <c r="X219" s="156"/>
      <c r="Y219" s="142" t="s">
        <v>253</v>
      </c>
      <c r="AA219" s="142" t="s">
        <v>13</v>
      </c>
      <c r="AB219" s="142"/>
      <c r="AC219" s="156">
        <v>0</v>
      </c>
      <c r="AD219" s="156"/>
      <c r="AE219" s="156">
        <v>0</v>
      </c>
      <c r="AF219" s="156"/>
      <c r="AG219" s="156">
        <v>0</v>
      </c>
      <c r="AH219" s="156"/>
      <c r="AI219" s="143">
        <f>+AC219-AE219-AG219</f>
        <v>0</v>
      </c>
      <c r="AJ219" s="143"/>
      <c r="AK219" s="156">
        <v>0</v>
      </c>
      <c r="AL219" s="143"/>
      <c r="AM219" s="156">
        <v>0</v>
      </c>
      <c r="AN219" s="156"/>
      <c r="AO219" s="156">
        <v>0</v>
      </c>
      <c r="AP219" s="156"/>
      <c r="AQ219" s="156">
        <v>0</v>
      </c>
      <c r="AR219" s="156"/>
      <c r="AS219" s="143">
        <f>+AI219+AK219+AM219-AO219+AQ219</f>
        <v>0</v>
      </c>
      <c r="AT219" s="143"/>
      <c r="AU219" s="156">
        <v>0</v>
      </c>
      <c r="AV219" s="156"/>
      <c r="AW219" s="156">
        <v>0</v>
      </c>
      <c r="AX219" s="156"/>
      <c r="AY219" s="156">
        <f>+E219-K219</f>
        <v>0</v>
      </c>
      <c r="AZ219" s="156"/>
      <c r="BA219" s="142" t="s">
        <v>253</v>
      </c>
      <c r="BC219" s="142" t="s">
        <v>13</v>
      </c>
      <c r="BD219" s="156"/>
      <c r="BE219" s="156">
        <v>0</v>
      </c>
      <c r="BF219" s="156"/>
      <c r="BG219" s="156">
        <v>40000</v>
      </c>
      <c r="BH219" s="156"/>
      <c r="BI219" s="156">
        <v>0</v>
      </c>
      <c r="BJ219" s="156"/>
      <c r="BK219" s="156">
        <v>0</v>
      </c>
      <c r="BL219" s="156"/>
      <c r="BM219" s="156">
        <f>SUM(BE219:BK219)</f>
        <v>40000</v>
      </c>
      <c r="BN219" s="158" t="s">
        <v>347</v>
      </c>
      <c r="BO219" s="142"/>
      <c r="BP219" s="142"/>
      <c r="BQ219" s="142"/>
      <c r="BR219" s="140"/>
      <c r="BS219" s="156"/>
      <c r="BT219" s="156"/>
      <c r="BU219" s="156"/>
      <c r="BV219" s="156"/>
      <c r="BW219" s="143"/>
      <c r="BX219" s="143"/>
      <c r="BY219" s="156"/>
      <c r="BZ219" s="156"/>
      <c r="CA219" s="156"/>
      <c r="CB219" s="156"/>
      <c r="CC219" s="156"/>
      <c r="CD219" s="156"/>
      <c r="CE219" s="156"/>
      <c r="CF219" s="142"/>
      <c r="CH219" s="142"/>
      <c r="CI219" s="156"/>
      <c r="CJ219" s="156"/>
      <c r="CK219" s="156"/>
      <c r="CL219" s="156"/>
      <c r="CM219" s="156"/>
      <c r="CN219" s="156"/>
      <c r="CO219" s="156"/>
      <c r="CP219" s="156"/>
      <c r="CQ219" s="156"/>
      <c r="CR219" s="156"/>
      <c r="CS219" s="158"/>
      <c r="CT219" s="142"/>
      <c r="CU219" s="142"/>
      <c r="CV219" s="142"/>
      <c r="CW219" s="142"/>
      <c r="CX219" s="142"/>
      <c r="CY219" s="142"/>
      <c r="CZ219" s="142"/>
      <c r="DA219" s="142"/>
    </row>
    <row r="220" spans="1:105" s="159" customFormat="1" ht="12.75" hidden="1" customHeight="1">
      <c r="A220" s="142" t="s">
        <v>254</v>
      </c>
      <c r="B220" s="140"/>
      <c r="C220" s="142" t="s">
        <v>89</v>
      </c>
      <c r="D220" s="137"/>
      <c r="E220" s="156">
        <f t="shared" si="40"/>
        <v>0</v>
      </c>
      <c r="F220" s="156"/>
      <c r="G220" s="156">
        <v>0</v>
      </c>
      <c r="H220" s="156"/>
      <c r="I220" s="156">
        <v>0</v>
      </c>
      <c r="J220" s="156"/>
      <c r="K220" s="156">
        <f t="shared" si="35"/>
        <v>0</v>
      </c>
      <c r="L220" s="156"/>
      <c r="M220" s="156">
        <v>0</v>
      </c>
      <c r="N220" s="156"/>
      <c r="O220" s="156">
        <v>0</v>
      </c>
      <c r="P220" s="156"/>
      <c r="Q220" s="156">
        <v>0</v>
      </c>
      <c r="R220" s="156"/>
      <c r="S220" s="156">
        <v>0</v>
      </c>
      <c r="T220" s="156"/>
      <c r="U220" s="156">
        <v>0</v>
      </c>
      <c r="V220" s="156"/>
      <c r="W220" s="156">
        <f t="shared" si="41"/>
        <v>0</v>
      </c>
      <c r="X220" s="156"/>
      <c r="Y220" s="142" t="s">
        <v>254</v>
      </c>
      <c r="AA220" s="142" t="s">
        <v>89</v>
      </c>
      <c r="AB220" s="142"/>
      <c r="AC220" s="156">
        <v>0</v>
      </c>
      <c r="AD220" s="156"/>
      <c r="AE220" s="156">
        <v>0</v>
      </c>
      <c r="AF220" s="156"/>
      <c r="AG220" s="156">
        <v>0</v>
      </c>
      <c r="AH220" s="156"/>
      <c r="AI220" s="143">
        <f t="shared" si="36"/>
        <v>0</v>
      </c>
      <c r="AJ220" s="143"/>
      <c r="AK220" s="156">
        <v>0</v>
      </c>
      <c r="AL220" s="143"/>
      <c r="AM220" s="156">
        <v>0</v>
      </c>
      <c r="AN220" s="156"/>
      <c r="AO220" s="156">
        <v>0</v>
      </c>
      <c r="AP220" s="156"/>
      <c r="AQ220" s="156">
        <v>0</v>
      </c>
      <c r="AR220" s="156"/>
      <c r="AS220" s="143">
        <f t="shared" si="37"/>
        <v>0</v>
      </c>
      <c r="AT220" s="143"/>
      <c r="AU220" s="156">
        <v>0</v>
      </c>
      <c r="AV220" s="156"/>
      <c r="AW220" s="156">
        <v>0</v>
      </c>
      <c r="AX220" s="156"/>
      <c r="AY220" s="156">
        <f t="shared" si="38"/>
        <v>0</v>
      </c>
      <c r="AZ220" s="156"/>
      <c r="BA220" s="142" t="s">
        <v>254</v>
      </c>
      <c r="BC220" s="142" t="s">
        <v>89</v>
      </c>
      <c r="BD220" s="156"/>
      <c r="BE220" s="156">
        <v>0</v>
      </c>
      <c r="BF220" s="156"/>
      <c r="BG220" s="156">
        <v>0</v>
      </c>
      <c r="BH220" s="156"/>
      <c r="BI220" s="156">
        <v>0</v>
      </c>
      <c r="BJ220" s="156"/>
      <c r="BK220" s="156">
        <v>0</v>
      </c>
      <c r="BL220" s="156"/>
      <c r="BM220" s="156">
        <f t="shared" si="39"/>
        <v>0</v>
      </c>
      <c r="BN220" s="158" t="s">
        <v>347</v>
      </c>
      <c r="BO220" s="142"/>
      <c r="BR220" s="140"/>
      <c r="BS220" s="156"/>
      <c r="BT220" s="156"/>
      <c r="BU220" s="156"/>
      <c r="BV220" s="156"/>
      <c r="BW220" s="143"/>
      <c r="BX220" s="143"/>
      <c r="BY220" s="156"/>
      <c r="BZ220" s="156"/>
      <c r="CA220" s="156"/>
      <c r="CB220" s="156"/>
      <c r="CC220" s="156"/>
      <c r="CD220" s="156"/>
      <c r="CE220" s="156"/>
      <c r="CF220" s="142"/>
      <c r="CH220" s="142"/>
      <c r="CI220" s="156"/>
      <c r="CJ220" s="156"/>
      <c r="CK220" s="156"/>
      <c r="CL220" s="156"/>
      <c r="CM220" s="156"/>
      <c r="CN220" s="156"/>
      <c r="CO220" s="156"/>
      <c r="CP220" s="156"/>
      <c r="CQ220" s="156"/>
      <c r="CR220" s="156"/>
      <c r="CS220" s="158"/>
      <c r="CT220" s="142"/>
    </row>
    <row r="221" spans="1:105" s="55" customFormat="1" ht="12.75" customHeight="1">
      <c r="A221" s="35" t="s">
        <v>159</v>
      </c>
      <c r="C221" s="35" t="s">
        <v>66</v>
      </c>
      <c r="D221" s="44"/>
      <c r="E221" s="53">
        <f>I221-G221</f>
        <v>784661</v>
      </c>
      <c r="F221" s="53"/>
      <c r="G221" s="53">
        <v>4350790</v>
      </c>
      <c r="H221" s="53"/>
      <c r="I221" s="53">
        <v>5135451</v>
      </c>
      <c r="J221" s="53"/>
      <c r="K221" s="53">
        <f>O221-M221</f>
        <v>498012</v>
      </c>
      <c r="L221" s="53"/>
      <c r="M221" s="53">
        <v>496827</v>
      </c>
      <c r="N221" s="53"/>
      <c r="O221" s="53">
        <v>994839</v>
      </c>
      <c r="P221" s="53"/>
      <c r="Q221" s="53">
        <v>3875888</v>
      </c>
      <c r="R221" s="53"/>
      <c r="S221" s="53">
        <v>0</v>
      </c>
      <c r="T221" s="53"/>
      <c r="U221" s="53">
        <v>282724</v>
      </c>
      <c r="V221" s="53"/>
      <c r="W221" s="53">
        <f>SUM(Q221:U221)</f>
        <v>4158612</v>
      </c>
      <c r="X221" s="53"/>
      <c r="Y221" s="35" t="s">
        <v>159</v>
      </c>
      <c r="AA221" s="35" t="s">
        <v>66</v>
      </c>
      <c r="AB221" s="35"/>
      <c r="AC221" s="53">
        <v>708682</v>
      </c>
      <c r="AD221" s="53"/>
      <c r="AE221" s="53">
        <v>496843</v>
      </c>
      <c r="AF221" s="53"/>
      <c r="AG221" s="53">
        <v>165548</v>
      </c>
      <c r="AH221" s="53"/>
      <c r="AI221" s="45">
        <f>+AC221-AE221-AG221</f>
        <v>46291</v>
      </c>
      <c r="AJ221" s="45"/>
      <c r="AK221" s="53">
        <v>27846</v>
      </c>
      <c r="AL221" s="45"/>
      <c r="AM221" s="53">
        <v>28050</v>
      </c>
      <c r="AN221" s="53"/>
      <c r="AO221" s="53">
        <v>0</v>
      </c>
      <c r="AP221" s="53"/>
      <c r="AQ221" s="53">
        <v>0</v>
      </c>
      <c r="AR221" s="53"/>
      <c r="AS221" s="45">
        <f>+AI221+AK221+AM221-AO221+AQ221</f>
        <v>102187</v>
      </c>
      <c r="AT221" s="45"/>
      <c r="AU221" s="53">
        <v>0</v>
      </c>
      <c r="AV221" s="53"/>
      <c r="AW221" s="53">
        <v>0</v>
      </c>
      <c r="AX221" s="53"/>
      <c r="AY221" s="53">
        <f>+E221-K221</f>
        <v>286649</v>
      </c>
      <c r="AZ221" s="53"/>
      <c r="BA221" s="35" t="s">
        <v>159</v>
      </c>
      <c r="BC221" s="35" t="s">
        <v>66</v>
      </c>
      <c r="BD221" s="53"/>
      <c r="BE221" s="53">
        <v>0</v>
      </c>
      <c r="BF221" s="53"/>
      <c r="BG221" s="53">
        <v>0</v>
      </c>
      <c r="BH221" s="53"/>
      <c r="BI221" s="53">
        <v>0</v>
      </c>
      <c r="BJ221" s="53"/>
      <c r="BK221" s="53">
        <v>496827</v>
      </c>
      <c r="BL221" s="53"/>
      <c r="BM221" s="53">
        <f>SUM(BE221:BK221)</f>
        <v>496827</v>
      </c>
      <c r="BN221" s="54" t="s">
        <v>347</v>
      </c>
      <c r="BR221" s="51"/>
      <c r="BS221" s="53"/>
      <c r="BT221" s="53"/>
      <c r="BU221" s="53"/>
      <c r="BV221" s="53"/>
      <c r="BW221" s="53"/>
      <c r="BX221" s="45"/>
      <c r="BY221" s="45"/>
      <c r="BZ221" s="53"/>
      <c r="CA221" s="53"/>
      <c r="CB221" s="53"/>
      <c r="CC221" s="53"/>
      <c r="CD221" s="53"/>
      <c r="CE221" s="53"/>
      <c r="CF221" s="35"/>
      <c r="CH221" s="35"/>
      <c r="CI221" s="53"/>
      <c r="CJ221" s="53"/>
      <c r="CK221" s="53"/>
      <c r="CL221" s="53"/>
      <c r="CM221" s="53"/>
      <c r="CN221" s="53"/>
      <c r="CO221" s="53"/>
      <c r="CP221" s="53"/>
      <c r="CQ221" s="53"/>
      <c r="CR221" s="53"/>
      <c r="CS221" s="54"/>
    </row>
    <row r="222" spans="1:105" s="159" customFormat="1" ht="12.75" hidden="1" customHeight="1">
      <c r="A222" s="142" t="s">
        <v>255</v>
      </c>
      <c r="B222" s="140"/>
      <c r="C222" s="142" t="s">
        <v>27</v>
      </c>
      <c r="D222" s="137"/>
      <c r="E222" s="156">
        <f t="shared" si="40"/>
        <v>0</v>
      </c>
      <c r="F222" s="156"/>
      <c r="G222" s="156"/>
      <c r="H222" s="156"/>
      <c r="I222" s="156"/>
      <c r="J222" s="156"/>
      <c r="K222" s="156">
        <f t="shared" si="35"/>
        <v>0</v>
      </c>
      <c r="L222" s="156"/>
      <c r="M222" s="156"/>
      <c r="N222" s="156"/>
      <c r="O222" s="156"/>
      <c r="P222" s="156"/>
      <c r="Q222" s="156"/>
      <c r="R222" s="156"/>
      <c r="S222" s="156"/>
      <c r="T222" s="156"/>
      <c r="U222" s="156"/>
      <c r="V222" s="156"/>
      <c r="W222" s="156">
        <f t="shared" si="41"/>
        <v>0</v>
      </c>
      <c r="X222" s="156"/>
      <c r="Y222" s="142" t="s">
        <v>255</v>
      </c>
      <c r="AA222" s="142" t="s">
        <v>27</v>
      </c>
      <c r="AB222" s="142"/>
      <c r="AC222" s="156"/>
      <c r="AD222" s="156"/>
      <c r="AE222" s="156"/>
      <c r="AF222" s="156"/>
      <c r="AG222" s="156"/>
      <c r="AH222" s="156"/>
      <c r="AI222" s="143">
        <f t="shared" si="36"/>
        <v>0</v>
      </c>
      <c r="AJ222" s="143"/>
      <c r="AK222" s="156"/>
      <c r="AL222" s="143"/>
      <c r="AM222" s="156"/>
      <c r="AN222" s="156"/>
      <c r="AO222" s="156"/>
      <c r="AP222" s="156"/>
      <c r="AQ222" s="156"/>
      <c r="AR222" s="156"/>
      <c r="AS222" s="143">
        <f t="shared" si="37"/>
        <v>0</v>
      </c>
      <c r="AT222" s="143"/>
      <c r="AU222" s="156">
        <v>0</v>
      </c>
      <c r="AV222" s="156"/>
      <c r="AW222" s="156">
        <v>0</v>
      </c>
      <c r="AX222" s="156"/>
      <c r="AY222" s="156">
        <f t="shared" si="38"/>
        <v>0</v>
      </c>
      <c r="AZ222" s="156"/>
      <c r="BA222" s="142" t="s">
        <v>255</v>
      </c>
      <c r="BC222" s="142" t="s">
        <v>27</v>
      </c>
      <c r="BD222" s="156"/>
      <c r="BE222" s="156"/>
      <c r="BF222" s="156"/>
      <c r="BG222" s="156"/>
      <c r="BH222" s="156"/>
      <c r="BI222" s="156"/>
      <c r="BJ222" s="156"/>
      <c r="BK222" s="156"/>
      <c r="BL222" s="156"/>
      <c r="BM222" s="156">
        <f t="shared" si="39"/>
        <v>0</v>
      </c>
      <c r="BN222" s="158" t="s">
        <v>347</v>
      </c>
      <c r="BR222" s="140"/>
      <c r="BS222" s="156"/>
      <c r="BT222" s="156"/>
      <c r="BU222" s="156"/>
      <c r="BV222" s="156"/>
      <c r="BW222" s="156"/>
      <c r="BX222" s="143"/>
      <c r="BY222" s="143"/>
      <c r="BZ222" s="156"/>
      <c r="CA222" s="156"/>
      <c r="CB222" s="156"/>
      <c r="CC222" s="156"/>
      <c r="CD222" s="156"/>
      <c r="CE222" s="156"/>
      <c r="CF222" s="142"/>
      <c r="CH222" s="142"/>
      <c r="CI222" s="156"/>
      <c r="CJ222" s="156"/>
      <c r="CK222" s="156"/>
      <c r="CL222" s="156"/>
      <c r="CM222" s="156"/>
      <c r="CN222" s="156"/>
      <c r="CO222" s="156"/>
      <c r="CP222" s="156"/>
      <c r="CQ222" s="156"/>
      <c r="CR222" s="156"/>
      <c r="CS222" s="158"/>
    </row>
    <row r="223" spans="1:105" s="55" customFormat="1" ht="12.75" customHeight="1">
      <c r="A223" s="35" t="s">
        <v>256</v>
      </c>
      <c r="C223" s="35" t="s">
        <v>43</v>
      </c>
      <c r="D223" s="44"/>
      <c r="E223" s="53">
        <f>I223-G223</f>
        <v>127926</v>
      </c>
      <c r="F223" s="53"/>
      <c r="G223" s="53">
        <v>4873721</v>
      </c>
      <c r="H223" s="53"/>
      <c r="I223" s="53">
        <v>5001647</v>
      </c>
      <c r="J223" s="53"/>
      <c r="K223" s="53">
        <f>O223-M223</f>
        <v>206278</v>
      </c>
      <c r="L223" s="53"/>
      <c r="M223" s="53">
        <v>991148</v>
      </c>
      <c r="N223" s="53"/>
      <c r="O223" s="53">
        <v>1197426</v>
      </c>
      <c r="P223" s="53"/>
      <c r="Q223" s="53">
        <v>3723113</v>
      </c>
      <c r="R223" s="53"/>
      <c r="S223" s="53">
        <v>0</v>
      </c>
      <c r="T223" s="53"/>
      <c r="U223" s="53">
        <v>81108</v>
      </c>
      <c r="V223" s="53"/>
      <c r="W223" s="53">
        <f>SUM(Q223:U223)</f>
        <v>3804221</v>
      </c>
      <c r="X223" s="53"/>
      <c r="Y223" s="35" t="s">
        <v>256</v>
      </c>
      <c r="AA223" s="35" t="s">
        <v>43</v>
      </c>
      <c r="AB223" s="35"/>
      <c r="AC223" s="53">
        <v>707767</v>
      </c>
      <c r="AD223" s="53"/>
      <c r="AE223" s="53">
        <v>453417</v>
      </c>
      <c r="AF223" s="53"/>
      <c r="AG223" s="53">
        <v>213692</v>
      </c>
      <c r="AH223" s="53"/>
      <c r="AI223" s="45">
        <f>+AC223-AE223-AG223</f>
        <v>40658</v>
      </c>
      <c r="AJ223" s="45"/>
      <c r="AK223" s="53">
        <v>-46953</v>
      </c>
      <c r="AL223" s="45"/>
      <c r="AM223" s="53">
        <v>0</v>
      </c>
      <c r="AN223" s="53"/>
      <c r="AO223" s="53">
        <v>0</v>
      </c>
      <c r="AP223" s="53"/>
      <c r="AQ223" s="53">
        <v>0</v>
      </c>
      <c r="AR223" s="53"/>
      <c r="AS223" s="45">
        <f>+AI223+AK223+AM223-AO223+AQ223</f>
        <v>-6295</v>
      </c>
      <c r="AT223" s="45"/>
      <c r="AU223" s="53">
        <v>0</v>
      </c>
      <c r="AV223" s="53"/>
      <c r="AW223" s="53">
        <v>0</v>
      </c>
      <c r="AX223" s="53"/>
      <c r="AY223" s="53">
        <f>+E223-K223</f>
        <v>-78352</v>
      </c>
      <c r="AZ223" s="53"/>
      <c r="BA223" s="35" t="s">
        <v>256</v>
      </c>
      <c r="BC223" s="35" t="s">
        <v>43</v>
      </c>
      <c r="BD223" s="53"/>
      <c r="BE223" s="53">
        <v>0</v>
      </c>
      <c r="BF223" s="53"/>
      <c r="BG223" s="53">
        <v>0</v>
      </c>
      <c r="BH223" s="53"/>
      <c r="BI223" s="53">
        <v>969939</v>
      </c>
      <c r="BJ223" s="53"/>
      <c r="BK223" s="53">
        <v>21209</v>
      </c>
      <c r="BL223" s="53"/>
      <c r="BM223" s="53">
        <f>SUM(BE223:BK223)</f>
        <v>991148</v>
      </c>
      <c r="BN223" s="54" t="s">
        <v>347</v>
      </c>
      <c r="BR223" s="51"/>
      <c r="BS223" s="53"/>
      <c r="BT223" s="53"/>
      <c r="BU223" s="53"/>
      <c r="BV223" s="53"/>
      <c r="BW223" s="53"/>
      <c r="BX223" s="45"/>
      <c r="BY223" s="45"/>
      <c r="BZ223" s="53"/>
      <c r="CA223" s="53"/>
      <c r="CB223" s="53"/>
      <c r="CC223" s="53"/>
      <c r="CD223" s="53"/>
      <c r="CE223" s="53"/>
      <c r="CF223" s="35"/>
      <c r="CH223" s="35"/>
      <c r="CI223" s="53"/>
      <c r="CJ223" s="53"/>
      <c r="CK223" s="53"/>
      <c r="CL223" s="53"/>
      <c r="CM223" s="53"/>
      <c r="CN223" s="53"/>
      <c r="CO223" s="53"/>
      <c r="CP223" s="53"/>
      <c r="CQ223" s="53"/>
      <c r="CR223" s="53"/>
      <c r="CS223" s="54"/>
    </row>
    <row r="224" spans="1:105" s="55" customFormat="1" ht="12.75" customHeight="1">
      <c r="A224" s="35" t="s">
        <v>257</v>
      </c>
      <c r="B224" s="51"/>
      <c r="C224" s="35" t="s">
        <v>258</v>
      </c>
      <c r="D224" s="44"/>
      <c r="E224" s="53">
        <f>I224-G224</f>
        <v>277707</v>
      </c>
      <c r="F224" s="53"/>
      <c r="G224" s="53">
        <v>9211061</v>
      </c>
      <c r="H224" s="53"/>
      <c r="I224" s="53">
        <v>9488768</v>
      </c>
      <c r="J224" s="53"/>
      <c r="K224" s="53">
        <f>O224-M224</f>
        <v>45009</v>
      </c>
      <c r="L224" s="53"/>
      <c r="M224" s="53">
        <v>0</v>
      </c>
      <c r="N224" s="53"/>
      <c r="O224" s="53">
        <v>45009</v>
      </c>
      <c r="P224" s="53"/>
      <c r="Q224" s="53">
        <v>9211061</v>
      </c>
      <c r="R224" s="53"/>
      <c r="S224" s="53">
        <v>0</v>
      </c>
      <c r="T224" s="53"/>
      <c r="U224" s="53">
        <v>232698</v>
      </c>
      <c r="V224" s="53"/>
      <c r="W224" s="53">
        <f>SUM(Q224:U224)</f>
        <v>9443759</v>
      </c>
      <c r="X224" s="53"/>
      <c r="Y224" s="35" t="s">
        <v>257</v>
      </c>
      <c r="AA224" s="35" t="s">
        <v>258</v>
      </c>
      <c r="AB224" s="35"/>
      <c r="AC224" s="53">
        <v>716798</v>
      </c>
      <c r="AD224" s="53"/>
      <c r="AE224" s="53">
        <v>470343</v>
      </c>
      <c r="AF224" s="53"/>
      <c r="AG224" s="53">
        <v>201728</v>
      </c>
      <c r="AH224" s="53"/>
      <c r="AI224" s="45">
        <f>+AC224-AE224-AG224</f>
        <v>44727</v>
      </c>
      <c r="AJ224" s="45"/>
      <c r="AK224" s="53">
        <v>3936</v>
      </c>
      <c r="AL224" s="45"/>
      <c r="AM224" s="53">
        <v>0</v>
      </c>
      <c r="AN224" s="53"/>
      <c r="AO224" s="53">
        <v>0</v>
      </c>
      <c r="AP224" s="53"/>
      <c r="AQ224" s="53">
        <v>0</v>
      </c>
      <c r="AR224" s="53"/>
      <c r="AS224" s="45">
        <f>+AI224+AK224+AM224-AO224+AQ224</f>
        <v>48663</v>
      </c>
      <c r="AT224" s="45"/>
      <c r="AU224" s="53">
        <v>0</v>
      </c>
      <c r="AV224" s="53"/>
      <c r="AW224" s="53">
        <v>0</v>
      </c>
      <c r="AX224" s="53"/>
      <c r="AY224" s="53">
        <f>+E224-K224</f>
        <v>232698</v>
      </c>
      <c r="AZ224" s="53"/>
      <c r="BA224" s="35" t="s">
        <v>257</v>
      </c>
      <c r="BC224" s="35" t="s">
        <v>258</v>
      </c>
      <c r="BD224" s="53"/>
      <c r="BE224" s="53">
        <v>0</v>
      </c>
      <c r="BF224" s="53"/>
      <c r="BG224" s="53">
        <v>0</v>
      </c>
      <c r="BH224" s="53"/>
      <c r="BI224" s="53">
        <v>0</v>
      </c>
      <c r="BJ224" s="53"/>
      <c r="BK224" s="53">
        <v>0</v>
      </c>
      <c r="BL224" s="53"/>
      <c r="BM224" s="53">
        <f t="shared" si="39"/>
        <v>0</v>
      </c>
      <c r="BN224" s="54" t="s">
        <v>347</v>
      </c>
      <c r="BR224" s="51"/>
      <c r="BS224" s="53"/>
      <c r="BT224" s="53"/>
      <c r="BU224" s="53"/>
      <c r="BV224" s="53"/>
      <c r="BW224" s="53"/>
      <c r="BX224" s="45"/>
      <c r="BY224" s="45"/>
      <c r="BZ224" s="53"/>
      <c r="CA224" s="53"/>
      <c r="CB224" s="53"/>
      <c r="CC224" s="53"/>
      <c r="CD224" s="53"/>
      <c r="CE224" s="53"/>
      <c r="CF224" s="35"/>
      <c r="CH224" s="35"/>
      <c r="CI224" s="53"/>
      <c r="CJ224" s="53"/>
      <c r="CK224" s="53"/>
      <c r="CL224" s="53"/>
      <c r="CM224" s="53"/>
      <c r="CN224" s="53"/>
      <c r="CO224" s="53"/>
      <c r="CP224" s="53"/>
      <c r="CQ224" s="53"/>
      <c r="CR224" s="53"/>
      <c r="CS224" s="54"/>
    </row>
    <row r="225" spans="1:97" s="55" customFormat="1" ht="12.75" customHeight="1">
      <c r="A225" s="35" t="s">
        <v>259</v>
      </c>
      <c r="B225" s="51"/>
      <c r="C225" s="35" t="s">
        <v>369</v>
      </c>
      <c r="D225" s="44"/>
      <c r="E225" s="53">
        <f t="shared" si="40"/>
        <v>984618</v>
      </c>
      <c r="F225" s="53"/>
      <c r="G225" s="53">
        <v>2802932</v>
      </c>
      <c r="H225" s="53"/>
      <c r="I225" s="53">
        <v>3787550</v>
      </c>
      <c r="J225" s="53"/>
      <c r="K225" s="53">
        <f t="shared" si="35"/>
        <v>1520700</v>
      </c>
      <c r="L225" s="53"/>
      <c r="M225" s="53">
        <v>1412726</v>
      </c>
      <c r="N225" s="53"/>
      <c r="O225" s="53">
        <v>2933426</v>
      </c>
      <c r="P225" s="53"/>
      <c r="Q225" s="53">
        <v>885728</v>
      </c>
      <c r="R225" s="53"/>
      <c r="S225" s="53">
        <v>0</v>
      </c>
      <c r="T225" s="53"/>
      <c r="U225" s="53">
        <v>-31604</v>
      </c>
      <c r="V225" s="53"/>
      <c r="W225" s="53">
        <f t="shared" si="41"/>
        <v>854124</v>
      </c>
      <c r="X225" s="53"/>
      <c r="Y225" s="35" t="s">
        <v>259</v>
      </c>
      <c r="AA225" s="35" t="s">
        <v>369</v>
      </c>
      <c r="AB225" s="35"/>
      <c r="AC225" s="53">
        <v>1826359</v>
      </c>
      <c r="AD225" s="53"/>
      <c r="AE225" s="53">
        <v>1498522</v>
      </c>
      <c r="AF225" s="53"/>
      <c r="AG225" s="53">
        <v>216877</v>
      </c>
      <c r="AH225" s="53"/>
      <c r="AI225" s="45">
        <f t="shared" si="36"/>
        <v>110960</v>
      </c>
      <c r="AJ225" s="45"/>
      <c r="AK225" s="53">
        <v>-195098</v>
      </c>
      <c r="AL225" s="45"/>
      <c r="AM225" s="53">
        <v>0</v>
      </c>
      <c r="AN225" s="53"/>
      <c r="AO225" s="53">
        <v>0</v>
      </c>
      <c r="AP225" s="53"/>
      <c r="AQ225" s="53">
        <v>0</v>
      </c>
      <c r="AR225" s="53"/>
      <c r="AS225" s="45">
        <f t="shared" si="37"/>
        <v>-84138</v>
      </c>
      <c r="AT225" s="45"/>
      <c r="AU225" s="53">
        <v>0</v>
      </c>
      <c r="AV225" s="53"/>
      <c r="AW225" s="53">
        <v>0</v>
      </c>
      <c r="AX225" s="53"/>
      <c r="AY225" s="53">
        <f t="shared" si="38"/>
        <v>-536082</v>
      </c>
      <c r="AZ225" s="53"/>
      <c r="BA225" s="35" t="s">
        <v>259</v>
      </c>
      <c r="BC225" s="35" t="s">
        <v>369</v>
      </c>
      <c r="BD225" s="53"/>
      <c r="BE225" s="53">
        <v>0</v>
      </c>
      <c r="BF225" s="53"/>
      <c r="BG225" s="53">
        <v>0</v>
      </c>
      <c r="BH225" s="53"/>
      <c r="BI225" s="53">
        <v>1395040</v>
      </c>
      <c r="BJ225" s="53"/>
      <c r="BK225" s="53">
        <v>17686</v>
      </c>
      <c r="BL225" s="53"/>
      <c r="BM225" s="53">
        <f t="shared" si="39"/>
        <v>1412726</v>
      </c>
      <c r="BN225" s="54" t="s">
        <v>347</v>
      </c>
      <c r="BO225" s="55" t="s">
        <v>405</v>
      </c>
      <c r="BR225" s="51"/>
      <c r="BS225" s="53"/>
      <c r="BT225" s="53"/>
      <c r="BU225" s="53"/>
      <c r="BV225" s="53"/>
      <c r="BW225" s="45"/>
      <c r="BX225" s="45"/>
      <c r="BY225" s="53"/>
      <c r="BZ225" s="53"/>
      <c r="CA225" s="53"/>
      <c r="CB225" s="53"/>
      <c r="CC225" s="53"/>
      <c r="CD225" s="53"/>
      <c r="CE225" s="53"/>
      <c r="CF225" s="35"/>
      <c r="CH225" s="35"/>
      <c r="CI225" s="53"/>
      <c r="CJ225" s="53"/>
      <c r="CK225" s="53"/>
      <c r="CL225" s="53"/>
      <c r="CM225" s="53"/>
      <c r="CN225" s="53"/>
      <c r="CO225" s="53"/>
      <c r="CP225" s="53"/>
      <c r="CQ225" s="53"/>
      <c r="CR225" s="53"/>
      <c r="CS225" s="54"/>
    </row>
    <row r="226" spans="1:97" s="55" customFormat="1" ht="12.75" customHeight="1">
      <c r="A226" s="35" t="s">
        <v>261</v>
      </c>
      <c r="B226" s="51"/>
      <c r="C226" s="35" t="s">
        <v>66</v>
      </c>
      <c r="D226" s="44"/>
      <c r="E226" s="53">
        <f t="shared" si="40"/>
        <v>869283</v>
      </c>
      <c r="F226" s="53"/>
      <c r="G226" s="53">
        <v>16167145</v>
      </c>
      <c r="H226" s="53"/>
      <c r="I226" s="53">
        <v>17036428</v>
      </c>
      <c r="J226" s="53"/>
      <c r="K226" s="53">
        <f t="shared" si="35"/>
        <v>123434</v>
      </c>
      <c r="L226" s="53"/>
      <c r="M226" s="53">
        <v>23830</v>
      </c>
      <c r="N226" s="53"/>
      <c r="O226" s="53">
        <v>147264</v>
      </c>
      <c r="P226" s="53"/>
      <c r="Q226" s="53">
        <v>8579692</v>
      </c>
      <c r="R226" s="53"/>
      <c r="S226" s="53">
        <v>0</v>
      </c>
      <c r="T226" s="53"/>
      <c r="U226" s="53">
        <v>8309472</v>
      </c>
      <c r="V226" s="53"/>
      <c r="W226" s="53">
        <f t="shared" si="41"/>
        <v>16889164</v>
      </c>
      <c r="X226" s="53"/>
      <c r="Y226" s="35" t="s">
        <v>261</v>
      </c>
      <c r="AA226" s="35" t="s">
        <v>66</v>
      </c>
      <c r="AB226" s="35"/>
      <c r="AC226" s="53">
        <v>1623583</v>
      </c>
      <c r="AD226" s="53"/>
      <c r="AE226" s="53">
        <v>1295823</v>
      </c>
      <c r="AF226" s="53"/>
      <c r="AG226" s="53">
        <v>233763</v>
      </c>
      <c r="AH226" s="53"/>
      <c r="AI226" s="45">
        <f t="shared" si="36"/>
        <v>93997</v>
      </c>
      <c r="AJ226" s="45"/>
      <c r="AK226" s="53">
        <v>709584</v>
      </c>
      <c r="AL226" s="45"/>
      <c r="AM226" s="53">
        <v>0</v>
      </c>
      <c r="AN226" s="53"/>
      <c r="AO226" s="53">
        <v>0</v>
      </c>
      <c r="AP226" s="53"/>
      <c r="AQ226" s="53">
        <v>260139</v>
      </c>
      <c r="AR226" s="53"/>
      <c r="AS226" s="45">
        <f t="shared" si="37"/>
        <v>1063720</v>
      </c>
      <c r="AT226" s="45"/>
      <c r="AU226" s="53">
        <v>0</v>
      </c>
      <c r="AV226" s="53"/>
      <c r="AW226" s="53">
        <v>0</v>
      </c>
      <c r="AX226" s="53"/>
      <c r="AY226" s="53">
        <f t="shared" si="38"/>
        <v>745849</v>
      </c>
      <c r="AZ226" s="53"/>
      <c r="BA226" s="35" t="s">
        <v>261</v>
      </c>
      <c r="BC226" s="35" t="s">
        <v>66</v>
      </c>
      <c r="BD226" s="53"/>
      <c r="BE226" s="53">
        <v>0</v>
      </c>
      <c r="BF226" s="53"/>
      <c r="BG226" s="53">
        <v>0</v>
      </c>
      <c r="BH226" s="53"/>
      <c r="BI226" s="53">
        <v>0</v>
      </c>
      <c r="BJ226" s="53"/>
      <c r="BK226" s="53">
        <v>23830</v>
      </c>
      <c r="BL226" s="53"/>
      <c r="BM226" s="53">
        <f t="shared" si="39"/>
        <v>23830</v>
      </c>
      <c r="BN226" s="54" t="s">
        <v>347</v>
      </c>
      <c r="BR226" s="51"/>
      <c r="BS226" s="53"/>
      <c r="BT226" s="53"/>
      <c r="BU226" s="53"/>
      <c r="BV226" s="53"/>
      <c r="BW226" s="53"/>
      <c r="BX226" s="45"/>
      <c r="BY226" s="45"/>
      <c r="BZ226" s="53"/>
      <c r="CA226" s="53"/>
      <c r="CB226" s="53"/>
      <c r="CC226" s="53"/>
      <c r="CD226" s="53"/>
      <c r="CE226" s="53"/>
      <c r="CF226" s="35"/>
      <c r="CH226" s="35"/>
      <c r="CI226" s="53"/>
      <c r="CJ226" s="53"/>
      <c r="CK226" s="53"/>
      <c r="CL226" s="53"/>
      <c r="CM226" s="53"/>
      <c r="CN226" s="53"/>
      <c r="CO226" s="53"/>
      <c r="CP226" s="53"/>
      <c r="CQ226" s="53"/>
      <c r="CR226" s="53"/>
      <c r="CS226" s="54"/>
    </row>
    <row r="227" spans="1:97" s="55" customFormat="1" ht="12.75" customHeight="1">
      <c r="A227" s="35" t="s">
        <v>262</v>
      </c>
      <c r="C227" s="35" t="s">
        <v>132</v>
      </c>
      <c r="D227" s="44"/>
      <c r="E227" s="53">
        <f t="shared" si="40"/>
        <v>885764</v>
      </c>
      <c r="F227" s="53"/>
      <c r="G227" s="53">
        <v>5460599</v>
      </c>
      <c r="H227" s="53"/>
      <c r="I227" s="53">
        <v>6346363</v>
      </c>
      <c r="J227" s="53"/>
      <c r="K227" s="53">
        <f t="shared" si="35"/>
        <v>2131647</v>
      </c>
      <c r="L227" s="53"/>
      <c r="M227" s="53">
        <v>3898519</v>
      </c>
      <c r="N227" s="53"/>
      <c r="O227" s="53">
        <v>6030166</v>
      </c>
      <c r="P227" s="53"/>
      <c r="Q227" s="53">
        <v>865788</v>
      </c>
      <c r="R227" s="53"/>
      <c r="S227" s="53">
        <v>0</v>
      </c>
      <c r="T227" s="53"/>
      <c r="U227" s="53">
        <v>-549591</v>
      </c>
      <c r="V227" s="53"/>
      <c r="W227" s="53">
        <f t="shared" si="41"/>
        <v>316197</v>
      </c>
      <c r="X227" s="53"/>
      <c r="Y227" s="35" t="s">
        <v>262</v>
      </c>
      <c r="AA227" s="35" t="s">
        <v>132</v>
      </c>
      <c r="AB227" s="35"/>
      <c r="AC227" s="53">
        <v>1688110</v>
      </c>
      <c r="AD227" s="53"/>
      <c r="AE227" s="53">
        <f>1563696-208274</f>
        <v>1355422</v>
      </c>
      <c r="AF227" s="53"/>
      <c r="AG227" s="53">
        <v>208274</v>
      </c>
      <c r="AH227" s="53"/>
      <c r="AI227" s="45">
        <f t="shared" si="36"/>
        <v>124414</v>
      </c>
      <c r="AJ227" s="45"/>
      <c r="AK227" s="53">
        <v>-209336</v>
      </c>
      <c r="AL227" s="45"/>
      <c r="AM227" s="53">
        <v>37635</v>
      </c>
      <c r="AN227" s="53"/>
      <c r="AO227" s="53">
        <v>0</v>
      </c>
      <c r="AP227" s="53"/>
      <c r="AQ227" s="53">
        <v>0</v>
      </c>
      <c r="AR227" s="53"/>
      <c r="AS227" s="45">
        <f t="shared" si="37"/>
        <v>-47287</v>
      </c>
      <c r="AT227" s="45"/>
      <c r="AU227" s="53">
        <v>0</v>
      </c>
      <c r="AV227" s="53"/>
      <c r="AW227" s="53">
        <v>0</v>
      </c>
      <c r="AX227" s="53"/>
      <c r="AY227" s="53">
        <f t="shared" si="38"/>
        <v>-1245883</v>
      </c>
      <c r="AZ227" s="53"/>
      <c r="BA227" s="35" t="s">
        <v>262</v>
      </c>
      <c r="BC227" s="35" t="s">
        <v>132</v>
      </c>
      <c r="BD227" s="53"/>
      <c r="BE227" s="53">
        <f>645000+1275000+360320</f>
        <v>2280320</v>
      </c>
      <c r="BF227" s="53"/>
      <c r="BG227" s="53">
        <v>959680</v>
      </c>
      <c r="BH227" s="53"/>
      <c r="BI227" s="53">
        <v>0</v>
      </c>
      <c r="BJ227" s="53"/>
      <c r="BK227" s="53">
        <v>0</v>
      </c>
      <c r="BL227" s="53"/>
      <c r="BM227" s="53">
        <f t="shared" si="39"/>
        <v>3240000</v>
      </c>
      <c r="BN227" s="54" t="s">
        <v>347</v>
      </c>
      <c r="BR227" s="51"/>
      <c r="BS227" s="53"/>
      <c r="BT227" s="53"/>
      <c r="BU227" s="53"/>
      <c r="BV227" s="53"/>
      <c r="BW227" s="53"/>
      <c r="BX227" s="45"/>
      <c r="BY227" s="45"/>
      <c r="BZ227" s="53"/>
      <c r="CA227" s="53"/>
      <c r="CB227" s="53"/>
      <c r="CC227" s="53"/>
      <c r="CD227" s="53"/>
      <c r="CE227" s="53"/>
      <c r="CF227" s="35"/>
      <c r="CH227" s="35"/>
      <c r="CI227" s="53"/>
      <c r="CJ227" s="53"/>
      <c r="CK227" s="53"/>
      <c r="CL227" s="53"/>
      <c r="CM227" s="53"/>
      <c r="CN227" s="53"/>
      <c r="CO227" s="53"/>
      <c r="CP227" s="53"/>
      <c r="CQ227" s="53"/>
      <c r="CR227" s="53"/>
      <c r="CS227" s="54"/>
    </row>
    <row r="228" spans="1:97" s="55" customFormat="1" ht="12.75" customHeight="1">
      <c r="A228" s="35" t="s">
        <v>263</v>
      </c>
      <c r="B228" s="51"/>
      <c r="C228" s="35" t="s">
        <v>53</v>
      </c>
      <c r="D228" s="44"/>
      <c r="E228" s="53">
        <f t="shared" si="40"/>
        <v>6150284</v>
      </c>
      <c r="F228" s="53"/>
      <c r="G228" s="53">
        <v>27107965</v>
      </c>
      <c r="H228" s="53"/>
      <c r="I228" s="53">
        <v>33258249</v>
      </c>
      <c r="J228" s="53"/>
      <c r="K228" s="53">
        <f t="shared" si="35"/>
        <v>152767</v>
      </c>
      <c r="L228" s="53"/>
      <c r="M228" s="53">
        <v>21320742</v>
      </c>
      <c r="N228" s="53"/>
      <c r="O228" s="53">
        <v>21473509</v>
      </c>
      <c r="P228" s="53"/>
      <c r="Q228" s="53">
        <v>5988713</v>
      </c>
      <c r="R228" s="53"/>
      <c r="S228" s="53">
        <v>0</v>
      </c>
      <c r="T228" s="53"/>
      <c r="U228" s="53">
        <v>5796027</v>
      </c>
      <c r="V228" s="53"/>
      <c r="W228" s="53">
        <f t="shared" si="41"/>
        <v>11784740</v>
      </c>
      <c r="X228" s="53"/>
      <c r="Y228" s="35" t="s">
        <v>263</v>
      </c>
      <c r="AA228" s="35" t="s">
        <v>53</v>
      </c>
      <c r="AB228" s="35"/>
      <c r="AC228" s="53">
        <v>3609670</v>
      </c>
      <c r="AD228" s="53"/>
      <c r="AE228" s="53">
        <v>2283481</v>
      </c>
      <c r="AF228" s="53"/>
      <c r="AG228" s="53">
        <v>168609</v>
      </c>
      <c r="AH228" s="53"/>
      <c r="AI228" s="45">
        <f t="shared" si="36"/>
        <v>1157580</v>
      </c>
      <c r="AJ228" s="45"/>
      <c r="AK228" s="53">
        <v>122394</v>
      </c>
      <c r="AL228" s="45"/>
      <c r="AM228" s="53">
        <v>0</v>
      </c>
      <c r="AN228" s="53"/>
      <c r="AO228" s="53">
        <v>0</v>
      </c>
      <c r="AP228" s="53"/>
      <c r="AQ228" s="53">
        <v>0</v>
      </c>
      <c r="AR228" s="53"/>
      <c r="AS228" s="45">
        <f t="shared" si="37"/>
        <v>1279974</v>
      </c>
      <c r="AT228" s="45"/>
      <c r="AU228" s="53">
        <v>0</v>
      </c>
      <c r="AV228" s="53"/>
      <c r="AW228" s="53">
        <v>0</v>
      </c>
      <c r="AX228" s="53"/>
      <c r="AY228" s="53">
        <f t="shared" si="38"/>
        <v>5997517</v>
      </c>
      <c r="AZ228" s="53"/>
      <c r="BA228" s="35" t="s">
        <v>263</v>
      </c>
      <c r="BC228" s="35" t="s">
        <v>53</v>
      </c>
      <c r="BD228" s="53"/>
      <c r="BE228" s="53">
        <v>0</v>
      </c>
      <c r="BF228" s="53"/>
      <c r="BG228" s="53">
        <v>0</v>
      </c>
      <c r="BH228" s="53"/>
      <c r="BI228" s="53">
        <v>21119252</v>
      </c>
      <c r="BJ228" s="53"/>
      <c r="BK228" s="53">
        <v>201490</v>
      </c>
      <c r="BL228" s="53"/>
      <c r="BM228" s="53">
        <f t="shared" si="39"/>
        <v>21320742</v>
      </c>
      <c r="BN228" s="54" t="s">
        <v>347</v>
      </c>
      <c r="BO228" s="55" t="s">
        <v>410</v>
      </c>
      <c r="BR228" s="51"/>
      <c r="BS228" s="53"/>
      <c r="BT228" s="53"/>
      <c r="BU228" s="53"/>
      <c r="BV228" s="53"/>
      <c r="BW228" s="53"/>
      <c r="BX228" s="45"/>
      <c r="BY228" s="45"/>
      <c r="BZ228" s="53"/>
      <c r="CA228" s="53"/>
      <c r="CB228" s="53"/>
      <c r="CC228" s="53"/>
      <c r="CD228" s="53"/>
      <c r="CE228" s="53"/>
      <c r="CF228" s="35"/>
      <c r="CH228" s="35"/>
      <c r="CI228" s="53"/>
      <c r="CJ228" s="53"/>
      <c r="CK228" s="53"/>
      <c r="CL228" s="53"/>
      <c r="CM228" s="53"/>
      <c r="CN228" s="53"/>
      <c r="CO228" s="53"/>
      <c r="CP228" s="53"/>
      <c r="CQ228" s="53"/>
      <c r="CR228" s="53"/>
      <c r="CS228" s="54"/>
    </row>
    <row r="229" spans="1:97" s="55" customFormat="1" ht="12.75" customHeight="1">
      <c r="A229" s="35" t="s">
        <v>264</v>
      </c>
      <c r="B229" s="51"/>
      <c r="C229" s="35" t="s">
        <v>239</v>
      </c>
      <c r="D229" s="44"/>
      <c r="E229" s="53">
        <f t="shared" si="40"/>
        <v>1380032</v>
      </c>
      <c r="F229" s="53"/>
      <c r="G229" s="53">
        <v>16165846</v>
      </c>
      <c r="H229" s="53"/>
      <c r="I229" s="53">
        <v>17545878</v>
      </c>
      <c r="J229" s="53"/>
      <c r="K229" s="53">
        <f t="shared" si="35"/>
        <v>524808</v>
      </c>
      <c r="L229" s="53"/>
      <c r="M229" s="53">
        <v>9737471</v>
      </c>
      <c r="N229" s="53"/>
      <c r="O229" s="53">
        <v>10262279</v>
      </c>
      <c r="P229" s="53"/>
      <c r="Q229" s="53">
        <v>4883999</v>
      </c>
      <c r="R229" s="53"/>
      <c r="S229" s="53">
        <v>1236810</v>
      </c>
      <c r="T229" s="53"/>
      <c r="U229" s="53">
        <v>1162790</v>
      </c>
      <c r="V229" s="53"/>
      <c r="W229" s="53">
        <f t="shared" si="41"/>
        <v>7283599</v>
      </c>
      <c r="X229" s="53"/>
      <c r="Y229" s="35" t="s">
        <v>264</v>
      </c>
      <c r="AA229" s="35" t="s">
        <v>239</v>
      </c>
      <c r="AB229" s="35"/>
      <c r="AC229" s="53">
        <v>1901746</v>
      </c>
      <c r="AD229" s="53"/>
      <c r="AE229" s="53">
        <v>1176047</v>
      </c>
      <c r="AF229" s="53"/>
      <c r="AG229" s="53">
        <v>448191</v>
      </c>
      <c r="AH229" s="53"/>
      <c r="AI229" s="45">
        <f t="shared" si="36"/>
        <v>277508</v>
      </c>
      <c r="AJ229" s="45"/>
      <c r="AK229" s="53">
        <v>-409303</v>
      </c>
      <c r="AL229" s="45"/>
      <c r="AM229" s="53">
        <v>0</v>
      </c>
      <c r="AN229" s="53"/>
      <c r="AO229" s="53">
        <v>43869</v>
      </c>
      <c r="AP229" s="53"/>
      <c r="AQ229" s="53">
        <v>0</v>
      </c>
      <c r="AR229" s="53"/>
      <c r="AS229" s="45">
        <f t="shared" si="37"/>
        <v>-175664</v>
      </c>
      <c r="AT229" s="45"/>
      <c r="AU229" s="53">
        <v>0</v>
      </c>
      <c r="AV229" s="53"/>
      <c r="AW229" s="53">
        <v>0</v>
      </c>
      <c r="AX229" s="53"/>
      <c r="AY229" s="53">
        <f t="shared" si="38"/>
        <v>855224</v>
      </c>
      <c r="AZ229" s="53"/>
      <c r="BA229" s="35" t="s">
        <v>264</v>
      </c>
      <c r="BC229" s="35" t="s">
        <v>239</v>
      </c>
      <c r="BD229" s="53"/>
      <c r="BE229" s="53">
        <v>0</v>
      </c>
      <c r="BF229" s="53"/>
      <c r="BG229" s="53">
        <v>9641450</v>
      </c>
      <c r="BH229" s="53"/>
      <c r="BI229" s="53">
        <v>0</v>
      </c>
      <c r="BJ229" s="53"/>
      <c r="BK229" s="53">
        <v>96021</v>
      </c>
      <c r="BL229" s="53"/>
      <c r="BM229" s="53">
        <f t="shared" si="39"/>
        <v>9737471</v>
      </c>
      <c r="BN229" s="54" t="s">
        <v>347</v>
      </c>
      <c r="BR229" s="51"/>
      <c r="BS229" s="53"/>
      <c r="BT229" s="53"/>
      <c r="BU229" s="53"/>
      <c r="BV229" s="53"/>
      <c r="BW229" s="53"/>
      <c r="BX229" s="45"/>
      <c r="BY229" s="45"/>
      <c r="BZ229" s="53"/>
      <c r="CA229" s="53"/>
      <c r="CB229" s="53"/>
      <c r="CC229" s="53"/>
      <c r="CD229" s="53"/>
      <c r="CE229" s="53"/>
      <c r="CF229" s="35"/>
      <c r="CH229" s="35"/>
      <c r="CI229" s="53"/>
      <c r="CJ229" s="53"/>
      <c r="CK229" s="53"/>
      <c r="CL229" s="53"/>
      <c r="CM229" s="53"/>
      <c r="CN229" s="53"/>
      <c r="CO229" s="53"/>
      <c r="CP229" s="53"/>
      <c r="CQ229" s="53"/>
      <c r="CR229" s="53"/>
      <c r="CS229" s="54"/>
    </row>
    <row r="230" spans="1:97" s="55" customFormat="1" ht="12.75" customHeight="1">
      <c r="A230" s="35" t="s">
        <v>111</v>
      </c>
      <c r="B230" s="51"/>
      <c r="C230" s="44" t="s">
        <v>80</v>
      </c>
      <c r="D230" s="44"/>
      <c r="E230" s="53">
        <f t="shared" si="40"/>
        <v>19429825</v>
      </c>
      <c r="F230" s="53"/>
      <c r="G230" s="53">
        <v>1738930</v>
      </c>
      <c r="H230" s="53"/>
      <c r="I230" s="53">
        <v>21168755</v>
      </c>
      <c r="J230" s="53"/>
      <c r="K230" s="53">
        <f t="shared" si="35"/>
        <v>2341670</v>
      </c>
      <c r="L230" s="53"/>
      <c r="M230" s="53">
        <v>15653852</v>
      </c>
      <c r="N230" s="53"/>
      <c r="O230" s="53">
        <v>17995522</v>
      </c>
      <c r="P230" s="53"/>
      <c r="Q230" s="53">
        <v>362445</v>
      </c>
      <c r="R230" s="53"/>
      <c r="S230" s="53">
        <v>0</v>
      </c>
      <c r="T230" s="53"/>
      <c r="U230" s="53">
        <v>2810788</v>
      </c>
      <c r="V230" s="53"/>
      <c r="W230" s="53">
        <f t="shared" si="41"/>
        <v>3173233</v>
      </c>
      <c r="X230" s="53"/>
      <c r="Y230" s="35" t="s">
        <v>111</v>
      </c>
      <c r="AA230" s="44" t="s">
        <v>80</v>
      </c>
      <c r="AB230" s="44"/>
      <c r="AC230" s="53">
        <v>8851957</v>
      </c>
      <c r="AD230" s="53"/>
      <c r="AE230" s="53">
        <v>5857366</v>
      </c>
      <c r="AF230" s="53"/>
      <c r="AG230" s="53">
        <v>1374251</v>
      </c>
      <c r="AH230" s="53"/>
      <c r="AI230" s="45">
        <f t="shared" si="36"/>
        <v>1620340</v>
      </c>
      <c r="AJ230" s="45"/>
      <c r="AK230" s="53">
        <v>-552304</v>
      </c>
      <c r="AL230" s="45"/>
      <c r="AM230" s="53">
        <v>0</v>
      </c>
      <c r="AN230" s="53"/>
      <c r="AO230" s="53">
        <v>24886</v>
      </c>
      <c r="AP230" s="53"/>
      <c r="AQ230" s="53">
        <v>0</v>
      </c>
      <c r="AR230" s="53"/>
      <c r="AS230" s="45">
        <f t="shared" si="37"/>
        <v>1043150</v>
      </c>
      <c r="AT230" s="45"/>
      <c r="AU230" s="53">
        <v>0</v>
      </c>
      <c r="AV230" s="53"/>
      <c r="AW230" s="53">
        <v>0</v>
      </c>
      <c r="AX230" s="53"/>
      <c r="AY230" s="53">
        <f t="shared" si="38"/>
        <v>17088155</v>
      </c>
      <c r="AZ230" s="53"/>
      <c r="BA230" s="35" t="s">
        <v>111</v>
      </c>
      <c r="BC230" s="44" t="s">
        <v>80</v>
      </c>
      <c r="BD230" s="53"/>
      <c r="BE230" s="53">
        <v>2552568</v>
      </c>
      <c r="BF230" s="53"/>
      <c r="BG230" s="53">
        <v>0</v>
      </c>
      <c r="BH230" s="53"/>
      <c r="BI230" s="53">
        <v>12631353</v>
      </c>
      <c r="BJ230" s="53"/>
      <c r="BK230" s="53">
        <v>469931</v>
      </c>
      <c r="BL230" s="53"/>
      <c r="BM230" s="53">
        <f t="shared" si="39"/>
        <v>15653852</v>
      </c>
      <c r="BN230" s="54" t="s">
        <v>347</v>
      </c>
      <c r="BR230" s="51"/>
      <c r="BS230" s="53"/>
      <c r="BT230" s="53"/>
      <c r="BU230" s="53"/>
      <c r="BV230" s="53"/>
      <c r="BW230" s="53"/>
      <c r="BX230" s="45"/>
      <c r="BY230" s="45"/>
      <c r="BZ230" s="53"/>
      <c r="CA230" s="53"/>
      <c r="CB230" s="53"/>
      <c r="CC230" s="53"/>
      <c r="CD230" s="53"/>
      <c r="CE230" s="53"/>
      <c r="CF230" s="35"/>
      <c r="CH230" s="35"/>
      <c r="CI230" s="53"/>
      <c r="CJ230" s="53"/>
      <c r="CK230" s="53"/>
      <c r="CL230" s="53"/>
      <c r="CM230" s="53"/>
      <c r="CN230" s="53"/>
      <c r="CO230" s="53"/>
      <c r="CP230" s="53"/>
      <c r="CQ230" s="53"/>
      <c r="CR230" s="53"/>
      <c r="CS230" s="54"/>
    </row>
    <row r="231" spans="1:97" s="159" customFormat="1" ht="12.75" hidden="1" customHeight="1">
      <c r="A231" s="142" t="s">
        <v>265</v>
      </c>
      <c r="B231" s="140"/>
      <c r="C231" s="137" t="s">
        <v>27</v>
      </c>
      <c r="D231" s="137"/>
      <c r="E231" s="156">
        <f t="shared" si="40"/>
        <v>0</v>
      </c>
      <c r="F231" s="156"/>
      <c r="G231" s="156">
        <v>0</v>
      </c>
      <c r="H231" s="156"/>
      <c r="I231" s="156">
        <v>0</v>
      </c>
      <c r="J231" s="156"/>
      <c r="K231" s="156">
        <f t="shared" si="35"/>
        <v>0</v>
      </c>
      <c r="L231" s="156"/>
      <c r="M231" s="156">
        <v>0</v>
      </c>
      <c r="N231" s="156"/>
      <c r="O231" s="156">
        <v>0</v>
      </c>
      <c r="P231" s="156"/>
      <c r="Q231" s="156">
        <v>0</v>
      </c>
      <c r="R231" s="156"/>
      <c r="S231" s="156">
        <v>0</v>
      </c>
      <c r="T231" s="156"/>
      <c r="U231" s="156">
        <v>0</v>
      </c>
      <c r="V231" s="156"/>
      <c r="W231" s="156">
        <f t="shared" si="41"/>
        <v>0</v>
      </c>
      <c r="X231" s="156"/>
      <c r="Y231" s="142" t="s">
        <v>265</v>
      </c>
      <c r="AA231" s="137" t="s">
        <v>27</v>
      </c>
      <c r="AB231" s="137"/>
      <c r="AC231" s="156">
        <v>0</v>
      </c>
      <c r="AD231" s="156"/>
      <c r="AE231" s="156">
        <v>0</v>
      </c>
      <c r="AF231" s="156"/>
      <c r="AG231" s="156">
        <v>0</v>
      </c>
      <c r="AH231" s="156"/>
      <c r="AI231" s="143">
        <f t="shared" si="36"/>
        <v>0</v>
      </c>
      <c r="AJ231" s="143"/>
      <c r="AK231" s="156">
        <v>0</v>
      </c>
      <c r="AL231" s="143"/>
      <c r="AM231" s="156">
        <v>0</v>
      </c>
      <c r="AN231" s="156"/>
      <c r="AO231" s="156">
        <v>0</v>
      </c>
      <c r="AP231" s="156"/>
      <c r="AQ231" s="156">
        <v>0</v>
      </c>
      <c r="AR231" s="156"/>
      <c r="AS231" s="143">
        <f t="shared" si="37"/>
        <v>0</v>
      </c>
      <c r="AT231" s="143"/>
      <c r="AU231" s="156">
        <v>0</v>
      </c>
      <c r="AV231" s="156"/>
      <c r="AW231" s="156">
        <v>0</v>
      </c>
      <c r="AX231" s="156"/>
      <c r="AY231" s="156">
        <f t="shared" si="38"/>
        <v>0</v>
      </c>
      <c r="AZ231" s="156"/>
      <c r="BA231" s="142" t="s">
        <v>265</v>
      </c>
      <c r="BC231" s="137" t="s">
        <v>27</v>
      </c>
      <c r="BD231" s="156"/>
      <c r="BE231" s="156">
        <v>0</v>
      </c>
      <c r="BF231" s="156"/>
      <c r="BG231" s="156">
        <v>0</v>
      </c>
      <c r="BH231" s="156"/>
      <c r="BI231" s="156">
        <v>0</v>
      </c>
      <c r="BJ231" s="156"/>
      <c r="BK231" s="156">
        <v>0</v>
      </c>
      <c r="BL231" s="156"/>
      <c r="BM231" s="156">
        <f t="shared" si="39"/>
        <v>0</v>
      </c>
      <c r="BN231" s="158" t="s">
        <v>347</v>
      </c>
      <c r="BR231" s="140"/>
      <c r="BS231" s="156"/>
      <c r="BT231" s="156"/>
      <c r="BU231" s="156"/>
      <c r="BV231" s="156"/>
      <c r="BW231" s="156"/>
      <c r="BX231" s="143"/>
      <c r="BY231" s="143"/>
      <c r="BZ231" s="156"/>
      <c r="CA231" s="156"/>
      <c r="CB231" s="156"/>
      <c r="CC231" s="156"/>
      <c r="CD231" s="156"/>
      <c r="CE231" s="156"/>
      <c r="CF231" s="142"/>
      <c r="CH231" s="142"/>
      <c r="CI231" s="156"/>
      <c r="CJ231" s="156"/>
      <c r="CK231" s="156"/>
      <c r="CL231" s="156"/>
      <c r="CM231" s="156"/>
      <c r="CN231" s="156"/>
      <c r="CO231" s="156"/>
      <c r="CP231" s="156"/>
      <c r="CQ231" s="156"/>
      <c r="CR231" s="156"/>
      <c r="CS231" s="158"/>
    </row>
    <row r="232" spans="1:97" s="55" customFormat="1" ht="12.75" customHeight="1">
      <c r="A232" s="35" t="s">
        <v>40</v>
      </c>
      <c r="B232" s="51"/>
      <c r="C232" s="47" t="s">
        <v>452</v>
      </c>
      <c r="D232" s="44"/>
      <c r="E232" s="53">
        <f t="shared" si="40"/>
        <v>769415</v>
      </c>
      <c r="F232" s="53"/>
      <c r="G232" s="53">
        <v>21412966</v>
      </c>
      <c r="H232" s="53"/>
      <c r="I232" s="53">
        <v>22182381</v>
      </c>
      <c r="J232" s="53"/>
      <c r="K232" s="53">
        <f t="shared" si="35"/>
        <v>499787</v>
      </c>
      <c r="L232" s="53"/>
      <c r="M232" s="53">
        <v>5019306</v>
      </c>
      <c r="N232" s="53"/>
      <c r="O232" s="53">
        <v>5519093</v>
      </c>
      <c r="P232" s="53"/>
      <c r="Q232" s="53">
        <v>16125357</v>
      </c>
      <c r="R232" s="53"/>
      <c r="S232" s="53">
        <v>0</v>
      </c>
      <c r="T232" s="53"/>
      <c r="U232" s="53">
        <v>537931</v>
      </c>
      <c r="V232" s="53"/>
      <c r="W232" s="53">
        <f t="shared" si="41"/>
        <v>16663288</v>
      </c>
      <c r="X232" s="53"/>
      <c r="Y232" s="35" t="s">
        <v>40</v>
      </c>
      <c r="AA232" s="47" t="s">
        <v>452</v>
      </c>
      <c r="AB232" s="35"/>
      <c r="AC232" s="53">
        <v>2741272</v>
      </c>
      <c r="AD232" s="53"/>
      <c r="AE232" s="53">
        <v>2115376</v>
      </c>
      <c r="AF232" s="53"/>
      <c r="AG232" s="53">
        <v>394979</v>
      </c>
      <c r="AH232" s="53"/>
      <c r="AI232" s="45">
        <f t="shared" si="36"/>
        <v>230917</v>
      </c>
      <c r="AJ232" s="45"/>
      <c r="AK232" s="53">
        <v>-145832</v>
      </c>
      <c r="AL232" s="45"/>
      <c r="AM232" s="53">
        <v>0</v>
      </c>
      <c r="AN232" s="53"/>
      <c r="AO232" s="53">
        <v>0</v>
      </c>
      <c r="AP232" s="53"/>
      <c r="AQ232" s="53">
        <v>0</v>
      </c>
      <c r="AR232" s="53"/>
      <c r="AS232" s="45">
        <f t="shared" si="37"/>
        <v>85085</v>
      </c>
      <c r="AT232" s="45"/>
      <c r="AU232" s="53">
        <v>0</v>
      </c>
      <c r="AV232" s="53"/>
      <c r="AW232" s="53">
        <v>0</v>
      </c>
      <c r="AX232" s="53"/>
      <c r="AY232" s="53">
        <f t="shared" si="38"/>
        <v>269628</v>
      </c>
      <c r="AZ232" s="53"/>
      <c r="BA232" s="35" t="s">
        <v>40</v>
      </c>
      <c r="BC232" s="47" t="s">
        <v>452</v>
      </c>
      <c r="BD232" s="53"/>
      <c r="BE232" s="53">
        <v>0</v>
      </c>
      <c r="BF232" s="53"/>
      <c r="BG232" s="53">
        <v>0</v>
      </c>
      <c r="BH232" s="53"/>
      <c r="BI232" s="53">
        <v>4932696</v>
      </c>
      <c r="BJ232" s="53"/>
      <c r="BK232" s="53">
        <v>86610</v>
      </c>
      <c r="BL232" s="53"/>
      <c r="BM232" s="53">
        <f t="shared" si="39"/>
        <v>5019306</v>
      </c>
      <c r="BN232" s="54" t="s">
        <v>347</v>
      </c>
      <c r="BR232" s="51"/>
      <c r="BS232" s="53"/>
      <c r="BT232" s="53"/>
      <c r="BU232" s="53"/>
      <c r="BV232" s="53"/>
      <c r="BW232" s="53"/>
      <c r="BX232" s="45"/>
      <c r="BY232" s="45"/>
      <c r="BZ232" s="53"/>
      <c r="CA232" s="53"/>
      <c r="CB232" s="53"/>
      <c r="CC232" s="53"/>
      <c r="CD232" s="53"/>
      <c r="CE232" s="53"/>
      <c r="CF232" s="35"/>
      <c r="CH232" s="44"/>
      <c r="CI232" s="53"/>
      <c r="CJ232" s="53"/>
      <c r="CK232" s="53"/>
      <c r="CL232" s="53"/>
      <c r="CM232" s="53"/>
      <c r="CN232" s="53"/>
      <c r="CO232" s="53"/>
      <c r="CP232" s="53"/>
      <c r="CQ232" s="53"/>
      <c r="CR232" s="53"/>
      <c r="CS232" s="54"/>
    </row>
    <row r="233" spans="1:97" s="55" customFormat="1" ht="12.75" customHeight="1">
      <c r="A233" s="35" t="s">
        <v>266</v>
      </c>
      <c r="B233" s="51"/>
      <c r="C233" s="35" t="s">
        <v>267</v>
      </c>
      <c r="D233" s="44"/>
      <c r="E233" s="53">
        <f t="shared" si="40"/>
        <v>2749265</v>
      </c>
      <c r="F233" s="53"/>
      <c r="G233" s="53">
        <v>4788133</v>
      </c>
      <c r="H233" s="53"/>
      <c r="I233" s="53">
        <v>7537398</v>
      </c>
      <c r="J233" s="53"/>
      <c r="K233" s="53">
        <f t="shared" si="35"/>
        <v>538848</v>
      </c>
      <c r="L233" s="53"/>
      <c r="M233" s="53">
        <v>18205</v>
      </c>
      <c r="N233" s="53"/>
      <c r="O233" s="53">
        <v>557053</v>
      </c>
      <c r="P233" s="53"/>
      <c r="Q233" s="53">
        <v>4448083</v>
      </c>
      <c r="R233" s="53"/>
      <c r="S233" s="53">
        <v>0</v>
      </c>
      <c r="T233" s="53"/>
      <c r="U233" s="53">
        <v>2532262</v>
      </c>
      <c r="V233" s="53"/>
      <c r="W233" s="53">
        <f t="shared" si="41"/>
        <v>6980345</v>
      </c>
      <c r="X233" s="53"/>
      <c r="Y233" s="35" t="s">
        <v>266</v>
      </c>
      <c r="AA233" s="35" t="s">
        <v>267</v>
      </c>
      <c r="AB233" s="35"/>
      <c r="AC233" s="53">
        <v>918043</v>
      </c>
      <c r="AD233" s="53"/>
      <c r="AE233" s="53">
        <v>618204</v>
      </c>
      <c r="AF233" s="53"/>
      <c r="AG233" s="53">
        <v>231992</v>
      </c>
      <c r="AH233" s="53"/>
      <c r="AI233" s="45">
        <f t="shared" si="36"/>
        <v>67847</v>
      </c>
      <c r="AJ233" s="45"/>
      <c r="AK233" s="53">
        <v>96451</v>
      </c>
      <c r="AL233" s="45"/>
      <c r="AM233" s="53">
        <v>0</v>
      </c>
      <c r="AN233" s="53"/>
      <c r="AO233" s="53">
        <v>0</v>
      </c>
      <c r="AP233" s="53"/>
      <c r="AQ233" s="53">
        <v>0</v>
      </c>
      <c r="AR233" s="53"/>
      <c r="AS233" s="45">
        <f t="shared" si="37"/>
        <v>164298</v>
      </c>
      <c r="AT233" s="45"/>
      <c r="AU233" s="53">
        <v>0</v>
      </c>
      <c r="AV233" s="53"/>
      <c r="AW233" s="53">
        <v>0</v>
      </c>
      <c r="AX233" s="53"/>
      <c r="AY233" s="53">
        <f t="shared" si="38"/>
        <v>2210417</v>
      </c>
      <c r="AZ233" s="53"/>
      <c r="BA233" s="35" t="s">
        <v>266</v>
      </c>
      <c r="BC233" s="35" t="s">
        <v>267</v>
      </c>
      <c r="BD233" s="53"/>
      <c r="BE233" s="53">
        <v>0</v>
      </c>
      <c r="BF233" s="53"/>
      <c r="BG233" s="53">
        <v>0</v>
      </c>
      <c r="BH233" s="53"/>
      <c r="BI233" s="53">
        <v>0</v>
      </c>
      <c r="BJ233" s="53"/>
      <c r="BK233" s="53">
        <v>18205</v>
      </c>
      <c r="BL233" s="53"/>
      <c r="BM233" s="53">
        <f t="shared" si="39"/>
        <v>18205</v>
      </c>
      <c r="BN233" s="54" t="s">
        <v>347</v>
      </c>
      <c r="BO233" s="55" t="s">
        <v>404</v>
      </c>
      <c r="BR233" s="51"/>
      <c r="BS233" s="53"/>
      <c r="BT233" s="53"/>
      <c r="BU233" s="53"/>
      <c r="BV233" s="53"/>
      <c r="BW233" s="53"/>
      <c r="BX233" s="45"/>
      <c r="BY233" s="45"/>
      <c r="BZ233" s="53"/>
      <c r="CA233" s="53"/>
      <c r="CB233" s="53"/>
      <c r="CC233" s="53"/>
      <c r="CD233" s="53"/>
      <c r="CE233" s="53"/>
      <c r="CF233" s="35"/>
      <c r="CH233" s="35"/>
      <c r="CI233" s="53"/>
      <c r="CJ233" s="53"/>
      <c r="CK233" s="53"/>
      <c r="CL233" s="53"/>
      <c r="CM233" s="53"/>
      <c r="CN233" s="53"/>
      <c r="CO233" s="53"/>
      <c r="CP233" s="53"/>
      <c r="CQ233" s="53"/>
      <c r="CR233" s="53"/>
      <c r="CS233" s="54"/>
    </row>
    <row r="234" spans="1:97" s="55" customFormat="1" ht="12.75" customHeight="1">
      <c r="A234" s="35" t="s">
        <v>268</v>
      </c>
      <c r="B234" s="51"/>
      <c r="C234" s="35" t="s">
        <v>269</v>
      </c>
      <c r="D234" s="44"/>
      <c r="E234" s="53">
        <f t="shared" si="40"/>
        <v>570215</v>
      </c>
      <c r="F234" s="53"/>
      <c r="G234" s="53">
        <v>9350672</v>
      </c>
      <c r="H234" s="53"/>
      <c r="I234" s="53">
        <v>9920887</v>
      </c>
      <c r="J234" s="53"/>
      <c r="K234" s="53">
        <f t="shared" si="35"/>
        <v>370322</v>
      </c>
      <c r="L234" s="53"/>
      <c r="M234" s="53">
        <v>4111670</v>
      </c>
      <c r="N234" s="53"/>
      <c r="O234" s="53">
        <v>4481992</v>
      </c>
      <c r="P234" s="53"/>
      <c r="Q234" s="53">
        <v>709209</v>
      </c>
      <c r="R234" s="53"/>
      <c r="S234" s="53">
        <v>0</v>
      </c>
      <c r="T234" s="53"/>
      <c r="U234" s="53">
        <v>279056</v>
      </c>
      <c r="V234" s="53"/>
      <c r="W234" s="53">
        <f t="shared" si="41"/>
        <v>988265</v>
      </c>
      <c r="X234" s="53"/>
      <c r="Y234" s="35" t="s">
        <v>268</v>
      </c>
      <c r="AA234" s="35" t="s">
        <v>269</v>
      </c>
      <c r="AB234" s="35"/>
      <c r="AC234" s="53">
        <v>790557</v>
      </c>
      <c r="AD234" s="53"/>
      <c r="AE234" s="53">
        <v>498026</v>
      </c>
      <c r="AF234" s="53"/>
      <c r="AG234" s="53">
        <v>110455</v>
      </c>
      <c r="AH234" s="53"/>
      <c r="AI234" s="45">
        <f t="shared" si="36"/>
        <v>182076</v>
      </c>
      <c r="AJ234" s="45"/>
      <c r="AK234" s="53">
        <v>-100914</v>
      </c>
      <c r="AL234" s="45"/>
      <c r="AM234" s="53">
        <v>160000</v>
      </c>
      <c r="AN234" s="53"/>
      <c r="AO234" s="53">
        <v>0</v>
      </c>
      <c r="AP234" s="53"/>
      <c r="AQ234" s="53">
        <v>0</v>
      </c>
      <c r="AR234" s="53"/>
      <c r="AS234" s="45">
        <f t="shared" si="37"/>
        <v>241162</v>
      </c>
      <c r="AT234" s="45"/>
      <c r="AU234" s="53">
        <v>0</v>
      </c>
      <c r="AV234" s="53"/>
      <c r="AW234" s="53">
        <v>0</v>
      </c>
      <c r="AX234" s="53"/>
      <c r="AY234" s="53">
        <f t="shared" si="38"/>
        <v>199893</v>
      </c>
      <c r="AZ234" s="53"/>
      <c r="BA234" s="35" t="s">
        <v>268</v>
      </c>
      <c r="BC234" s="35" t="s">
        <v>269</v>
      </c>
      <c r="BD234" s="53"/>
      <c r="BE234" s="53">
        <v>0</v>
      </c>
      <c r="BF234" s="53"/>
      <c r="BG234" s="53">
        <v>0</v>
      </c>
      <c r="BH234" s="53"/>
      <c r="BI234" s="53">
        <v>3648255</v>
      </c>
      <c r="BJ234" s="53"/>
      <c r="BK234" s="53">
        <v>10647</v>
      </c>
      <c r="BL234" s="53"/>
      <c r="BM234" s="53">
        <f t="shared" si="39"/>
        <v>3658902</v>
      </c>
      <c r="BN234" s="54" t="s">
        <v>347</v>
      </c>
      <c r="BR234" s="51"/>
      <c r="BS234" s="53"/>
      <c r="BT234" s="53"/>
      <c r="BU234" s="53"/>
      <c r="BV234" s="53"/>
      <c r="BW234" s="53"/>
      <c r="BX234" s="45"/>
      <c r="BY234" s="45"/>
      <c r="BZ234" s="53"/>
      <c r="CA234" s="53"/>
      <c r="CB234" s="53"/>
      <c r="CC234" s="53"/>
      <c r="CD234" s="53"/>
      <c r="CE234" s="53"/>
      <c r="CF234" s="35"/>
      <c r="CH234" s="35"/>
      <c r="CI234" s="53"/>
      <c r="CJ234" s="53"/>
      <c r="CK234" s="53"/>
      <c r="CL234" s="53"/>
      <c r="CM234" s="53"/>
      <c r="CN234" s="53"/>
      <c r="CO234" s="53"/>
      <c r="CP234" s="53"/>
      <c r="CQ234" s="53"/>
      <c r="CR234" s="53"/>
      <c r="CS234" s="54"/>
    </row>
    <row r="235" spans="1:97" s="55" customFormat="1" ht="12.75" customHeight="1">
      <c r="A235" s="35" t="s">
        <v>270</v>
      </c>
      <c r="B235" s="51"/>
      <c r="C235" s="35" t="s">
        <v>136</v>
      </c>
      <c r="D235" s="44"/>
      <c r="E235" s="53">
        <f>I235-G235</f>
        <v>124308</v>
      </c>
      <c r="F235" s="53"/>
      <c r="G235" s="53">
        <v>7614028</v>
      </c>
      <c r="H235" s="53"/>
      <c r="I235" s="53">
        <v>7738336</v>
      </c>
      <c r="J235" s="53"/>
      <c r="K235" s="53">
        <f>O235-M235</f>
        <v>378691</v>
      </c>
      <c r="L235" s="53"/>
      <c r="M235" s="53">
        <v>3379039</v>
      </c>
      <c r="N235" s="53"/>
      <c r="O235" s="53">
        <v>3757730</v>
      </c>
      <c r="P235" s="53"/>
      <c r="Q235" s="53">
        <v>4057688</v>
      </c>
      <c r="R235" s="53"/>
      <c r="S235" s="53">
        <v>0</v>
      </c>
      <c r="T235" s="53"/>
      <c r="U235" s="53">
        <v>-77082</v>
      </c>
      <c r="V235" s="53"/>
      <c r="W235" s="53">
        <f>SUM(Q235:U235)</f>
        <v>3980606</v>
      </c>
      <c r="X235" s="53"/>
      <c r="Y235" s="35" t="s">
        <v>270</v>
      </c>
      <c r="AA235" s="35" t="s">
        <v>136</v>
      </c>
      <c r="AB235" s="35"/>
      <c r="AC235" s="53">
        <v>984465</v>
      </c>
      <c r="AD235" s="53"/>
      <c r="AE235" s="53">
        <v>662299</v>
      </c>
      <c r="AF235" s="53"/>
      <c r="AG235" s="53">
        <v>272410</v>
      </c>
      <c r="AH235" s="53"/>
      <c r="AI235" s="45">
        <f>+AC235-AE235-AG235</f>
        <v>49756</v>
      </c>
      <c r="AJ235" s="45"/>
      <c r="AK235" s="53">
        <v>-144384</v>
      </c>
      <c r="AL235" s="45"/>
      <c r="AM235" s="53">
        <v>0</v>
      </c>
      <c r="AN235" s="53"/>
      <c r="AO235" s="53">
        <v>0</v>
      </c>
      <c r="AP235" s="53"/>
      <c r="AQ235" s="53">
        <v>157049</v>
      </c>
      <c r="AR235" s="53"/>
      <c r="AS235" s="45">
        <f>+AI235+AK235+AM235-AO235+AQ235</f>
        <v>62421</v>
      </c>
      <c r="AT235" s="45"/>
      <c r="AU235" s="53">
        <v>0</v>
      </c>
      <c r="AV235" s="53"/>
      <c r="AW235" s="53">
        <v>0</v>
      </c>
      <c r="AX235" s="53"/>
      <c r="AY235" s="53">
        <f>+E235-K235</f>
        <v>-254383</v>
      </c>
      <c r="AZ235" s="53"/>
      <c r="BA235" s="35" t="s">
        <v>270</v>
      </c>
      <c r="BC235" s="35" t="s">
        <v>136</v>
      </c>
      <c r="BD235" s="53"/>
      <c r="BE235" s="53">
        <v>0</v>
      </c>
      <c r="BF235" s="53"/>
      <c r="BG235" s="53">
        <v>2271000</v>
      </c>
      <c r="BH235" s="53"/>
      <c r="BI235" s="53">
        <v>1108039</v>
      </c>
      <c r="BJ235" s="53"/>
      <c r="BK235" s="53">
        <v>0</v>
      </c>
      <c r="BL235" s="53"/>
      <c r="BM235" s="53">
        <f>SUM(BE235:BK235)</f>
        <v>3379039</v>
      </c>
      <c r="BN235" s="54" t="s">
        <v>347</v>
      </c>
      <c r="BR235" s="51"/>
      <c r="BS235" s="53"/>
      <c r="BT235" s="53"/>
      <c r="BU235" s="53"/>
      <c r="BV235" s="53"/>
      <c r="BW235" s="53"/>
      <c r="BX235" s="45"/>
      <c r="BY235" s="45"/>
      <c r="BZ235" s="53"/>
      <c r="CA235" s="53"/>
      <c r="CB235" s="53"/>
      <c r="CC235" s="53"/>
      <c r="CD235" s="53"/>
      <c r="CE235" s="53"/>
      <c r="CF235" s="35"/>
      <c r="CH235" s="35"/>
      <c r="CI235" s="53"/>
      <c r="CJ235" s="53"/>
      <c r="CK235" s="53"/>
      <c r="CL235" s="53"/>
      <c r="CM235" s="53"/>
      <c r="CN235" s="53"/>
      <c r="CO235" s="53"/>
      <c r="CP235" s="53"/>
      <c r="CQ235" s="53"/>
      <c r="CR235" s="53"/>
      <c r="CS235" s="54"/>
    </row>
    <row r="236" spans="1:97" s="55" customFormat="1" ht="12.75" customHeight="1">
      <c r="A236" s="35" t="s">
        <v>271</v>
      </c>
      <c r="B236" s="51"/>
      <c r="C236" s="35" t="s">
        <v>66</v>
      </c>
      <c r="D236" s="44"/>
      <c r="E236" s="53">
        <f t="shared" si="40"/>
        <v>1160782</v>
      </c>
      <c r="F236" s="53"/>
      <c r="G236" s="53">
        <v>411533</v>
      </c>
      <c r="H236" s="53"/>
      <c r="I236" s="53">
        <v>1572315</v>
      </c>
      <c r="J236" s="53"/>
      <c r="K236" s="53">
        <f t="shared" si="35"/>
        <v>37940</v>
      </c>
      <c r="L236" s="53"/>
      <c r="M236" s="53">
        <v>82862</v>
      </c>
      <c r="N236" s="53"/>
      <c r="O236" s="53">
        <v>120802</v>
      </c>
      <c r="P236" s="53"/>
      <c r="Q236" s="53">
        <v>411533</v>
      </c>
      <c r="R236" s="53"/>
      <c r="S236" s="53">
        <v>0</v>
      </c>
      <c r="T236" s="53"/>
      <c r="U236" s="53">
        <v>1039980</v>
      </c>
      <c r="V236" s="53"/>
      <c r="W236" s="53">
        <f t="shared" si="41"/>
        <v>1451513</v>
      </c>
      <c r="X236" s="53"/>
      <c r="Y236" s="35" t="s">
        <v>271</v>
      </c>
      <c r="AA236" s="35" t="s">
        <v>66</v>
      </c>
      <c r="AB236" s="35"/>
      <c r="AC236" s="53">
        <v>737004</v>
      </c>
      <c r="AD236" s="53"/>
      <c r="AE236" s="53">
        <v>1068401</v>
      </c>
      <c r="AF236" s="53"/>
      <c r="AG236" s="53">
        <v>251190</v>
      </c>
      <c r="AH236" s="53"/>
      <c r="AI236" s="45">
        <f t="shared" si="36"/>
        <v>-582587</v>
      </c>
      <c r="AJ236" s="45"/>
      <c r="AK236" s="53">
        <v>55494</v>
      </c>
      <c r="AL236" s="45"/>
      <c r="AM236" s="53">
        <v>0</v>
      </c>
      <c r="AN236" s="53"/>
      <c r="AO236" s="53">
        <v>0</v>
      </c>
      <c r="AP236" s="53"/>
      <c r="AQ236" s="53">
        <v>0</v>
      </c>
      <c r="AR236" s="53"/>
      <c r="AS236" s="45">
        <f t="shared" si="37"/>
        <v>-527093</v>
      </c>
      <c r="AT236" s="45"/>
      <c r="AU236" s="53">
        <v>0</v>
      </c>
      <c r="AV236" s="53"/>
      <c r="AW236" s="53">
        <v>0</v>
      </c>
      <c r="AX236" s="53"/>
      <c r="AY236" s="53">
        <f t="shared" si="38"/>
        <v>1122842</v>
      </c>
      <c r="AZ236" s="53"/>
      <c r="BA236" s="35" t="s">
        <v>271</v>
      </c>
      <c r="BC236" s="35" t="s">
        <v>66</v>
      </c>
      <c r="BD236" s="53"/>
      <c r="BE236" s="53">
        <v>0</v>
      </c>
      <c r="BF236" s="53"/>
      <c r="BG236" s="53">
        <v>0</v>
      </c>
      <c r="BH236" s="53"/>
      <c r="BI236" s="53">
        <v>0</v>
      </c>
      <c r="BJ236" s="53"/>
      <c r="BK236" s="53">
        <v>82762</v>
      </c>
      <c r="BL236" s="53"/>
      <c r="BM236" s="53">
        <f t="shared" si="39"/>
        <v>82762</v>
      </c>
      <c r="BN236" s="54" t="s">
        <v>347</v>
      </c>
      <c r="BO236" s="55" t="s">
        <v>405</v>
      </c>
      <c r="BR236" s="51"/>
      <c r="BS236" s="53"/>
      <c r="BT236" s="53"/>
      <c r="BU236" s="53"/>
      <c r="BV236" s="53"/>
      <c r="BW236" s="53"/>
      <c r="BX236" s="45"/>
      <c r="BY236" s="45"/>
      <c r="BZ236" s="53"/>
      <c r="CA236" s="53"/>
      <c r="CB236" s="53"/>
      <c r="CC236" s="53"/>
      <c r="CD236" s="53"/>
      <c r="CE236" s="53"/>
      <c r="CF236" s="35"/>
      <c r="CH236" s="35"/>
      <c r="CI236" s="53"/>
      <c r="CJ236" s="53"/>
      <c r="CK236" s="53"/>
      <c r="CL236" s="53"/>
      <c r="CM236" s="53"/>
      <c r="CN236" s="53"/>
      <c r="CO236" s="53"/>
      <c r="CP236" s="53"/>
      <c r="CQ236" s="53"/>
      <c r="CR236" s="53"/>
      <c r="CS236" s="54"/>
    </row>
    <row r="237" spans="1:97" s="55" customFormat="1" ht="12.75" customHeight="1">
      <c r="A237" s="64" t="s">
        <v>272</v>
      </c>
      <c r="B237" s="90"/>
      <c r="C237" s="64" t="s">
        <v>43</v>
      </c>
      <c r="D237" s="46"/>
      <c r="E237" s="53">
        <f t="shared" si="40"/>
        <v>4752785</v>
      </c>
      <c r="F237" s="53"/>
      <c r="G237" s="53">
        <v>14629758</v>
      </c>
      <c r="H237" s="53"/>
      <c r="I237" s="53">
        <v>19382543</v>
      </c>
      <c r="J237" s="53"/>
      <c r="K237" s="53">
        <f t="shared" si="35"/>
        <v>1281537</v>
      </c>
      <c r="L237" s="53"/>
      <c r="M237" s="53">
        <v>15222</v>
      </c>
      <c r="N237" s="53"/>
      <c r="O237" s="53">
        <v>1296759</v>
      </c>
      <c r="P237" s="53"/>
      <c r="Q237" s="53">
        <v>14349428</v>
      </c>
      <c r="R237" s="53"/>
      <c r="S237" s="53">
        <v>0</v>
      </c>
      <c r="T237" s="53"/>
      <c r="U237" s="53">
        <v>3736356</v>
      </c>
      <c r="V237" s="53"/>
      <c r="W237" s="53">
        <f t="shared" si="41"/>
        <v>18085784</v>
      </c>
      <c r="X237" s="79"/>
      <c r="Y237" s="64" t="s">
        <v>272</v>
      </c>
      <c r="Z237" s="90"/>
      <c r="AA237" s="64" t="s">
        <v>43</v>
      </c>
      <c r="AB237" s="64"/>
      <c r="AC237" s="53">
        <v>6544470</v>
      </c>
      <c r="AD237" s="53"/>
      <c r="AE237" s="53">
        <v>6040538</v>
      </c>
      <c r="AF237" s="53"/>
      <c r="AG237" s="53">
        <v>467215</v>
      </c>
      <c r="AH237" s="53"/>
      <c r="AI237" s="45">
        <f t="shared" si="36"/>
        <v>36717</v>
      </c>
      <c r="AJ237" s="45"/>
      <c r="AK237" s="53">
        <v>286245</v>
      </c>
      <c r="AL237" s="45"/>
      <c r="AM237" s="53">
        <v>0</v>
      </c>
      <c r="AN237" s="53"/>
      <c r="AO237" s="53">
        <v>0</v>
      </c>
      <c r="AP237" s="53"/>
      <c r="AQ237" s="53">
        <v>133500</v>
      </c>
      <c r="AR237" s="53"/>
      <c r="AS237" s="45">
        <f t="shared" si="37"/>
        <v>456462</v>
      </c>
      <c r="AT237" s="45"/>
      <c r="AU237" s="53">
        <v>0</v>
      </c>
      <c r="AV237" s="53"/>
      <c r="AW237" s="53">
        <v>0</v>
      </c>
      <c r="AX237" s="53"/>
      <c r="AY237" s="53">
        <f t="shared" si="38"/>
        <v>3471248</v>
      </c>
      <c r="AZ237" s="79"/>
      <c r="BA237" s="64" t="s">
        <v>272</v>
      </c>
      <c r="BB237" s="90"/>
      <c r="BC237" s="64" t="s">
        <v>43</v>
      </c>
      <c r="BD237" s="79"/>
      <c r="BE237" s="53">
        <v>0</v>
      </c>
      <c r="BF237" s="53"/>
      <c r="BG237" s="53">
        <v>0</v>
      </c>
      <c r="BH237" s="53"/>
      <c r="BI237" s="53">
        <v>0</v>
      </c>
      <c r="BJ237" s="53"/>
      <c r="BK237" s="53">
        <v>15222</v>
      </c>
      <c r="BL237" s="53"/>
      <c r="BM237" s="53">
        <f t="shared" si="39"/>
        <v>15222</v>
      </c>
      <c r="BN237" s="54" t="s">
        <v>347</v>
      </c>
      <c r="BR237" s="51"/>
      <c r="BS237" s="53"/>
      <c r="BT237" s="53"/>
      <c r="BU237" s="53"/>
      <c r="BV237" s="53"/>
      <c r="BW237" s="53"/>
      <c r="BX237" s="45"/>
      <c r="BY237" s="45"/>
      <c r="BZ237" s="53"/>
      <c r="CA237" s="53"/>
      <c r="CB237" s="53"/>
      <c r="CC237" s="53"/>
      <c r="CD237" s="53"/>
      <c r="CE237" s="53"/>
      <c r="CF237" s="35"/>
      <c r="CH237" s="35"/>
      <c r="CI237" s="53"/>
      <c r="CJ237" s="53"/>
      <c r="CK237" s="53"/>
      <c r="CL237" s="53"/>
      <c r="CM237" s="53"/>
      <c r="CN237" s="53"/>
      <c r="CO237" s="53"/>
      <c r="CP237" s="53"/>
      <c r="CQ237" s="53"/>
      <c r="CR237" s="53"/>
      <c r="CS237" s="54"/>
    </row>
    <row r="238" spans="1:97" s="55" customFormat="1" ht="12.75" customHeight="1">
      <c r="A238" s="35" t="s">
        <v>273</v>
      </c>
      <c r="B238" s="51"/>
      <c r="C238" s="35" t="s">
        <v>27</v>
      </c>
      <c r="D238" s="44"/>
      <c r="E238" s="53">
        <f t="shared" si="40"/>
        <v>9884675</v>
      </c>
      <c r="F238" s="53"/>
      <c r="G238" s="53">
        <v>39528052</v>
      </c>
      <c r="H238" s="53"/>
      <c r="I238" s="53">
        <v>49412727</v>
      </c>
      <c r="J238" s="53"/>
      <c r="K238" s="53">
        <f t="shared" si="35"/>
        <v>133640</v>
      </c>
      <c r="L238" s="53"/>
      <c r="M238" s="53">
        <v>0</v>
      </c>
      <c r="N238" s="53"/>
      <c r="O238" s="53">
        <v>133640</v>
      </c>
      <c r="P238" s="53"/>
      <c r="Q238" s="53">
        <v>29892610</v>
      </c>
      <c r="R238" s="53"/>
      <c r="S238" s="53">
        <v>0</v>
      </c>
      <c r="T238" s="53"/>
      <c r="U238" s="53">
        <v>19386477</v>
      </c>
      <c r="V238" s="53"/>
      <c r="W238" s="53">
        <f t="shared" si="41"/>
        <v>49279087</v>
      </c>
      <c r="X238" s="53"/>
      <c r="Y238" s="35" t="s">
        <v>273</v>
      </c>
      <c r="AA238" s="35" t="s">
        <v>27</v>
      </c>
      <c r="AB238" s="35"/>
      <c r="AC238" s="53">
        <v>1782896</v>
      </c>
      <c r="AD238" s="53"/>
      <c r="AE238" s="53">
        <v>2137367</v>
      </c>
      <c r="AF238" s="53"/>
      <c r="AG238" s="53">
        <v>1080661</v>
      </c>
      <c r="AH238" s="53"/>
      <c r="AI238" s="45">
        <f t="shared" si="36"/>
        <v>-1435132</v>
      </c>
      <c r="AJ238" s="45"/>
      <c r="AK238" s="53">
        <v>-85370</v>
      </c>
      <c r="AL238" s="45"/>
      <c r="AM238" s="53">
        <v>0</v>
      </c>
      <c r="AN238" s="53"/>
      <c r="AO238" s="53">
        <v>133438</v>
      </c>
      <c r="AP238" s="53"/>
      <c r="AQ238" s="53">
        <v>0</v>
      </c>
      <c r="AR238" s="53"/>
      <c r="AS238" s="45">
        <f t="shared" si="37"/>
        <v>-1653940</v>
      </c>
      <c r="AT238" s="45"/>
      <c r="AU238" s="53">
        <v>0</v>
      </c>
      <c r="AV238" s="53"/>
      <c r="AW238" s="53">
        <v>0</v>
      </c>
      <c r="AX238" s="53"/>
      <c r="AY238" s="53">
        <f t="shared" si="38"/>
        <v>9751035</v>
      </c>
      <c r="AZ238" s="53"/>
      <c r="BA238" s="35" t="s">
        <v>273</v>
      </c>
      <c r="BC238" s="35" t="s">
        <v>27</v>
      </c>
      <c r="BD238" s="53"/>
      <c r="BE238" s="53">
        <f>857198+25000+150000</f>
        <v>1032198</v>
      </c>
      <c r="BF238" s="53"/>
      <c r="BG238" s="53">
        <v>0</v>
      </c>
      <c r="BH238" s="53"/>
      <c r="BI238" s="53">
        <v>0</v>
      </c>
      <c r="BJ238" s="53"/>
      <c r="BK238" s="53">
        <v>0</v>
      </c>
      <c r="BL238" s="53"/>
      <c r="BM238" s="53">
        <f t="shared" si="39"/>
        <v>1032198</v>
      </c>
      <c r="BN238" s="54" t="s">
        <v>347</v>
      </c>
      <c r="BR238" s="51"/>
      <c r="BS238" s="53"/>
      <c r="BT238" s="53"/>
      <c r="BU238" s="53"/>
      <c r="BV238" s="53"/>
      <c r="BW238" s="53"/>
      <c r="BX238" s="45"/>
      <c r="BY238" s="45"/>
      <c r="BZ238" s="53"/>
      <c r="CA238" s="53"/>
      <c r="CB238" s="53"/>
      <c r="CC238" s="53"/>
      <c r="CD238" s="53"/>
      <c r="CE238" s="53"/>
      <c r="CF238" s="35"/>
      <c r="CH238" s="35"/>
      <c r="CI238" s="53"/>
      <c r="CJ238" s="53"/>
      <c r="CK238" s="53"/>
      <c r="CL238" s="53"/>
      <c r="CM238" s="53"/>
      <c r="CN238" s="53"/>
      <c r="CO238" s="53"/>
      <c r="CP238" s="53"/>
      <c r="CQ238" s="53"/>
      <c r="CR238" s="53"/>
      <c r="CS238" s="54"/>
    </row>
    <row r="239" spans="1:97" s="159" customFormat="1" ht="12.75" hidden="1" customHeight="1">
      <c r="A239" s="142" t="s">
        <v>274</v>
      </c>
      <c r="B239" s="140"/>
      <c r="C239" s="142" t="s">
        <v>43</v>
      </c>
      <c r="D239" s="137"/>
      <c r="E239" s="156">
        <f t="shared" si="40"/>
        <v>0</v>
      </c>
      <c r="F239" s="156"/>
      <c r="G239" s="156">
        <v>0</v>
      </c>
      <c r="H239" s="156"/>
      <c r="I239" s="156">
        <v>0</v>
      </c>
      <c r="J239" s="156"/>
      <c r="K239" s="156">
        <f t="shared" si="35"/>
        <v>0</v>
      </c>
      <c r="L239" s="156"/>
      <c r="M239" s="156">
        <v>0</v>
      </c>
      <c r="N239" s="156"/>
      <c r="O239" s="156">
        <v>0</v>
      </c>
      <c r="P239" s="156"/>
      <c r="Q239" s="156">
        <v>0</v>
      </c>
      <c r="R239" s="156"/>
      <c r="S239" s="156">
        <v>0</v>
      </c>
      <c r="T239" s="156"/>
      <c r="U239" s="156">
        <v>0</v>
      </c>
      <c r="V239" s="156"/>
      <c r="W239" s="156">
        <f t="shared" si="41"/>
        <v>0</v>
      </c>
      <c r="X239" s="156"/>
      <c r="Y239" s="142" t="s">
        <v>274</v>
      </c>
      <c r="AA239" s="142" t="s">
        <v>43</v>
      </c>
      <c r="AB239" s="142"/>
      <c r="AC239" s="156">
        <v>0</v>
      </c>
      <c r="AD239" s="156"/>
      <c r="AE239" s="156">
        <v>0</v>
      </c>
      <c r="AF239" s="156"/>
      <c r="AG239" s="156">
        <v>0</v>
      </c>
      <c r="AH239" s="156"/>
      <c r="AI239" s="143">
        <f t="shared" si="36"/>
        <v>0</v>
      </c>
      <c r="AJ239" s="143"/>
      <c r="AK239" s="156">
        <v>0</v>
      </c>
      <c r="AL239" s="143"/>
      <c r="AM239" s="156">
        <v>0</v>
      </c>
      <c r="AN239" s="156"/>
      <c r="AO239" s="156">
        <v>0</v>
      </c>
      <c r="AP239" s="156"/>
      <c r="AQ239" s="156">
        <v>0</v>
      </c>
      <c r="AR239" s="156"/>
      <c r="AS239" s="143">
        <f t="shared" si="37"/>
        <v>0</v>
      </c>
      <c r="AT239" s="143"/>
      <c r="AU239" s="156">
        <v>0</v>
      </c>
      <c r="AV239" s="156"/>
      <c r="AW239" s="156">
        <v>0</v>
      </c>
      <c r="AX239" s="156"/>
      <c r="AY239" s="156">
        <f t="shared" si="38"/>
        <v>0</v>
      </c>
      <c r="AZ239" s="156"/>
      <c r="BA239" s="142" t="s">
        <v>274</v>
      </c>
      <c r="BC239" s="142" t="s">
        <v>43</v>
      </c>
      <c r="BD239" s="156"/>
      <c r="BE239" s="156">
        <v>0</v>
      </c>
      <c r="BF239" s="156"/>
      <c r="BG239" s="156">
        <v>0</v>
      </c>
      <c r="BH239" s="156"/>
      <c r="BI239" s="156">
        <v>0</v>
      </c>
      <c r="BJ239" s="156"/>
      <c r="BK239" s="156">
        <v>0</v>
      </c>
      <c r="BL239" s="156"/>
      <c r="BM239" s="156">
        <f t="shared" si="39"/>
        <v>0</v>
      </c>
      <c r="BN239" s="158" t="s">
        <v>347</v>
      </c>
      <c r="BO239" s="159" t="s">
        <v>405</v>
      </c>
      <c r="BR239" s="140"/>
      <c r="BS239" s="156"/>
      <c r="BT239" s="156"/>
      <c r="BU239" s="156"/>
      <c r="BV239" s="156"/>
      <c r="BW239" s="156"/>
      <c r="BX239" s="143"/>
      <c r="BY239" s="143"/>
      <c r="BZ239" s="156"/>
      <c r="CA239" s="156"/>
      <c r="CB239" s="156"/>
      <c r="CC239" s="156"/>
      <c r="CD239" s="156"/>
      <c r="CE239" s="156"/>
      <c r="CF239" s="142"/>
      <c r="CH239" s="142"/>
      <c r="CI239" s="156"/>
      <c r="CJ239" s="156"/>
      <c r="CK239" s="156"/>
      <c r="CL239" s="156"/>
      <c r="CM239" s="156"/>
      <c r="CN239" s="156"/>
      <c r="CO239" s="156"/>
      <c r="CP239" s="156"/>
      <c r="CQ239" s="156"/>
      <c r="CR239" s="156"/>
      <c r="CS239" s="158"/>
    </row>
    <row r="240" spans="1:97" s="159" customFormat="1" ht="12.75" hidden="1" customHeight="1">
      <c r="A240" s="142" t="s">
        <v>275</v>
      </c>
      <c r="B240" s="140"/>
      <c r="C240" s="142" t="s">
        <v>92</v>
      </c>
      <c r="D240" s="137"/>
      <c r="E240" s="156">
        <f t="shared" si="40"/>
        <v>0</v>
      </c>
      <c r="F240" s="156"/>
      <c r="G240" s="156">
        <v>0</v>
      </c>
      <c r="H240" s="156"/>
      <c r="I240" s="156">
        <v>0</v>
      </c>
      <c r="J240" s="156"/>
      <c r="K240" s="156">
        <f t="shared" si="35"/>
        <v>0</v>
      </c>
      <c r="L240" s="156"/>
      <c r="M240" s="156">
        <v>0</v>
      </c>
      <c r="N240" s="156"/>
      <c r="O240" s="156">
        <v>0</v>
      </c>
      <c r="P240" s="156"/>
      <c r="Q240" s="156">
        <v>0</v>
      </c>
      <c r="R240" s="156"/>
      <c r="S240" s="156">
        <v>0</v>
      </c>
      <c r="T240" s="156"/>
      <c r="U240" s="156">
        <v>0</v>
      </c>
      <c r="V240" s="156"/>
      <c r="W240" s="156">
        <f t="shared" si="41"/>
        <v>0</v>
      </c>
      <c r="X240" s="156"/>
      <c r="Y240" s="142" t="s">
        <v>275</v>
      </c>
      <c r="AA240" s="142" t="s">
        <v>92</v>
      </c>
      <c r="AB240" s="142"/>
      <c r="AC240" s="156">
        <v>0</v>
      </c>
      <c r="AD240" s="156"/>
      <c r="AE240" s="156">
        <v>0</v>
      </c>
      <c r="AF240" s="156"/>
      <c r="AG240" s="156">
        <v>0</v>
      </c>
      <c r="AH240" s="156"/>
      <c r="AI240" s="143">
        <f t="shared" si="36"/>
        <v>0</v>
      </c>
      <c r="AJ240" s="143"/>
      <c r="AK240" s="156">
        <v>0</v>
      </c>
      <c r="AL240" s="143"/>
      <c r="AM240" s="156">
        <v>0</v>
      </c>
      <c r="AN240" s="156"/>
      <c r="AO240" s="156">
        <v>0</v>
      </c>
      <c r="AP240" s="156"/>
      <c r="AQ240" s="156">
        <v>0</v>
      </c>
      <c r="AR240" s="156"/>
      <c r="AS240" s="143">
        <f t="shared" si="37"/>
        <v>0</v>
      </c>
      <c r="AT240" s="143"/>
      <c r="AU240" s="156">
        <v>0</v>
      </c>
      <c r="AV240" s="156"/>
      <c r="AW240" s="156">
        <v>0</v>
      </c>
      <c r="AX240" s="156"/>
      <c r="AY240" s="156">
        <f t="shared" si="38"/>
        <v>0</v>
      </c>
      <c r="AZ240" s="156"/>
      <c r="BA240" s="142" t="s">
        <v>275</v>
      </c>
      <c r="BC240" s="142" t="s">
        <v>92</v>
      </c>
      <c r="BD240" s="156"/>
      <c r="BE240" s="156">
        <v>0</v>
      </c>
      <c r="BF240" s="156"/>
      <c r="BG240" s="156">
        <v>0</v>
      </c>
      <c r="BH240" s="156"/>
      <c r="BI240" s="156">
        <v>0</v>
      </c>
      <c r="BJ240" s="156"/>
      <c r="BK240" s="156">
        <v>0</v>
      </c>
      <c r="BL240" s="156"/>
      <c r="BM240" s="156">
        <f t="shared" si="39"/>
        <v>0</v>
      </c>
      <c r="BN240" s="158" t="s">
        <v>347</v>
      </c>
      <c r="BO240" s="159" t="s">
        <v>404</v>
      </c>
      <c r="BR240" s="140"/>
      <c r="BS240" s="156"/>
      <c r="BT240" s="156"/>
      <c r="BU240" s="156"/>
      <c r="BV240" s="156"/>
      <c r="BW240" s="156"/>
      <c r="BX240" s="143"/>
      <c r="BY240" s="143"/>
      <c r="BZ240" s="156"/>
      <c r="CA240" s="156"/>
      <c r="CB240" s="156"/>
      <c r="CC240" s="156"/>
      <c r="CD240" s="156"/>
      <c r="CE240" s="156"/>
      <c r="CF240" s="142"/>
      <c r="CH240" s="142"/>
      <c r="CI240" s="156"/>
      <c r="CJ240" s="156"/>
      <c r="CK240" s="156"/>
      <c r="CL240" s="156"/>
      <c r="CM240" s="156"/>
      <c r="CN240" s="156"/>
      <c r="CO240" s="156"/>
      <c r="CP240" s="156"/>
      <c r="CQ240" s="156"/>
      <c r="CR240" s="156"/>
      <c r="CS240" s="158"/>
    </row>
    <row r="241" spans="1:97" s="55" customFormat="1" ht="12.75" customHeight="1">
      <c r="A241" s="35" t="s">
        <v>276</v>
      </c>
      <c r="B241" s="51"/>
      <c r="C241" s="35" t="s">
        <v>38</v>
      </c>
      <c r="D241" s="44"/>
      <c r="E241" s="53">
        <f t="shared" si="40"/>
        <v>1872196</v>
      </c>
      <c r="F241" s="53"/>
      <c r="G241" s="53">
        <v>10899682</v>
      </c>
      <c r="H241" s="53"/>
      <c r="I241" s="53">
        <v>12771878</v>
      </c>
      <c r="J241" s="53"/>
      <c r="K241" s="53">
        <f t="shared" si="35"/>
        <v>202804</v>
      </c>
      <c r="L241" s="53"/>
      <c r="M241" s="53">
        <v>624070</v>
      </c>
      <c r="N241" s="53"/>
      <c r="O241" s="53">
        <v>826874</v>
      </c>
      <c r="P241" s="53"/>
      <c r="Q241" s="53">
        <v>10286477</v>
      </c>
      <c r="R241" s="53"/>
      <c r="S241" s="53">
        <v>0</v>
      </c>
      <c r="T241" s="53"/>
      <c r="U241" s="53">
        <v>1658527</v>
      </c>
      <c r="V241" s="53"/>
      <c r="W241" s="53">
        <f t="shared" si="41"/>
        <v>11945004</v>
      </c>
      <c r="X241" s="53"/>
      <c r="Y241" s="35" t="s">
        <v>276</v>
      </c>
      <c r="AA241" s="35" t="s">
        <v>38</v>
      </c>
      <c r="AB241" s="35"/>
      <c r="AC241" s="53">
        <v>1748540</v>
      </c>
      <c r="AD241" s="53"/>
      <c r="AE241" s="53">
        <v>1415328</v>
      </c>
      <c r="AF241" s="53"/>
      <c r="AG241" s="53">
        <v>446668</v>
      </c>
      <c r="AH241" s="53"/>
      <c r="AI241" s="45">
        <f t="shared" si="36"/>
        <v>-113456</v>
      </c>
      <c r="AJ241" s="45"/>
      <c r="AK241" s="53">
        <v>24217</v>
      </c>
      <c r="AL241" s="45"/>
      <c r="AM241" s="53">
        <v>0</v>
      </c>
      <c r="AN241" s="53"/>
      <c r="AO241" s="53">
        <v>916362</v>
      </c>
      <c r="AP241" s="53"/>
      <c r="AQ241" s="53">
        <v>0</v>
      </c>
      <c r="AR241" s="53"/>
      <c r="AS241" s="45">
        <f t="shared" si="37"/>
        <v>-1005601</v>
      </c>
      <c r="AT241" s="45"/>
      <c r="AU241" s="53">
        <v>0</v>
      </c>
      <c r="AV241" s="53"/>
      <c r="AW241" s="53">
        <v>0</v>
      </c>
      <c r="AX241" s="53"/>
      <c r="AY241" s="53">
        <f t="shared" si="38"/>
        <v>1669392</v>
      </c>
      <c r="AZ241" s="53"/>
      <c r="BA241" s="35" t="s">
        <v>276</v>
      </c>
      <c r="BC241" s="35" t="s">
        <v>38</v>
      </c>
      <c r="BD241" s="53"/>
      <c r="BE241" s="53">
        <v>0</v>
      </c>
      <c r="BF241" s="53"/>
      <c r="BG241" s="53">
        <v>0</v>
      </c>
      <c r="BH241" s="53"/>
      <c r="BI241" s="53">
        <v>552903</v>
      </c>
      <c r="BJ241" s="53"/>
      <c r="BK241" s="53">
        <v>71167</v>
      </c>
      <c r="BL241" s="53"/>
      <c r="BM241" s="53">
        <f t="shared" si="39"/>
        <v>624070</v>
      </c>
      <c r="BN241" s="54" t="s">
        <v>347</v>
      </c>
      <c r="BO241" s="55" t="s">
        <v>404</v>
      </c>
      <c r="BR241" s="51"/>
      <c r="BS241" s="53"/>
      <c r="BT241" s="53"/>
      <c r="BU241" s="53"/>
      <c r="BV241" s="53"/>
      <c r="BW241" s="53"/>
      <c r="BX241" s="45"/>
      <c r="BY241" s="45"/>
      <c r="BZ241" s="53"/>
      <c r="CA241" s="53"/>
      <c r="CB241" s="53"/>
      <c r="CC241" s="53"/>
      <c r="CD241" s="53"/>
      <c r="CE241" s="53"/>
      <c r="CF241" s="35"/>
      <c r="CH241" s="35"/>
      <c r="CI241" s="53"/>
      <c r="CJ241" s="53"/>
      <c r="CK241" s="53"/>
      <c r="CL241" s="53"/>
      <c r="CM241" s="53"/>
      <c r="CN241" s="53"/>
      <c r="CO241" s="53"/>
      <c r="CP241" s="53"/>
      <c r="CQ241" s="53"/>
      <c r="CR241" s="53"/>
      <c r="CS241" s="54"/>
    </row>
    <row r="242" spans="1:97" s="55" customFormat="1" ht="12.75" customHeight="1">
      <c r="A242" s="35" t="s">
        <v>277</v>
      </c>
      <c r="B242" s="51"/>
      <c r="C242" s="35" t="s">
        <v>92</v>
      </c>
      <c r="D242" s="44"/>
      <c r="E242" s="53">
        <f t="shared" si="40"/>
        <v>1916179</v>
      </c>
      <c r="F242" s="53"/>
      <c r="G242" s="53">
        <v>31029445</v>
      </c>
      <c r="H242" s="53"/>
      <c r="I242" s="53">
        <v>32945624</v>
      </c>
      <c r="J242" s="53"/>
      <c r="K242" s="53">
        <f t="shared" si="35"/>
        <v>998739</v>
      </c>
      <c r="L242" s="53"/>
      <c r="M242" s="53">
        <v>5308487</v>
      </c>
      <c r="N242" s="53"/>
      <c r="O242" s="53">
        <v>6307226</v>
      </c>
      <c r="P242" s="53"/>
      <c r="Q242" s="53">
        <v>25170113</v>
      </c>
      <c r="R242" s="53"/>
      <c r="S242" s="53">
        <v>292038</v>
      </c>
      <c r="T242" s="53"/>
      <c r="U242" s="53">
        <v>1176247</v>
      </c>
      <c r="V242" s="53"/>
      <c r="W242" s="53">
        <f t="shared" si="41"/>
        <v>26638398</v>
      </c>
      <c r="X242" s="53"/>
      <c r="Y242" s="35" t="s">
        <v>277</v>
      </c>
      <c r="AA242" s="35" t="s">
        <v>92</v>
      </c>
      <c r="AB242" s="35"/>
      <c r="AC242" s="53">
        <v>4353280</v>
      </c>
      <c r="AD242" s="53"/>
      <c r="AE242" s="53">
        <v>3263621</v>
      </c>
      <c r="AF242" s="53"/>
      <c r="AG242" s="53">
        <v>1428795</v>
      </c>
      <c r="AH242" s="53"/>
      <c r="AI242" s="45">
        <f t="shared" si="36"/>
        <v>-339136</v>
      </c>
      <c r="AJ242" s="45"/>
      <c r="AK242" s="53">
        <v>44372</v>
      </c>
      <c r="AL242" s="45"/>
      <c r="AM242" s="53">
        <v>51000</v>
      </c>
      <c r="AN242" s="53"/>
      <c r="AO242" s="53">
        <v>0</v>
      </c>
      <c r="AP242" s="53"/>
      <c r="AQ242" s="53">
        <v>247053</v>
      </c>
      <c r="AR242" s="53"/>
      <c r="AS242" s="45">
        <f t="shared" si="37"/>
        <v>3289</v>
      </c>
      <c r="AT242" s="45"/>
      <c r="AU242" s="53">
        <v>0</v>
      </c>
      <c r="AV242" s="53"/>
      <c r="AW242" s="53">
        <v>0</v>
      </c>
      <c r="AX242" s="53"/>
      <c r="AY242" s="53">
        <f t="shared" si="38"/>
        <v>917440</v>
      </c>
      <c r="AZ242" s="53"/>
      <c r="BA242" s="35" t="s">
        <v>277</v>
      </c>
      <c r="BC242" s="35" t="s">
        <v>92</v>
      </c>
      <c r="BD242" s="53"/>
      <c r="BE242" s="53">
        <v>0</v>
      </c>
      <c r="BF242" s="53"/>
      <c r="BG242" s="53">
        <v>4848636</v>
      </c>
      <c r="BH242" s="53"/>
      <c r="BI242" s="53">
        <v>0</v>
      </c>
      <c r="BJ242" s="53"/>
      <c r="BK242" s="53">
        <v>459851</v>
      </c>
      <c r="BL242" s="53"/>
      <c r="BM242" s="53">
        <f t="shared" si="39"/>
        <v>5308487</v>
      </c>
      <c r="BN242" s="54" t="s">
        <v>347</v>
      </c>
      <c r="BR242" s="51"/>
      <c r="BS242" s="53"/>
      <c r="BT242" s="53"/>
      <c r="BU242" s="53"/>
      <c r="BV242" s="53"/>
      <c r="BW242" s="53"/>
      <c r="BX242" s="45"/>
      <c r="BY242" s="45"/>
      <c r="BZ242" s="53"/>
      <c r="CA242" s="53"/>
      <c r="CB242" s="53"/>
      <c r="CC242" s="53"/>
      <c r="CD242" s="53"/>
      <c r="CE242" s="53"/>
      <c r="CF242" s="35"/>
      <c r="CH242" s="35"/>
      <c r="CI242" s="53"/>
      <c r="CJ242" s="53"/>
      <c r="CK242" s="53"/>
      <c r="CL242" s="53"/>
      <c r="CM242" s="53"/>
      <c r="CN242" s="53"/>
      <c r="CO242" s="53"/>
      <c r="CP242" s="53"/>
      <c r="CQ242" s="53"/>
      <c r="CR242" s="53"/>
      <c r="CS242" s="54"/>
    </row>
    <row r="243" spans="1:97" s="55" customFormat="1" ht="12.75" customHeight="1">
      <c r="A243" s="35" t="s">
        <v>278</v>
      </c>
      <c r="B243" s="51"/>
      <c r="C243" s="35" t="s">
        <v>92</v>
      </c>
      <c r="D243" s="44"/>
      <c r="E243" s="53">
        <f t="shared" si="40"/>
        <v>707611</v>
      </c>
      <c r="F243" s="53"/>
      <c r="G243" s="53">
        <v>16319379</v>
      </c>
      <c r="H243" s="53"/>
      <c r="I243" s="53">
        <v>17026990</v>
      </c>
      <c r="J243" s="53"/>
      <c r="K243" s="53">
        <f t="shared" si="35"/>
        <v>369063</v>
      </c>
      <c r="L243" s="53"/>
      <c r="M243" s="53">
        <v>13815092</v>
      </c>
      <c r="N243" s="53"/>
      <c r="O243" s="53">
        <v>14184155</v>
      </c>
      <c r="P243" s="53"/>
      <c r="Q243" s="53">
        <v>2150654</v>
      </c>
      <c r="R243" s="53"/>
      <c r="S243" s="53">
        <v>0</v>
      </c>
      <c r="T243" s="53"/>
      <c r="U243" s="53">
        <v>692181</v>
      </c>
      <c r="V243" s="53"/>
      <c r="W243" s="53">
        <f t="shared" si="41"/>
        <v>2842835</v>
      </c>
      <c r="X243" s="53"/>
      <c r="Y243" s="35" t="s">
        <v>278</v>
      </c>
      <c r="AA243" s="35" t="s">
        <v>92</v>
      </c>
      <c r="AB243" s="35"/>
      <c r="AC243" s="53">
        <v>1102212</v>
      </c>
      <c r="AD243" s="53"/>
      <c r="AE243" s="53">
        <v>1033032</v>
      </c>
      <c r="AF243" s="53"/>
      <c r="AG243" s="53">
        <v>89923</v>
      </c>
      <c r="AH243" s="53"/>
      <c r="AI243" s="45">
        <f t="shared" si="36"/>
        <v>-20743</v>
      </c>
      <c r="AJ243" s="45"/>
      <c r="AK243" s="53">
        <v>357768</v>
      </c>
      <c r="AL243" s="45"/>
      <c r="AM243" s="53">
        <v>693</v>
      </c>
      <c r="AN243" s="53"/>
      <c r="AO243" s="53">
        <v>0</v>
      </c>
      <c r="AP243" s="53"/>
      <c r="AQ243" s="53">
        <v>0</v>
      </c>
      <c r="AR243" s="53"/>
      <c r="AS243" s="45">
        <f t="shared" si="37"/>
        <v>337718</v>
      </c>
      <c r="AT243" s="45"/>
      <c r="AU243" s="53">
        <v>0</v>
      </c>
      <c r="AV243" s="53"/>
      <c r="AW243" s="53">
        <v>0</v>
      </c>
      <c r="AX243" s="53"/>
      <c r="AY243" s="53">
        <f t="shared" si="38"/>
        <v>338548</v>
      </c>
      <c r="AZ243" s="53"/>
      <c r="BA243" s="35" t="s">
        <v>278</v>
      </c>
      <c r="BC243" s="35" t="s">
        <v>92</v>
      </c>
      <c r="BD243" s="53"/>
      <c r="BE243" s="53">
        <v>0</v>
      </c>
      <c r="BF243" s="53"/>
      <c r="BG243" s="53">
        <v>0</v>
      </c>
      <c r="BH243" s="53"/>
      <c r="BI243" s="53">
        <v>13815092</v>
      </c>
      <c r="BJ243" s="53"/>
      <c r="BK243" s="53">
        <v>0</v>
      </c>
      <c r="BL243" s="53"/>
      <c r="BM243" s="53">
        <f t="shared" si="39"/>
        <v>13815092</v>
      </c>
      <c r="BN243" s="54" t="s">
        <v>347</v>
      </c>
      <c r="BR243" s="51"/>
      <c r="BS243" s="53"/>
      <c r="BT243" s="53"/>
      <c r="BU243" s="53"/>
      <c r="BV243" s="53"/>
      <c r="BW243" s="53"/>
      <c r="BX243" s="45"/>
      <c r="BY243" s="45"/>
      <c r="BZ243" s="53"/>
      <c r="CA243" s="53"/>
      <c r="CB243" s="53"/>
      <c r="CC243" s="53"/>
      <c r="CD243" s="53"/>
      <c r="CE243" s="53"/>
      <c r="CF243" s="35"/>
      <c r="CH243" s="35"/>
      <c r="CI243" s="53"/>
      <c r="CJ243" s="53"/>
      <c r="CK243" s="53"/>
      <c r="CL243" s="53"/>
      <c r="CM243" s="53"/>
      <c r="CN243" s="53"/>
      <c r="CO243" s="53"/>
      <c r="CP243" s="53"/>
      <c r="CQ243" s="53"/>
      <c r="CR243" s="53"/>
      <c r="CS243" s="54"/>
    </row>
    <row r="244" spans="1:97" s="159" customFormat="1" ht="15" hidden="1" customHeight="1">
      <c r="A244" s="142" t="s">
        <v>279</v>
      </c>
      <c r="B244" s="140"/>
      <c r="C244" s="142" t="s">
        <v>92</v>
      </c>
      <c r="D244" s="137"/>
      <c r="E244" s="156">
        <f t="shared" si="40"/>
        <v>0</v>
      </c>
      <c r="F244" s="156"/>
      <c r="G244" s="156">
        <v>0</v>
      </c>
      <c r="H244" s="156"/>
      <c r="I244" s="156">
        <v>0</v>
      </c>
      <c r="J244" s="156"/>
      <c r="K244" s="156">
        <f t="shared" si="35"/>
        <v>0</v>
      </c>
      <c r="L244" s="156"/>
      <c r="M244" s="156">
        <v>0</v>
      </c>
      <c r="N244" s="156"/>
      <c r="O244" s="156">
        <v>0</v>
      </c>
      <c r="P244" s="156"/>
      <c r="Q244" s="156">
        <v>0</v>
      </c>
      <c r="R244" s="156"/>
      <c r="S244" s="156">
        <v>0</v>
      </c>
      <c r="T244" s="156"/>
      <c r="U244" s="156">
        <v>0</v>
      </c>
      <c r="V244" s="156"/>
      <c r="W244" s="156">
        <f t="shared" si="41"/>
        <v>0</v>
      </c>
      <c r="X244" s="156"/>
      <c r="Y244" s="142" t="s">
        <v>279</v>
      </c>
      <c r="AA244" s="142" t="s">
        <v>92</v>
      </c>
      <c r="AB244" s="142"/>
      <c r="AC244" s="156">
        <v>0</v>
      </c>
      <c r="AD244" s="156"/>
      <c r="AE244" s="156">
        <v>0</v>
      </c>
      <c r="AF244" s="156"/>
      <c r="AG244" s="156">
        <v>0</v>
      </c>
      <c r="AH244" s="156"/>
      <c r="AI244" s="143">
        <f t="shared" si="36"/>
        <v>0</v>
      </c>
      <c r="AJ244" s="143"/>
      <c r="AK244" s="156">
        <v>0</v>
      </c>
      <c r="AL244" s="143"/>
      <c r="AM244" s="156">
        <v>0</v>
      </c>
      <c r="AN244" s="156"/>
      <c r="AO244" s="156">
        <v>0</v>
      </c>
      <c r="AP244" s="156"/>
      <c r="AQ244" s="156">
        <v>0</v>
      </c>
      <c r="AR244" s="156"/>
      <c r="AS244" s="143">
        <f t="shared" si="37"/>
        <v>0</v>
      </c>
      <c r="AT244" s="143"/>
      <c r="AU244" s="156">
        <v>0</v>
      </c>
      <c r="AV244" s="156"/>
      <c r="AW244" s="156">
        <v>0</v>
      </c>
      <c r="AX244" s="156"/>
      <c r="AY244" s="156">
        <f t="shared" si="38"/>
        <v>0</v>
      </c>
      <c r="AZ244" s="156"/>
      <c r="BA244" s="142" t="s">
        <v>279</v>
      </c>
      <c r="BC244" s="142" t="s">
        <v>92</v>
      </c>
      <c r="BD244" s="156"/>
      <c r="BE244" s="156">
        <v>0</v>
      </c>
      <c r="BF244" s="156"/>
      <c r="BG244" s="156">
        <v>0</v>
      </c>
      <c r="BH244" s="156"/>
      <c r="BI244" s="156">
        <v>0</v>
      </c>
      <c r="BJ244" s="156"/>
      <c r="BK244" s="156">
        <v>0</v>
      </c>
      <c r="BL244" s="156"/>
      <c r="BM244" s="156">
        <f t="shared" si="39"/>
        <v>0</v>
      </c>
      <c r="BN244" s="158" t="s">
        <v>347</v>
      </c>
      <c r="BO244" s="159" t="s">
        <v>404</v>
      </c>
      <c r="BR244" s="140"/>
      <c r="BS244" s="156"/>
      <c r="BT244" s="156"/>
      <c r="BU244" s="156"/>
      <c r="BV244" s="156"/>
      <c r="BW244" s="156"/>
      <c r="BX244" s="143"/>
      <c r="BY244" s="143"/>
      <c r="BZ244" s="156"/>
      <c r="CA244" s="156"/>
      <c r="CB244" s="156"/>
      <c r="CC244" s="156"/>
      <c r="CD244" s="156"/>
      <c r="CE244" s="156"/>
      <c r="CF244" s="142"/>
      <c r="CH244" s="142"/>
      <c r="CI244" s="156"/>
      <c r="CJ244" s="156"/>
      <c r="CK244" s="156"/>
      <c r="CL244" s="156"/>
      <c r="CM244" s="156"/>
      <c r="CN244" s="156"/>
      <c r="CO244" s="156"/>
      <c r="CP244" s="156"/>
      <c r="CQ244" s="156"/>
      <c r="CR244" s="156"/>
      <c r="CS244" s="158"/>
    </row>
    <row r="245" spans="1:97" s="55" customFormat="1" ht="12.75" customHeight="1">
      <c r="A245" s="35" t="s">
        <v>280</v>
      </c>
      <c r="B245" s="51"/>
      <c r="C245" s="35" t="s">
        <v>370</v>
      </c>
      <c r="D245" s="44"/>
      <c r="E245" s="53">
        <f t="shared" si="40"/>
        <v>3778126</v>
      </c>
      <c r="F245" s="53"/>
      <c r="G245" s="53">
        <v>13022287</v>
      </c>
      <c r="H245" s="53"/>
      <c r="I245" s="53">
        <v>16800413</v>
      </c>
      <c r="J245" s="53"/>
      <c r="K245" s="53">
        <f t="shared" si="35"/>
        <v>294814</v>
      </c>
      <c r="L245" s="53"/>
      <c r="M245" s="53">
        <v>2163436</v>
      </c>
      <c r="N245" s="53"/>
      <c r="O245" s="53">
        <v>2458250</v>
      </c>
      <c r="P245" s="53"/>
      <c r="Q245" s="53">
        <v>10742287</v>
      </c>
      <c r="R245" s="53"/>
      <c r="S245" s="53">
        <v>762484</v>
      </c>
      <c r="T245" s="53"/>
      <c r="U245" s="53">
        <v>2837392</v>
      </c>
      <c r="V245" s="53"/>
      <c r="W245" s="53">
        <f t="shared" si="41"/>
        <v>14342163</v>
      </c>
      <c r="X245" s="53"/>
      <c r="Y245" s="35" t="s">
        <v>280</v>
      </c>
      <c r="AA245" s="35" t="s">
        <v>370</v>
      </c>
      <c r="AB245" s="35"/>
      <c r="AC245" s="53">
        <v>2792646</v>
      </c>
      <c r="AD245" s="53"/>
      <c r="AE245" s="53">
        <v>1468450</v>
      </c>
      <c r="AF245" s="53"/>
      <c r="AG245" s="53">
        <v>828123</v>
      </c>
      <c r="AH245" s="53"/>
      <c r="AI245" s="45">
        <f t="shared" si="36"/>
        <v>496073</v>
      </c>
      <c r="AJ245" s="45"/>
      <c r="AK245" s="53">
        <v>-31568</v>
      </c>
      <c r="AL245" s="45"/>
      <c r="AM245" s="53">
        <v>0</v>
      </c>
      <c r="AN245" s="53"/>
      <c r="AO245" s="53">
        <v>0</v>
      </c>
      <c r="AP245" s="53"/>
      <c r="AQ245" s="53">
        <v>0</v>
      </c>
      <c r="AR245" s="53"/>
      <c r="AS245" s="45">
        <f t="shared" si="37"/>
        <v>464505</v>
      </c>
      <c r="AT245" s="45"/>
      <c r="AU245" s="53">
        <v>0</v>
      </c>
      <c r="AV245" s="53"/>
      <c r="AW245" s="53">
        <v>0</v>
      </c>
      <c r="AX245" s="53"/>
      <c r="AY245" s="53">
        <f t="shared" si="38"/>
        <v>3483312</v>
      </c>
      <c r="AZ245" s="53"/>
      <c r="BA245" s="35" t="s">
        <v>280</v>
      </c>
      <c r="BC245" s="35" t="s">
        <v>370</v>
      </c>
      <c r="BD245" s="53"/>
      <c r="BE245" s="53">
        <v>0</v>
      </c>
      <c r="BF245" s="53"/>
      <c r="BG245" s="53">
        <v>2120000</v>
      </c>
      <c r="BH245" s="53"/>
      <c r="BI245" s="53">
        <v>43436</v>
      </c>
      <c r="BJ245" s="53"/>
      <c r="BK245" s="53">
        <v>0</v>
      </c>
      <c r="BL245" s="53"/>
      <c r="BM245" s="53">
        <f t="shared" si="39"/>
        <v>2163436</v>
      </c>
      <c r="BN245" s="54" t="s">
        <v>347</v>
      </c>
      <c r="BR245" s="51"/>
      <c r="BS245" s="53"/>
      <c r="BT245" s="53"/>
      <c r="BU245" s="53"/>
      <c r="BV245" s="53"/>
      <c r="BW245" s="45"/>
      <c r="BX245" s="45"/>
      <c r="BY245" s="53"/>
      <c r="BZ245" s="53"/>
      <c r="CA245" s="53"/>
      <c r="CB245" s="53"/>
      <c r="CC245" s="53"/>
      <c r="CD245" s="53"/>
      <c r="CE245" s="53"/>
      <c r="CF245" s="35"/>
      <c r="CH245" s="35"/>
      <c r="CI245" s="53"/>
      <c r="CJ245" s="53"/>
      <c r="CK245" s="53"/>
      <c r="CL245" s="53"/>
      <c r="CM245" s="53"/>
      <c r="CN245" s="53"/>
      <c r="CO245" s="53"/>
      <c r="CP245" s="53"/>
      <c r="CQ245" s="53"/>
      <c r="CR245" s="53"/>
      <c r="CS245" s="54"/>
    </row>
    <row r="246" spans="1:97" s="159" customFormat="1" ht="12.75" hidden="1" customHeight="1">
      <c r="A246" s="142" t="s">
        <v>282</v>
      </c>
      <c r="B246" s="140"/>
      <c r="C246" s="142" t="s">
        <v>199</v>
      </c>
      <c r="D246" s="137"/>
      <c r="E246" s="156">
        <f t="shared" si="40"/>
        <v>0</v>
      </c>
      <c r="F246" s="156"/>
      <c r="G246" s="156"/>
      <c r="H246" s="156"/>
      <c r="I246" s="156"/>
      <c r="J246" s="156"/>
      <c r="K246" s="156">
        <f t="shared" si="35"/>
        <v>0</v>
      </c>
      <c r="L246" s="156"/>
      <c r="M246" s="156"/>
      <c r="N246" s="156"/>
      <c r="O246" s="156"/>
      <c r="P246" s="156"/>
      <c r="Q246" s="156"/>
      <c r="R246" s="156"/>
      <c r="S246" s="156"/>
      <c r="T246" s="156"/>
      <c r="U246" s="156"/>
      <c r="V246" s="156"/>
      <c r="W246" s="156">
        <f t="shared" si="41"/>
        <v>0</v>
      </c>
      <c r="X246" s="156"/>
      <c r="Y246" s="142" t="s">
        <v>282</v>
      </c>
      <c r="AA246" s="142" t="s">
        <v>199</v>
      </c>
      <c r="AB246" s="142"/>
      <c r="AC246" s="156"/>
      <c r="AD246" s="156"/>
      <c r="AE246" s="156"/>
      <c r="AF246" s="156"/>
      <c r="AG246" s="156"/>
      <c r="AH246" s="156"/>
      <c r="AI246" s="143">
        <f t="shared" si="36"/>
        <v>0</v>
      </c>
      <c r="AJ246" s="143"/>
      <c r="AK246" s="156"/>
      <c r="AL246" s="143"/>
      <c r="AM246" s="156"/>
      <c r="AN246" s="156"/>
      <c r="AO246" s="156"/>
      <c r="AP246" s="156"/>
      <c r="AQ246" s="156"/>
      <c r="AR246" s="156"/>
      <c r="AS246" s="143">
        <f t="shared" si="37"/>
        <v>0</v>
      </c>
      <c r="AT246" s="143"/>
      <c r="AU246" s="156">
        <v>0</v>
      </c>
      <c r="AV246" s="156"/>
      <c r="AW246" s="156">
        <v>0</v>
      </c>
      <c r="AX246" s="156"/>
      <c r="AY246" s="156">
        <f t="shared" si="38"/>
        <v>0</v>
      </c>
      <c r="AZ246" s="156"/>
      <c r="BA246" s="142" t="s">
        <v>282</v>
      </c>
      <c r="BC246" s="142" t="s">
        <v>199</v>
      </c>
      <c r="BD246" s="156"/>
      <c r="BE246" s="156"/>
      <c r="BF246" s="156"/>
      <c r="BG246" s="156"/>
      <c r="BH246" s="156"/>
      <c r="BI246" s="156"/>
      <c r="BJ246" s="156"/>
      <c r="BK246" s="156"/>
      <c r="BL246" s="156"/>
      <c r="BM246" s="156">
        <f t="shared" si="39"/>
        <v>0</v>
      </c>
      <c r="BN246" s="158" t="s">
        <v>347</v>
      </c>
      <c r="BR246" s="140"/>
      <c r="BS246" s="156"/>
      <c r="BT246" s="156"/>
      <c r="BU246" s="156"/>
      <c r="BV246" s="156"/>
      <c r="BW246" s="143"/>
      <c r="BX246" s="143"/>
      <c r="BY246" s="156"/>
      <c r="BZ246" s="156"/>
      <c r="CA246" s="156"/>
      <c r="CB246" s="156"/>
      <c r="CC246" s="156"/>
      <c r="CD246" s="156"/>
      <c r="CE246" s="156"/>
      <c r="CF246" s="142"/>
      <c r="CH246" s="142"/>
      <c r="CI246" s="156"/>
      <c r="CJ246" s="156"/>
      <c r="CK246" s="156"/>
      <c r="CL246" s="156"/>
      <c r="CM246" s="156"/>
      <c r="CN246" s="156"/>
      <c r="CO246" s="156"/>
      <c r="CP246" s="156"/>
      <c r="CQ246" s="156"/>
      <c r="CR246" s="156"/>
      <c r="CS246" s="158"/>
    </row>
    <row r="247" spans="1:97" s="159" customFormat="1" ht="12.75" hidden="1" customHeight="1">
      <c r="A247" s="142" t="s">
        <v>283</v>
      </c>
      <c r="B247" s="140"/>
      <c r="C247" s="142" t="s">
        <v>43</v>
      </c>
      <c r="D247" s="137"/>
      <c r="E247" s="156">
        <f t="shared" si="40"/>
        <v>0</v>
      </c>
      <c r="F247" s="156"/>
      <c r="G247" s="156">
        <v>0</v>
      </c>
      <c r="H247" s="156"/>
      <c r="I247" s="156">
        <v>0</v>
      </c>
      <c r="J247" s="156"/>
      <c r="K247" s="156">
        <f t="shared" si="35"/>
        <v>0</v>
      </c>
      <c r="L247" s="156"/>
      <c r="M247" s="156">
        <v>0</v>
      </c>
      <c r="N247" s="156"/>
      <c r="O247" s="156">
        <v>0</v>
      </c>
      <c r="P247" s="156"/>
      <c r="Q247" s="156">
        <v>0</v>
      </c>
      <c r="R247" s="156"/>
      <c r="S247" s="156">
        <v>0</v>
      </c>
      <c r="T247" s="156"/>
      <c r="U247" s="156">
        <v>0</v>
      </c>
      <c r="V247" s="156"/>
      <c r="W247" s="156">
        <f t="shared" si="41"/>
        <v>0</v>
      </c>
      <c r="X247" s="156"/>
      <c r="Y247" s="142" t="s">
        <v>283</v>
      </c>
      <c r="AA247" s="142" t="s">
        <v>43</v>
      </c>
      <c r="AB247" s="142"/>
      <c r="AC247" s="156">
        <v>0</v>
      </c>
      <c r="AD247" s="156"/>
      <c r="AE247" s="156">
        <v>0</v>
      </c>
      <c r="AF247" s="156"/>
      <c r="AG247" s="156">
        <v>0</v>
      </c>
      <c r="AH247" s="156"/>
      <c r="AI247" s="143">
        <f t="shared" si="36"/>
        <v>0</v>
      </c>
      <c r="AJ247" s="143"/>
      <c r="AK247" s="156">
        <v>0</v>
      </c>
      <c r="AL247" s="143"/>
      <c r="AM247" s="156">
        <v>0</v>
      </c>
      <c r="AN247" s="156"/>
      <c r="AO247" s="156">
        <v>0</v>
      </c>
      <c r="AP247" s="156"/>
      <c r="AQ247" s="156">
        <v>0</v>
      </c>
      <c r="AR247" s="156"/>
      <c r="AS247" s="143">
        <f t="shared" si="37"/>
        <v>0</v>
      </c>
      <c r="AT247" s="143"/>
      <c r="AU247" s="156">
        <v>0</v>
      </c>
      <c r="AV247" s="156"/>
      <c r="AW247" s="156">
        <v>0</v>
      </c>
      <c r="AX247" s="156"/>
      <c r="AY247" s="156">
        <f t="shared" si="38"/>
        <v>0</v>
      </c>
      <c r="AZ247" s="156"/>
      <c r="BA247" s="142" t="s">
        <v>283</v>
      </c>
      <c r="BC247" s="142" t="s">
        <v>43</v>
      </c>
      <c r="BD247" s="156"/>
      <c r="BE247" s="156">
        <v>0</v>
      </c>
      <c r="BF247" s="156"/>
      <c r="BG247" s="156">
        <v>0</v>
      </c>
      <c r="BH247" s="156"/>
      <c r="BI247" s="156">
        <v>0</v>
      </c>
      <c r="BJ247" s="156"/>
      <c r="BK247" s="156">
        <v>0</v>
      </c>
      <c r="BL247" s="156"/>
      <c r="BM247" s="156">
        <f t="shared" si="39"/>
        <v>0</v>
      </c>
      <c r="BN247" s="158" t="s">
        <v>347</v>
      </c>
      <c r="BR247" s="140"/>
      <c r="BS247" s="156"/>
      <c r="BT247" s="156"/>
      <c r="BU247" s="156"/>
      <c r="BV247" s="156"/>
      <c r="BW247" s="156"/>
      <c r="BX247" s="143"/>
      <c r="BY247" s="143"/>
      <c r="BZ247" s="156"/>
      <c r="CA247" s="156"/>
      <c r="CB247" s="156"/>
      <c r="CC247" s="156"/>
      <c r="CD247" s="156"/>
      <c r="CE247" s="156"/>
      <c r="CF247" s="142"/>
      <c r="CH247" s="142"/>
      <c r="CI247" s="156"/>
      <c r="CJ247" s="156"/>
      <c r="CK247" s="156"/>
      <c r="CL247" s="156"/>
      <c r="CM247" s="156"/>
      <c r="CN247" s="156"/>
      <c r="CO247" s="156"/>
      <c r="CP247" s="156"/>
      <c r="CQ247" s="156"/>
      <c r="CR247" s="156"/>
      <c r="CS247" s="158"/>
    </row>
    <row r="248" spans="1:97" s="159" customFormat="1" ht="12.75" hidden="1" customHeight="1">
      <c r="A248" s="142" t="s">
        <v>284</v>
      </c>
      <c r="B248" s="140"/>
      <c r="C248" s="142" t="s">
        <v>45</v>
      </c>
      <c r="D248" s="137"/>
      <c r="E248" s="156">
        <f t="shared" si="40"/>
        <v>0</v>
      </c>
      <c r="F248" s="156"/>
      <c r="G248" s="156">
        <v>0</v>
      </c>
      <c r="H248" s="156"/>
      <c r="I248" s="156">
        <v>0</v>
      </c>
      <c r="J248" s="156"/>
      <c r="K248" s="156">
        <f t="shared" si="35"/>
        <v>0</v>
      </c>
      <c r="L248" s="156"/>
      <c r="M248" s="156">
        <v>0</v>
      </c>
      <c r="N248" s="156"/>
      <c r="O248" s="156">
        <v>0</v>
      </c>
      <c r="P248" s="156"/>
      <c r="Q248" s="156">
        <v>0</v>
      </c>
      <c r="R248" s="156"/>
      <c r="S248" s="156">
        <v>0</v>
      </c>
      <c r="T248" s="156"/>
      <c r="U248" s="156">
        <v>0</v>
      </c>
      <c r="V248" s="156"/>
      <c r="W248" s="156">
        <f t="shared" si="41"/>
        <v>0</v>
      </c>
      <c r="X248" s="156"/>
      <c r="Y248" s="142" t="s">
        <v>284</v>
      </c>
      <c r="AA248" s="142" t="s">
        <v>45</v>
      </c>
      <c r="AB248" s="142"/>
      <c r="AC248" s="156">
        <v>0</v>
      </c>
      <c r="AD248" s="156"/>
      <c r="AE248" s="156">
        <v>0</v>
      </c>
      <c r="AF248" s="156"/>
      <c r="AG248" s="156">
        <v>0</v>
      </c>
      <c r="AH248" s="156"/>
      <c r="AI248" s="143">
        <f t="shared" si="36"/>
        <v>0</v>
      </c>
      <c r="AJ248" s="143"/>
      <c r="AK248" s="156">
        <v>0</v>
      </c>
      <c r="AL248" s="143"/>
      <c r="AM248" s="156">
        <v>0</v>
      </c>
      <c r="AN248" s="156"/>
      <c r="AO248" s="156">
        <v>0</v>
      </c>
      <c r="AP248" s="156"/>
      <c r="AQ248" s="156">
        <v>0</v>
      </c>
      <c r="AR248" s="156"/>
      <c r="AS248" s="143">
        <f t="shared" si="37"/>
        <v>0</v>
      </c>
      <c r="AT248" s="143"/>
      <c r="AU248" s="156">
        <v>0</v>
      </c>
      <c r="AV248" s="156"/>
      <c r="AW248" s="156">
        <v>0</v>
      </c>
      <c r="AX248" s="156"/>
      <c r="AY248" s="156">
        <f t="shared" si="38"/>
        <v>0</v>
      </c>
      <c r="AZ248" s="156"/>
      <c r="BA248" s="142" t="s">
        <v>284</v>
      </c>
      <c r="BC248" s="142" t="s">
        <v>45</v>
      </c>
      <c r="BD248" s="156"/>
      <c r="BE248" s="156">
        <v>0</v>
      </c>
      <c r="BF248" s="156"/>
      <c r="BG248" s="156">
        <v>0</v>
      </c>
      <c r="BH248" s="156"/>
      <c r="BI248" s="156">
        <v>0</v>
      </c>
      <c r="BJ248" s="156"/>
      <c r="BK248" s="156">
        <v>0</v>
      </c>
      <c r="BL248" s="156"/>
      <c r="BM248" s="156">
        <f t="shared" si="39"/>
        <v>0</v>
      </c>
      <c r="BN248" s="158" t="s">
        <v>347</v>
      </c>
      <c r="BR248" s="140"/>
      <c r="BS248" s="156"/>
      <c r="BT248" s="156"/>
      <c r="BU248" s="156"/>
      <c r="BV248" s="156"/>
      <c r="BW248" s="156"/>
      <c r="BX248" s="143"/>
      <c r="BY248" s="143"/>
      <c r="BZ248" s="156"/>
      <c r="CA248" s="156"/>
      <c r="CB248" s="156"/>
      <c r="CC248" s="156"/>
      <c r="CD248" s="156"/>
      <c r="CE248" s="156"/>
      <c r="CF248" s="142"/>
      <c r="CH248" s="142"/>
      <c r="CI248" s="156"/>
      <c r="CJ248" s="156"/>
      <c r="CK248" s="156"/>
      <c r="CL248" s="156"/>
      <c r="CM248" s="156"/>
      <c r="CN248" s="156"/>
      <c r="CO248" s="156"/>
      <c r="CP248" s="156"/>
      <c r="CQ248" s="156"/>
      <c r="CR248" s="156"/>
      <c r="CS248" s="158"/>
    </row>
    <row r="249" spans="1:97" s="55" customFormat="1" ht="12.75" customHeight="1">
      <c r="A249" s="35" t="s">
        <v>285</v>
      </c>
      <c r="B249" s="51"/>
      <c r="C249" s="35" t="s">
        <v>30</v>
      </c>
      <c r="D249" s="44"/>
      <c r="E249" s="53">
        <f t="shared" si="40"/>
        <v>2669210</v>
      </c>
      <c r="F249" s="53"/>
      <c r="G249" s="53">
        <v>13951206</v>
      </c>
      <c r="H249" s="53"/>
      <c r="I249" s="53">
        <v>16620416</v>
      </c>
      <c r="J249" s="53"/>
      <c r="K249" s="53">
        <f t="shared" si="35"/>
        <v>796160</v>
      </c>
      <c r="L249" s="53"/>
      <c r="M249" s="53">
        <v>6442724</v>
      </c>
      <c r="N249" s="53"/>
      <c r="O249" s="53">
        <v>7238884</v>
      </c>
      <c r="P249" s="53"/>
      <c r="Q249" s="53">
        <v>7109351</v>
      </c>
      <c r="R249" s="53"/>
      <c r="S249" s="53">
        <v>0</v>
      </c>
      <c r="T249" s="53"/>
      <c r="U249" s="53">
        <v>2272181</v>
      </c>
      <c r="V249" s="53"/>
      <c r="W249" s="53">
        <f t="shared" si="41"/>
        <v>9381532</v>
      </c>
      <c r="X249" s="53"/>
      <c r="Y249" s="35" t="s">
        <v>285</v>
      </c>
      <c r="AA249" s="35" t="s">
        <v>30</v>
      </c>
      <c r="AB249" s="35"/>
      <c r="AC249" s="53">
        <v>3944635</v>
      </c>
      <c r="AD249" s="53"/>
      <c r="AE249" s="53">
        <v>2822725</v>
      </c>
      <c r="AF249" s="53"/>
      <c r="AG249" s="53">
        <v>1044730</v>
      </c>
      <c r="AH249" s="53"/>
      <c r="AI249" s="45">
        <f t="shared" si="36"/>
        <v>77180</v>
      </c>
      <c r="AJ249" s="45"/>
      <c r="AK249" s="53">
        <v>-27303</v>
      </c>
      <c r="AL249" s="45"/>
      <c r="AM249" s="53">
        <v>0</v>
      </c>
      <c r="AN249" s="53"/>
      <c r="AO249" s="53">
        <v>0</v>
      </c>
      <c r="AP249" s="53"/>
      <c r="AQ249" s="53">
        <v>0</v>
      </c>
      <c r="AR249" s="53"/>
      <c r="AS249" s="45">
        <f t="shared" si="37"/>
        <v>49877</v>
      </c>
      <c r="AT249" s="45"/>
      <c r="AU249" s="53">
        <v>0</v>
      </c>
      <c r="AV249" s="53"/>
      <c r="AW249" s="53">
        <v>0</v>
      </c>
      <c r="AX249" s="53"/>
      <c r="AY249" s="53">
        <f t="shared" si="38"/>
        <v>1873050</v>
      </c>
      <c r="AZ249" s="53"/>
      <c r="BA249" s="35" t="s">
        <v>285</v>
      </c>
      <c r="BC249" s="35" t="s">
        <v>30</v>
      </c>
      <c r="BD249" s="53"/>
      <c r="BE249" s="53">
        <v>0</v>
      </c>
      <c r="BF249" s="53"/>
      <c r="BG249" s="53">
        <v>0</v>
      </c>
      <c r="BH249" s="53"/>
      <c r="BI249" s="53">
        <v>5430029</v>
      </c>
      <c r="BJ249" s="53"/>
      <c r="BK249" s="53">
        <v>1012695</v>
      </c>
      <c r="BL249" s="53"/>
      <c r="BM249" s="53">
        <f t="shared" si="39"/>
        <v>6442724</v>
      </c>
      <c r="BN249" s="54" t="s">
        <v>347</v>
      </c>
      <c r="BR249" s="51"/>
      <c r="BS249" s="53"/>
      <c r="BT249" s="53"/>
      <c r="BU249" s="53"/>
      <c r="BV249" s="53"/>
      <c r="BW249" s="53"/>
      <c r="BX249" s="45"/>
      <c r="BY249" s="45"/>
      <c r="BZ249" s="53"/>
      <c r="CA249" s="53"/>
      <c r="CB249" s="53"/>
      <c r="CC249" s="53"/>
      <c r="CD249" s="53"/>
      <c r="CE249" s="53"/>
      <c r="CF249" s="35"/>
      <c r="CH249" s="35"/>
      <c r="CI249" s="53"/>
      <c r="CJ249" s="53"/>
      <c r="CK249" s="53"/>
      <c r="CL249" s="53"/>
      <c r="CM249" s="53"/>
      <c r="CN249" s="53"/>
      <c r="CO249" s="53"/>
      <c r="CP249" s="53"/>
      <c r="CQ249" s="53"/>
      <c r="CR249" s="53"/>
      <c r="CS249" s="54"/>
    </row>
    <row r="250" spans="1:97" s="55" customFormat="1" ht="12.75" customHeight="1">
      <c r="A250" s="35" t="s">
        <v>286</v>
      </c>
      <c r="C250" s="35" t="s">
        <v>61</v>
      </c>
      <c r="D250" s="44"/>
      <c r="E250" s="53">
        <f t="shared" si="40"/>
        <v>9332429</v>
      </c>
      <c r="F250" s="53"/>
      <c r="G250" s="53">
        <v>38739408</v>
      </c>
      <c r="H250" s="53"/>
      <c r="I250" s="53">
        <v>48071837</v>
      </c>
      <c r="J250" s="53"/>
      <c r="K250" s="53">
        <f t="shared" si="35"/>
        <v>2135553</v>
      </c>
      <c r="L250" s="53"/>
      <c r="M250" s="53">
        <v>6117378</v>
      </c>
      <c r="N250" s="53"/>
      <c r="O250" s="53">
        <v>8252931</v>
      </c>
      <c r="P250" s="53"/>
      <c r="Q250" s="53">
        <v>32583745</v>
      </c>
      <c r="R250" s="53"/>
      <c r="S250" s="53">
        <v>0</v>
      </c>
      <c r="T250" s="53"/>
      <c r="U250" s="53">
        <v>7235161</v>
      </c>
      <c r="V250" s="53"/>
      <c r="W250" s="53">
        <f t="shared" si="41"/>
        <v>39818906</v>
      </c>
      <c r="X250" s="53"/>
      <c r="Y250" s="35" t="s">
        <v>286</v>
      </c>
      <c r="AA250" s="35" t="s">
        <v>61</v>
      </c>
      <c r="AB250" s="35"/>
      <c r="AC250" s="53">
        <v>17390356</v>
      </c>
      <c r="AD250" s="53"/>
      <c r="AE250" s="53">
        <v>14727004</v>
      </c>
      <c r="AF250" s="53"/>
      <c r="AG250" s="53">
        <v>1782798</v>
      </c>
      <c r="AH250" s="53"/>
      <c r="AI250" s="45">
        <f t="shared" si="36"/>
        <v>880554</v>
      </c>
      <c r="AJ250" s="45"/>
      <c r="AK250" s="53">
        <v>-285874</v>
      </c>
      <c r="AL250" s="45"/>
      <c r="AM250" s="53">
        <v>0</v>
      </c>
      <c r="AN250" s="53"/>
      <c r="AO250" s="53">
        <v>38979</v>
      </c>
      <c r="AP250" s="53"/>
      <c r="AQ250" s="53">
        <v>0</v>
      </c>
      <c r="AR250" s="53"/>
      <c r="AS250" s="45">
        <f t="shared" si="37"/>
        <v>555701</v>
      </c>
      <c r="AT250" s="45"/>
      <c r="AU250" s="53">
        <v>0</v>
      </c>
      <c r="AV250" s="53"/>
      <c r="AW250" s="53">
        <v>0</v>
      </c>
      <c r="AX250" s="53"/>
      <c r="AY250" s="53">
        <f t="shared" si="38"/>
        <v>7196876</v>
      </c>
      <c r="AZ250" s="53"/>
      <c r="BA250" s="35" t="s">
        <v>286</v>
      </c>
      <c r="BC250" s="35" t="s">
        <v>61</v>
      </c>
      <c r="BD250" s="53"/>
      <c r="BE250" s="53">
        <v>175370</v>
      </c>
      <c r="BF250" s="53"/>
      <c r="BG250" s="53">
        <v>0</v>
      </c>
      <c r="BH250" s="53"/>
      <c r="BI250" s="53">
        <v>5291843</v>
      </c>
      <c r="BJ250" s="53"/>
      <c r="BK250" s="53">
        <v>650165</v>
      </c>
      <c r="BL250" s="53"/>
      <c r="BM250" s="53">
        <f t="shared" si="39"/>
        <v>6117378</v>
      </c>
      <c r="BN250" s="54" t="s">
        <v>347</v>
      </c>
      <c r="BR250" s="51"/>
      <c r="BS250" s="53"/>
      <c r="BT250" s="53"/>
      <c r="BU250" s="53"/>
      <c r="BV250" s="53"/>
      <c r="BW250" s="53"/>
      <c r="BX250" s="45"/>
      <c r="BY250" s="45"/>
      <c r="BZ250" s="53"/>
      <c r="CA250" s="53"/>
      <c r="CB250" s="53"/>
      <c r="CC250" s="53"/>
      <c r="CD250" s="53"/>
      <c r="CE250" s="53"/>
      <c r="CF250" s="35"/>
      <c r="CH250" s="35"/>
      <c r="CI250" s="53"/>
      <c r="CJ250" s="53"/>
      <c r="CK250" s="53"/>
      <c r="CL250" s="53"/>
      <c r="CM250" s="53"/>
      <c r="CN250" s="53"/>
      <c r="CO250" s="53"/>
      <c r="CP250" s="53"/>
      <c r="CQ250" s="53"/>
      <c r="CR250" s="53"/>
      <c r="CS250" s="54"/>
    </row>
    <row r="251" spans="1:97" s="55" customFormat="1" ht="12.75" customHeight="1">
      <c r="A251" s="35" t="s">
        <v>287</v>
      </c>
      <c r="C251" s="35" t="s">
        <v>288</v>
      </c>
      <c r="D251" s="44"/>
      <c r="E251" s="53">
        <f t="shared" si="40"/>
        <v>4682533</v>
      </c>
      <c r="F251" s="53"/>
      <c r="G251" s="53">
        <v>30013257</v>
      </c>
      <c r="H251" s="53"/>
      <c r="I251" s="53">
        <v>34695790</v>
      </c>
      <c r="J251" s="53"/>
      <c r="K251" s="53">
        <f t="shared" si="35"/>
        <v>3163852</v>
      </c>
      <c r="L251" s="53"/>
      <c r="M251" s="53">
        <v>12206061</v>
      </c>
      <c r="N251" s="53"/>
      <c r="O251" s="53">
        <v>15369913</v>
      </c>
      <c r="P251" s="53"/>
      <c r="Q251" s="53">
        <v>15364358</v>
      </c>
      <c r="R251" s="53"/>
      <c r="S251" s="53">
        <v>0</v>
      </c>
      <c r="T251" s="53"/>
      <c r="U251" s="53">
        <v>3961519</v>
      </c>
      <c r="V251" s="53"/>
      <c r="W251" s="53">
        <f t="shared" si="41"/>
        <v>19325877</v>
      </c>
      <c r="X251" s="53"/>
      <c r="Y251" s="35" t="s">
        <v>287</v>
      </c>
      <c r="AA251" s="35" t="s">
        <v>288</v>
      </c>
      <c r="AB251" s="35"/>
      <c r="AC251" s="53">
        <v>5410918</v>
      </c>
      <c r="AD251" s="53"/>
      <c r="AE251" s="53">
        <v>3514793</v>
      </c>
      <c r="AF251" s="53"/>
      <c r="AG251" s="53">
        <v>456265</v>
      </c>
      <c r="AH251" s="53"/>
      <c r="AI251" s="45">
        <f t="shared" si="36"/>
        <v>1439860</v>
      </c>
      <c r="AJ251" s="45"/>
      <c r="AK251" s="53">
        <v>-593630</v>
      </c>
      <c r="AL251" s="45"/>
      <c r="AM251" s="53">
        <v>0</v>
      </c>
      <c r="AN251" s="53"/>
      <c r="AO251" s="53">
        <v>0</v>
      </c>
      <c r="AP251" s="53"/>
      <c r="AQ251" s="53">
        <v>0</v>
      </c>
      <c r="AR251" s="53"/>
      <c r="AS251" s="45">
        <f t="shared" si="37"/>
        <v>846230</v>
      </c>
      <c r="AT251" s="45"/>
      <c r="AU251" s="53">
        <v>0</v>
      </c>
      <c r="AV251" s="53"/>
      <c r="AW251" s="53">
        <v>0</v>
      </c>
      <c r="AX251" s="53"/>
      <c r="AY251" s="53">
        <f t="shared" si="38"/>
        <v>1518681</v>
      </c>
      <c r="AZ251" s="53"/>
      <c r="BA251" s="35" t="s">
        <v>287</v>
      </c>
      <c r="BC251" s="35" t="s">
        <v>288</v>
      </c>
      <c r="BD251" s="53"/>
      <c r="BE251" s="53">
        <v>187500</v>
      </c>
      <c r="BF251" s="53"/>
      <c r="BG251" s="53">
        <v>0</v>
      </c>
      <c r="BH251" s="53"/>
      <c r="BI251" s="53">
        <v>11954482</v>
      </c>
      <c r="BJ251" s="53"/>
      <c r="BK251" s="53">
        <v>64079</v>
      </c>
      <c r="BL251" s="53"/>
      <c r="BM251" s="53">
        <f t="shared" si="39"/>
        <v>12206061</v>
      </c>
      <c r="BN251" s="54" t="s">
        <v>347</v>
      </c>
      <c r="BR251" s="51"/>
      <c r="BS251" s="53"/>
      <c r="BT251" s="53"/>
      <c r="BU251" s="53"/>
      <c r="BV251" s="53"/>
      <c r="BW251" s="53"/>
      <c r="BX251" s="45"/>
      <c r="BY251" s="45"/>
      <c r="BZ251" s="53"/>
      <c r="CA251" s="53"/>
      <c r="CB251" s="53"/>
      <c r="CC251" s="53"/>
      <c r="CD251" s="53"/>
      <c r="CE251" s="53"/>
      <c r="CF251" s="35"/>
      <c r="CH251" s="35"/>
      <c r="CI251" s="53"/>
      <c r="CJ251" s="53"/>
      <c r="CK251" s="53"/>
      <c r="CL251" s="53"/>
      <c r="CM251" s="53"/>
      <c r="CN251" s="53"/>
      <c r="CO251" s="53"/>
      <c r="CP251" s="53"/>
      <c r="CQ251" s="53"/>
      <c r="CR251" s="53"/>
      <c r="CS251" s="54"/>
    </row>
    <row r="252" spans="1:97" s="55" customFormat="1" ht="12.75" customHeight="1">
      <c r="A252" s="35"/>
      <c r="C252" s="35"/>
      <c r="D252" s="44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35"/>
      <c r="AA252" s="35"/>
      <c r="AB252" s="35"/>
      <c r="AC252" s="53"/>
      <c r="AD252" s="53"/>
      <c r="AE252" s="53"/>
      <c r="AF252" s="53"/>
      <c r="AG252" s="53"/>
      <c r="AH252" s="53"/>
      <c r="AI252" s="45"/>
      <c r="AJ252" s="45"/>
      <c r="AK252" s="45"/>
      <c r="AL252" s="45"/>
      <c r="AM252" s="53"/>
      <c r="AN252" s="53"/>
      <c r="AO252" s="53"/>
      <c r="AP252" s="53"/>
      <c r="AQ252" s="53"/>
      <c r="AR252" s="53"/>
      <c r="AS252" s="45"/>
      <c r="AT252" s="45"/>
      <c r="AU252" s="53"/>
      <c r="AV252" s="53"/>
      <c r="AW252" s="53"/>
      <c r="AX252" s="53"/>
      <c r="AY252" s="53"/>
      <c r="AZ252" s="53"/>
      <c r="BA252" s="35"/>
      <c r="BC252" s="35"/>
      <c r="BD252" s="53"/>
      <c r="BE252" s="53"/>
      <c r="BF252" s="53"/>
      <c r="BG252" s="53"/>
      <c r="BH252" s="53"/>
      <c r="BI252" s="53"/>
      <c r="BJ252" s="53"/>
      <c r="BK252" s="53"/>
      <c r="BL252" s="53"/>
      <c r="BM252" s="53"/>
      <c r="BN252" s="54"/>
      <c r="BR252" s="51"/>
      <c r="BS252" s="53"/>
      <c r="BT252" s="53"/>
      <c r="BU252" s="53"/>
      <c r="BV252" s="53"/>
      <c r="BW252" s="53"/>
      <c r="BX252" s="45"/>
      <c r="BY252" s="45"/>
      <c r="BZ252" s="53"/>
      <c r="CA252" s="53"/>
      <c r="CB252" s="53"/>
      <c r="CC252" s="53"/>
      <c r="CD252" s="53"/>
      <c r="CE252" s="53"/>
      <c r="CF252" s="35"/>
      <c r="CH252" s="35"/>
      <c r="CI252" s="53"/>
      <c r="CJ252" s="53"/>
      <c r="CK252" s="53"/>
      <c r="CL252" s="53"/>
      <c r="CM252" s="53"/>
      <c r="CN252" s="53"/>
      <c r="CO252" s="53"/>
      <c r="CP252" s="53"/>
      <c r="CQ252" s="53"/>
      <c r="CR252" s="53"/>
      <c r="CS252" s="54"/>
    </row>
    <row r="253" spans="1:97" s="55" customFormat="1" ht="12.75" customHeight="1">
      <c r="B253" s="51"/>
      <c r="D253" s="44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AC253" s="53"/>
      <c r="AD253" s="53"/>
      <c r="AE253" s="53"/>
      <c r="AF253" s="53"/>
      <c r="AG253" s="53"/>
      <c r="AH253" s="53"/>
      <c r="AI253" s="45"/>
      <c r="AJ253" s="45"/>
      <c r="AK253" s="45"/>
      <c r="AL253" s="45"/>
      <c r="AM253" s="53"/>
      <c r="AN253" s="53"/>
      <c r="AO253" s="53"/>
      <c r="AP253" s="53"/>
      <c r="AQ253" s="53"/>
      <c r="AR253" s="53"/>
      <c r="AS253" s="45"/>
      <c r="AT253" s="45"/>
      <c r="AU253" s="53"/>
      <c r="AV253" s="53"/>
      <c r="AW253" s="53"/>
      <c r="AX253" s="53"/>
      <c r="AY253" s="53"/>
      <c r="BE253" s="53"/>
      <c r="BF253" s="53"/>
      <c r="BG253" s="53"/>
      <c r="BH253" s="53"/>
      <c r="BI253" s="53"/>
      <c r="BJ253" s="53"/>
      <c r="BK253" s="53"/>
      <c r="BL253" s="53"/>
      <c r="BM253" s="53"/>
      <c r="BP253" s="45"/>
      <c r="BQ253" s="45"/>
      <c r="BR253" s="45"/>
      <c r="BS253" s="45"/>
      <c r="BT253" s="45"/>
      <c r="BU253" s="45"/>
      <c r="BV253" s="45"/>
      <c r="BW253" s="45"/>
      <c r="CG253" s="47"/>
    </row>
    <row r="254" spans="1:97" s="55" customFormat="1" ht="12.75" customHeight="1">
      <c r="B254" s="51"/>
      <c r="D254" s="44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AC254" s="53"/>
      <c r="AD254" s="53"/>
      <c r="AE254" s="53"/>
      <c r="AF254" s="53"/>
      <c r="AG254" s="53"/>
      <c r="AH254" s="53"/>
      <c r="AI254" s="45"/>
      <c r="AJ254" s="45"/>
      <c r="AK254" s="45"/>
      <c r="AL254" s="45"/>
      <c r="AM254" s="53"/>
      <c r="AN254" s="53"/>
      <c r="AO254" s="53"/>
      <c r="AP254" s="53"/>
      <c r="AQ254" s="53"/>
      <c r="AR254" s="53"/>
      <c r="AS254" s="45"/>
      <c r="AT254" s="45"/>
      <c r="AU254" s="53"/>
      <c r="AV254" s="53"/>
      <c r="AW254" s="53"/>
      <c r="AX254" s="53"/>
      <c r="AY254" s="53"/>
      <c r="BE254" s="53"/>
      <c r="BF254" s="53"/>
      <c r="BG254" s="53"/>
      <c r="BH254" s="53"/>
      <c r="BI254" s="53"/>
      <c r="BJ254" s="53"/>
      <c r="BK254" s="53"/>
      <c r="BL254" s="53"/>
      <c r="BM254" s="53"/>
      <c r="BP254" s="45"/>
      <c r="BQ254" s="45"/>
      <c r="BR254" s="45"/>
      <c r="BS254" s="45"/>
      <c r="BT254" s="45"/>
      <c r="BU254" s="45"/>
      <c r="BV254" s="45"/>
      <c r="BW254" s="45"/>
      <c r="CG254" s="47"/>
    </row>
    <row r="255" spans="1:97" s="55" customFormat="1" ht="12.75" customHeight="1">
      <c r="A255" s="44"/>
      <c r="B255" s="51"/>
      <c r="C255" s="44"/>
      <c r="D255" s="44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44"/>
      <c r="AA255" s="44"/>
      <c r="AB255" s="44"/>
      <c r="AC255" s="53"/>
      <c r="AD255" s="53"/>
      <c r="AE255" s="53"/>
      <c r="AF255" s="53"/>
      <c r="AG255" s="53"/>
      <c r="AH255" s="53"/>
      <c r="AI255" s="45"/>
      <c r="AJ255" s="45"/>
      <c r="AK255" s="45"/>
      <c r="AL255" s="45"/>
      <c r="AM255" s="53"/>
      <c r="AN255" s="53"/>
      <c r="AO255" s="53"/>
      <c r="AP255" s="53"/>
      <c r="AQ255" s="53"/>
      <c r="AR255" s="53"/>
      <c r="AS255" s="45"/>
      <c r="AT255" s="45"/>
      <c r="AU255" s="53"/>
      <c r="AV255" s="53"/>
      <c r="AW255" s="53"/>
      <c r="AX255" s="53"/>
      <c r="AY255" s="53"/>
      <c r="AZ255" s="53"/>
      <c r="BA255" s="44"/>
      <c r="BC255" s="44"/>
      <c r="BD255" s="53"/>
      <c r="BE255" s="53"/>
      <c r="BF255" s="53"/>
      <c r="BG255" s="53"/>
      <c r="BH255" s="53"/>
      <c r="BI255" s="53"/>
      <c r="BJ255" s="53"/>
      <c r="BK255" s="53"/>
      <c r="BL255" s="53"/>
      <c r="BM255" s="53"/>
      <c r="BN255" s="54"/>
      <c r="BR255" s="51"/>
      <c r="BS255" s="53"/>
      <c r="BT255" s="53"/>
      <c r="BU255" s="53"/>
      <c r="BV255" s="53"/>
      <c r="BW255" s="53"/>
      <c r="BX255" s="45"/>
      <c r="BY255" s="45"/>
      <c r="BZ255" s="53"/>
      <c r="CA255" s="53"/>
      <c r="CB255" s="53"/>
      <c r="CC255" s="53"/>
      <c r="CD255" s="53"/>
      <c r="CE255" s="53"/>
      <c r="CF255" s="44"/>
      <c r="CH255" s="44"/>
      <c r="CI255" s="53"/>
      <c r="CJ255" s="53"/>
      <c r="CK255" s="53"/>
      <c r="CL255" s="53"/>
      <c r="CM255" s="53"/>
      <c r="CN255" s="53"/>
      <c r="CO255" s="53"/>
      <c r="CP255" s="53"/>
      <c r="CQ255" s="53"/>
      <c r="CR255" s="53"/>
      <c r="CS255" s="54"/>
    </row>
    <row r="256" spans="1:97" s="55" customFormat="1" ht="12.75" customHeight="1">
      <c r="B256" s="51"/>
      <c r="D256" s="44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B256" s="47"/>
      <c r="BD256" s="35"/>
      <c r="BE256" s="35"/>
      <c r="BF256" s="35"/>
      <c r="BG256" s="35"/>
      <c r="BH256" s="35"/>
      <c r="BI256" s="35"/>
      <c r="BJ256" s="35"/>
      <c r="BK256" s="35"/>
      <c r="BL256" s="35"/>
      <c r="BM256" s="35"/>
      <c r="BN256" s="35"/>
      <c r="BR256" s="51"/>
      <c r="BS256" s="35"/>
      <c r="BT256" s="35"/>
      <c r="BU256" s="35"/>
      <c r="BV256" s="35"/>
      <c r="BW256" s="35"/>
      <c r="BX256" s="45"/>
      <c r="BY256" s="45"/>
      <c r="BZ256" s="35"/>
      <c r="CA256" s="35"/>
      <c r="CB256" s="35"/>
      <c r="CC256" s="35"/>
      <c r="CD256" s="35"/>
      <c r="CE256" s="35"/>
      <c r="CG256" s="47"/>
      <c r="CI256" s="35"/>
      <c r="CJ256" s="35"/>
      <c r="CK256" s="35"/>
      <c r="CL256" s="35"/>
      <c r="CM256" s="35"/>
      <c r="CN256" s="35"/>
      <c r="CO256" s="35"/>
      <c r="CP256" s="35"/>
      <c r="CQ256" s="35"/>
      <c r="CR256" s="35"/>
      <c r="CS256" s="35"/>
    </row>
    <row r="257" spans="2:97" s="55" customFormat="1" ht="12.75" customHeight="1">
      <c r="B257" s="51"/>
      <c r="D257" s="44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E257" s="47"/>
      <c r="BH257" s="35"/>
      <c r="BI257" s="35"/>
      <c r="BJ257" s="35"/>
      <c r="BK257" s="35"/>
      <c r="BL257" s="35"/>
      <c r="BM257" s="35"/>
      <c r="BN257" s="35"/>
      <c r="BO257" s="35"/>
      <c r="BP257" s="35"/>
      <c r="BQ257" s="35"/>
      <c r="BR257" s="35"/>
      <c r="BS257" s="35"/>
      <c r="BT257" s="35"/>
      <c r="BU257" s="35"/>
      <c r="BV257" s="35"/>
      <c r="BW257" s="35"/>
      <c r="BX257" s="35"/>
      <c r="BY257" s="35"/>
      <c r="BZ257" s="35"/>
      <c r="CA257" s="35"/>
      <c r="CB257" s="35"/>
      <c r="CC257" s="35"/>
      <c r="CD257" s="35"/>
      <c r="CE257" s="35"/>
      <c r="CG257" s="47"/>
      <c r="CI257" s="35"/>
      <c r="CJ257" s="35"/>
      <c r="CK257" s="35"/>
      <c r="CL257" s="35"/>
      <c r="CM257" s="35"/>
      <c r="CN257" s="35"/>
      <c r="CO257" s="35"/>
      <c r="CP257" s="35"/>
      <c r="CQ257" s="35"/>
      <c r="CR257" s="35"/>
      <c r="CS257" s="35"/>
    </row>
    <row r="258" spans="2:97" s="55" customFormat="1" ht="12.75" customHeight="1">
      <c r="B258" s="51"/>
      <c r="D258" s="44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E258" s="47"/>
      <c r="BH258" s="35"/>
      <c r="BI258" s="35"/>
      <c r="BJ258" s="35"/>
      <c r="BK258" s="35"/>
      <c r="BL258" s="35"/>
      <c r="BM258" s="35"/>
      <c r="BN258" s="35"/>
      <c r="BO258" s="35"/>
      <c r="BP258" s="35"/>
      <c r="BQ258" s="35"/>
      <c r="BR258" s="35"/>
      <c r="BS258" s="35"/>
      <c r="BT258" s="35"/>
      <c r="BU258" s="35"/>
      <c r="BV258" s="35"/>
      <c r="BW258" s="35"/>
      <c r="BX258" s="35"/>
      <c r="BY258" s="35"/>
      <c r="BZ258" s="35"/>
      <c r="CA258" s="35"/>
      <c r="CB258" s="35"/>
      <c r="CC258" s="35"/>
      <c r="CD258" s="35"/>
      <c r="CE258" s="35"/>
      <c r="CG258" s="47"/>
      <c r="CI258" s="35"/>
      <c r="CJ258" s="35"/>
      <c r="CK258" s="35"/>
      <c r="CL258" s="35"/>
      <c r="CM258" s="35"/>
      <c r="CN258" s="35"/>
      <c r="CO258" s="35"/>
      <c r="CP258" s="35"/>
      <c r="CQ258" s="35"/>
      <c r="CR258" s="35"/>
      <c r="CS258" s="35"/>
    </row>
    <row r="259" spans="2:97" s="55" customFormat="1" ht="12.75" customHeight="1">
      <c r="B259" s="51"/>
      <c r="D259" s="44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E259" s="47"/>
      <c r="BH259" s="35"/>
      <c r="BI259" s="35"/>
      <c r="BJ259" s="35"/>
      <c r="BK259" s="35"/>
      <c r="BL259" s="35"/>
      <c r="BM259" s="35"/>
      <c r="BN259" s="35"/>
      <c r="BO259" s="35"/>
      <c r="BP259" s="35"/>
      <c r="BQ259" s="35"/>
      <c r="BR259" s="35"/>
      <c r="BS259" s="35"/>
      <c r="BT259" s="35"/>
      <c r="BU259" s="35"/>
      <c r="BV259" s="35"/>
      <c r="BW259" s="35"/>
      <c r="BX259" s="35"/>
      <c r="BY259" s="35"/>
      <c r="BZ259" s="35"/>
      <c r="CA259" s="35"/>
      <c r="CB259" s="35"/>
      <c r="CC259" s="35"/>
      <c r="CD259" s="35"/>
      <c r="CE259" s="35"/>
      <c r="CG259" s="47"/>
      <c r="CI259" s="35"/>
      <c r="CJ259" s="35"/>
      <c r="CK259" s="35"/>
      <c r="CL259" s="35"/>
      <c r="CM259" s="35"/>
      <c r="CN259" s="35"/>
      <c r="CO259" s="35"/>
      <c r="CP259" s="35"/>
      <c r="CQ259" s="35"/>
      <c r="CR259" s="35"/>
      <c r="CS259" s="35"/>
    </row>
    <row r="260" spans="2:97" s="55" customFormat="1" ht="12.75" customHeight="1">
      <c r="B260" s="51"/>
      <c r="D260" s="44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E260" s="47"/>
      <c r="BH260" s="35"/>
      <c r="BI260" s="35"/>
      <c r="BJ260" s="35"/>
      <c r="BK260" s="35"/>
      <c r="BL260" s="35"/>
      <c r="BM260" s="35"/>
      <c r="BN260" s="35"/>
      <c r="BO260" s="35"/>
      <c r="BP260" s="35"/>
      <c r="BQ260" s="35"/>
      <c r="BR260" s="35"/>
      <c r="BS260" s="35"/>
      <c r="BT260" s="35"/>
      <c r="BU260" s="35"/>
      <c r="BV260" s="35"/>
      <c r="BW260" s="35"/>
      <c r="BX260" s="35"/>
      <c r="BY260" s="35"/>
      <c r="BZ260" s="35"/>
      <c r="CA260" s="35"/>
      <c r="CB260" s="35"/>
      <c r="CC260" s="35"/>
      <c r="CD260" s="35"/>
      <c r="CE260" s="35"/>
      <c r="CG260" s="47"/>
      <c r="CI260" s="35"/>
      <c r="CJ260" s="35"/>
      <c r="CK260" s="35"/>
      <c r="CL260" s="35"/>
      <c r="CM260" s="35"/>
      <c r="CN260" s="35"/>
      <c r="CO260" s="35"/>
      <c r="CP260" s="35"/>
      <c r="CQ260" s="35"/>
      <c r="CR260" s="35"/>
      <c r="CS260" s="35"/>
    </row>
    <row r="261" spans="2:97" s="55" customFormat="1" ht="12.75" customHeight="1">
      <c r="B261" s="51"/>
      <c r="D261" s="44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E261" s="47"/>
      <c r="BH261" s="35"/>
      <c r="BI261" s="35"/>
      <c r="BJ261" s="35"/>
      <c r="BK261" s="35"/>
      <c r="BL261" s="35"/>
      <c r="BM261" s="35"/>
      <c r="BN261" s="35"/>
      <c r="BO261" s="35"/>
      <c r="BP261" s="35"/>
      <c r="BQ261" s="35"/>
      <c r="BR261" s="35"/>
      <c r="BS261" s="35"/>
      <c r="BT261" s="35"/>
      <c r="BU261" s="35"/>
      <c r="BV261" s="35"/>
      <c r="BW261" s="35"/>
      <c r="BX261" s="35"/>
      <c r="BY261" s="35"/>
      <c r="BZ261" s="35"/>
      <c r="CA261" s="35"/>
      <c r="CB261" s="35"/>
      <c r="CC261" s="35"/>
      <c r="CD261" s="35"/>
      <c r="CE261" s="35"/>
      <c r="CG261" s="47"/>
      <c r="CI261" s="35"/>
      <c r="CJ261" s="35"/>
      <c r="CK261" s="35"/>
      <c r="CL261" s="35"/>
      <c r="CM261" s="35"/>
      <c r="CN261" s="35"/>
      <c r="CO261" s="35"/>
      <c r="CP261" s="35"/>
      <c r="CQ261" s="35"/>
      <c r="CR261" s="35"/>
      <c r="CS261" s="35"/>
    </row>
    <row r="262" spans="2:97" s="55" customFormat="1" ht="12.75" customHeight="1">
      <c r="B262" s="51"/>
      <c r="D262" s="44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E262" s="47"/>
      <c r="BH262" s="35"/>
      <c r="BI262" s="35"/>
      <c r="BJ262" s="35"/>
      <c r="BK262" s="35"/>
      <c r="BL262" s="35"/>
      <c r="BM262" s="35"/>
      <c r="BN262" s="35"/>
      <c r="BO262" s="35"/>
      <c r="BP262" s="35"/>
      <c r="BQ262" s="35"/>
      <c r="BR262" s="35"/>
      <c r="BS262" s="35"/>
      <c r="BT262" s="35"/>
      <c r="BU262" s="35"/>
      <c r="BV262" s="35"/>
      <c r="BW262" s="35"/>
      <c r="BX262" s="35"/>
      <c r="BY262" s="35"/>
      <c r="BZ262" s="35"/>
      <c r="CA262" s="35"/>
      <c r="CB262" s="35"/>
      <c r="CC262" s="35"/>
      <c r="CD262" s="35"/>
      <c r="CE262" s="35"/>
      <c r="CG262" s="47"/>
      <c r="CI262" s="35"/>
      <c r="CJ262" s="35"/>
      <c r="CK262" s="35"/>
      <c r="CL262" s="35"/>
      <c r="CM262" s="35"/>
      <c r="CN262" s="35"/>
      <c r="CO262" s="35"/>
      <c r="CP262" s="35"/>
      <c r="CQ262" s="35"/>
      <c r="CR262" s="35"/>
      <c r="CS262" s="35"/>
    </row>
    <row r="263" spans="2:97" s="55" customFormat="1" ht="12.75" customHeight="1">
      <c r="B263" s="51"/>
      <c r="D263" s="44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E263" s="47"/>
      <c r="BH263" s="35"/>
      <c r="BI263" s="35"/>
      <c r="BJ263" s="35"/>
      <c r="BK263" s="35"/>
      <c r="BL263" s="35"/>
      <c r="BM263" s="35"/>
      <c r="BN263" s="35"/>
      <c r="BO263" s="35"/>
      <c r="BP263" s="35"/>
      <c r="BQ263" s="35"/>
      <c r="BR263" s="35"/>
      <c r="BS263" s="35"/>
      <c r="BT263" s="35"/>
      <c r="BU263" s="35"/>
      <c r="BV263" s="35"/>
      <c r="BW263" s="35"/>
      <c r="BX263" s="35"/>
      <c r="BY263" s="35"/>
      <c r="BZ263" s="35"/>
      <c r="CA263" s="35"/>
      <c r="CB263" s="35"/>
      <c r="CC263" s="35"/>
      <c r="CD263" s="35"/>
      <c r="CE263" s="35"/>
      <c r="CG263" s="47"/>
      <c r="CI263" s="35"/>
      <c r="CJ263" s="35"/>
      <c r="CK263" s="35"/>
      <c r="CL263" s="35"/>
      <c r="CM263" s="35"/>
      <c r="CN263" s="35"/>
      <c r="CO263" s="35"/>
      <c r="CP263" s="35"/>
      <c r="CQ263" s="35"/>
      <c r="CR263" s="35"/>
      <c r="CS263" s="35"/>
    </row>
    <row r="264" spans="2:97" s="55" customFormat="1" ht="12.75" customHeight="1">
      <c r="B264" s="51"/>
      <c r="D264" s="44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E264" s="47"/>
      <c r="BH264" s="35"/>
      <c r="BI264" s="35"/>
      <c r="BJ264" s="35"/>
      <c r="BK264" s="35"/>
      <c r="BL264" s="35"/>
      <c r="BM264" s="35"/>
      <c r="BN264" s="35"/>
      <c r="BO264" s="35"/>
      <c r="BP264" s="35"/>
      <c r="BQ264" s="35"/>
      <c r="BR264" s="35"/>
      <c r="BS264" s="35"/>
      <c r="BT264" s="35"/>
      <c r="BU264" s="35"/>
      <c r="BV264" s="35"/>
      <c r="BW264" s="35"/>
      <c r="BX264" s="35"/>
      <c r="BY264" s="35"/>
      <c r="BZ264" s="35"/>
      <c r="CA264" s="35"/>
      <c r="CB264" s="35"/>
      <c r="CC264" s="35"/>
      <c r="CD264" s="35"/>
      <c r="CE264" s="35"/>
      <c r="CG264" s="47"/>
      <c r="CI264" s="35"/>
      <c r="CJ264" s="35"/>
      <c r="CK264" s="35"/>
      <c r="CL264" s="35"/>
      <c r="CM264" s="35"/>
      <c r="CN264" s="35"/>
      <c r="CO264" s="35"/>
      <c r="CP264" s="35"/>
      <c r="CQ264" s="35"/>
      <c r="CR264" s="35"/>
      <c r="CS264" s="35"/>
    </row>
    <row r="265" spans="2:97" s="55" customFormat="1" ht="12.75" customHeight="1">
      <c r="B265" s="51"/>
      <c r="D265" s="44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E265" s="47"/>
      <c r="BH265" s="35"/>
      <c r="BI265" s="35"/>
      <c r="BJ265" s="35"/>
      <c r="BK265" s="35"/>
      <c r="BL265" s="35"/>
      <c r="BM265" s="35"/>
      <c r="BN265" s="35"/>
      <c r="BO265" s="35"/>
      <c r="BP265" s="35"/>
      <c r="BQ265" s="35"/>
      <c r="BR265" s="35"/>
      <c r="BS265" s="35"/>
      <c r="BT265" s="35"/>
      <c r="BU265" s="35"/>
      <c r="BV265" s="35"/>
      <c r="BW265" s="35"/>
      <c r="BX265" s="35"/>
      <c r="BY265" s="35"/>
      <c r="BZ265" s="35"/>
      <c r="CA265" s="35"/>
      <c r="CB265" s="35"/>
      <c r="CC265" s="35"/>
      <c r="CD265" s="35"/>
      <c r="CE265" s="35"/>
      <c r="CG265" s="47"/>
      <c r="CI265" s="35"/>
      <c r="CJ265" s="35"/>
      <c r="CK265" s="35"/>
      <c r="CL265" s="35"/>
      <c r="CM265" s="35"/>
      <c r="CN265" s="35"/>
      <c r="CO265" s="35"/>
      <c r="CP265" s="35"/>
      <c r="CQ265" s="35"/>
      <c r="CR265" s="35"/>
      <c r="CS265" s="35"/>
    </row>
    <row r="266" spans="2:97" s="55" customFormat="1" ht="12.75" customHeight="1">
      <c r="B266" s="51"/>
      <c r="D266" s="44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E266" s="47"/>
      <c r="BH266" s="35"/>
      <c r="BI266" s="35"/>
      <c r="BJ266" s="35"/>
      <c r="BK266" s="35"/>
      <c r="BL266" s="35"/>
      <c r="BM266" s="35"/>
      <c r="BN266" s="35"/>
      <c r="BO266" s="35"/>
      <c r="BP266" s="35"/>
      <c r="BQ266" s="35"/>
      <c r="BR266" s="35"/>
      <c r="BS266" s="35"/>
      <c r="BT266" s="35"/>
      <c r="BU266" s="35"/>
      <c r="BV266" s="35"/>
      <c r="BW266" s="35"/>
      <c r="BX266" s="35"/>
      <c r="BY266" s="35"/>
      <c r="BZ266" s="35"/>
      <c r="CA266" s="35"/>
      <c r="CB266" s="35"/>
      <c r="CC266" s="35"/>
      <c r="CD266" s="35"/>
      <c r="CE266" s="35"/>
      <c r="CG266" s="47"/>
      <c r="CI266" s="35"/>
      <c r="CJ266" s="35"/>
      <c r="CK266" s="35"/>
      <c r="CL266" s="35"/>
      <c r="CM266" s="35"/>
      <c r="CN266" s="35"/>
      <c r="CO266" s="35"/>
      <c r="CP266" s="35"/>
      <c r="CQ266" s="35"/>
      <c r="CR266" s="35"/>
      <c r="CS266" s="35"/>
    </row>
    <row r="267" spans="2:97" s="55" customFormat="1" ht="12.75" customHeight="1">
      <c r="B267" s="51"/>
      <c r="D267" s="44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E267" s="47"/>
      <c r="BH267" s="35"/>
      <c r="BI267" s="35"/>
      <c r="BJ267" s="35"/>
      <c r="BK267" s="35"/>
      <c r="BL267" s="35"/>
      <c r="BM267" s="35"/>
      <c r="BN267" s="35"/>
      <c r="BO267" s="35"/>
      <c r="BP267" s="35"/>
      <c r="BQ267" s="35"/>
      <c r="BR267" s="35"/>
      <c r="BS267" s="35"/>
      <c r="BT267" s="35"/>
      <c r="BU267" s="35"/>
      <c r="BV267" s="35"/>
      <c r="BW267" s="35"/>
      <c r="BX267" s="35"/>
      <c r="BY267" s="35"/>
      <c r="BZ267" s="35"/>
      <c r="CA267" s="35"/>
      <c r="CB267" s="35"/>
      <c r="CC267" s="35"/>
      <c r="CD267" s="35"/>
      <c r="CE267" s="35"/>
      <c r="CG267" s="47"/>
      <c r="CI267" s="35"/>
      <c r="CJ267" s="35"/>
      <c r="CK267" s="35"/>
      <c r="CL267" s="35"/>
      <c r="CM267" s="35"/>
      <c r="CN267" s="35"/>
      <c r="CO267" s="35"/>
      <c r="CP267" s="35"/>
      <c r="CQ267" s="35"/>
      <c r="CR267" s="35"/>
      <c r="CS267" s="35"/>
    </row>
    <row r="268" spans="2:97" s="55" customFormat="1" ht="12.75" customHeight="1">
      <c r="B268" s="51"/>
      <c r="D268" s="44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E268" s="47"/>
      <c r="BH268" s="35"/>
      <c r="BI268" s="35"/>
      <c r="BJ268" s="35"/>
      <c r="BK268" s="35"/>
      <c r="BL268" s="35"/>
      <c r="BM268" s="35"/>
      <c r="BN268" s="35"/>
      <c r="BO268" s="35"/>
      <c r="BP268" s="35"/>
      <c r="BQ268" s="35"/>
      <c r="BR268" s="35"/>
      <c r="BS268" s="35"/>
      <c r="BT268" s="35"/>
      <c r="BU268" s="35"/>
      <c r="BV268" s="35"/>
      <c r="BW268" s="35"/>
      <c r="BX268" s="35"/>
      <c r="BY268" s="35"/>
      <c r="BZ268" s="35"/>
      <c r="CA268" s="35"/>
      <c r="CB268" s="35"/>
      <c r="CC268" s="35"/>
      <c r="CD268" s="35"/>
      <c r="CE268" s="35"/>
      <c r="CG268" s="47"/>
      <c r="CI268" s="35"/>
      <c r="CJ268" s="35"/>
      <c r="CK268" s="35"/>
      <c r="CL268" s="35"/>
      <c r="CM268" s="35"/>
      <c r="CN268" s="35"/>
      <c r="CO268" s="35"/>
      <c r="CP268" s="35"/>
      <c r="CQ268" s="35"/>
      <c r="CR268" s="35"/>
      <c r="CS268" s="35"/>
    </row>
    <row r="269" spans="2:97" s="55" customFormat="1" ht="12.75" customHeight="1">
      <c r="B269" s="51"/>
      <c r="D269" s="44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E269" s="47"/>
      <c r="BH269" s="35"/>
      <c r="BI269" s="35"/>
      <c r="BJ269" s="35"/>
      <c r="BK269" s="35"/>
      <c r="BL269" s="35"/>
      <c r="BM269" s="35"/>
      <c r="BN269" s="35"/>
      <c r="BO269" s="35"/>
      <c r="BP269" s="35"/>
      <c r="BQ269" s="35"/>
      <c r="BR269" s="35"/>
      <c r="BS269" s="35"/>
      <c r="BT269" s="35"/>
      <c r="BU269" s="35"/>
      <c r="BV269" s="35"/>
      <c r="BW269" s="35"/>
      <c r="BX269" s="35"/>
      <c r="BY269" s="35"/>
      <c r="BZ269" s="35"/>
      <c r="CA269" s="35"/>
      <c r="CB269" s="35"/>
      <c r="CC269" s="35"/>
      <c r="CD269" s="35"/>
      <c r="CE269" s="35"/>
      <c r="CG269" s="47"/>
      <c r="CI269" s="35"/>
      <c r="CJ269" s="35"/>
      <c r="CK269" s="35"/>
      <c r="CL269" s="35"/>
      <c r="CM269" s="35"/>
      <c r="CN269" s="35"/>
      <c r="CO269" s="35"/>
      <c r="CP269" s="35"/>
      <c r="CQ269" s="35"/>
      <c r="CR269" s="35"/>
      <c r="CS269" s="35"/>
    </row>
    <row r="270" spans="2:97" s="55" customFormat="1" ht="12.75" customHeight="1">
      <c r="B270" s="51"/>
      <c r="D270" s="44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E270" s="47"/>
      <c r="BH270" s="35"/>
      <c r="BI270" s="35"/>
      <c r="BJ270" s="35"/>
      <c r="BK270" s="35"/>
      <c r="BL270" s="35"/>
      <c r="BM270" s="35"/>
      <c r="BN270" s="35"/>
      <c r="BO270" s="35"/>
      <c r="BP270" s="35"/>
      <c r="BQ270" s="35"/>
      <c r="BR270" s="35"/>
      <c r="BS270" s="35"/>
      <c r="BT270" s="35"/>
      <c r="BU270" s="35"/>
      <c r="BV270" s="35"/>
      <c r="BW270" s="35"/>
      <c r="BX270" s="35"/>
      <c r="BY270" s="35"/>
      <c r="BZ270" s="35"/>
      <c r="CA270" s="35"/>
      <c r="CB270" s="35"/>
      <c r="CC270" s="35"/>
      <c r="CD270" s="35"/>
      <c r="CE270" s="35"/>
      <c r="CG270" s="47"/>
      <c r="CI270" s="35"/>
      <c r="CJ270" s="35"/>
      <c r="CK270" s="35"/>
      <c r="CL270" s="35"/>
      <c r="CM270" s="35"/>
      <c r="CN270" s="35"/>
      <c r="CO270" s="35"/>
      <c r="CP270" s="35"/>
      <c r="CQ270" s="35"/>
      <c r="CR270" s="35"/>
      <c r="CS270" s="35"/>
    </row>
    <row r="271" spans="2:97" s="55" customFormat="1" ht="12.75" customHeight="1">
      <c r="B271" s="51"/>
      <c r="D271" s="44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E271" s="47"/>
      <c r="BH271" s="35"/>
      <c r="BI271" s="35"/>
      <c r="BJ271" s="35"/>
      <c r="BK271" s="35"/>
      <c r="BL271" s="35"/>
      <c r="BM271" s="35"/>
      <c r="BN271" s="35"/>
      <c r="BO271" s="35"/>
      <c r="BP271" s="35"/>
      <c r="BQ271" s="35"/>
      <c r="BR271" s="35"/>
      <c r="BS271" s="35"/>
      <c r="BT271" s="35"/>
      <c r="BU271" s="35"/>
      <c r="BV271" s="35"/>
      <c r="BW271" s="35"/>
      <c r="BX271" s="35"/>
      <c r="BY271" s="35"/>
      <c r="BZ271" s="35"/>
      <c r="CA271" s="35"/>
      <c r="CB271" s="35"/>
      <c r="CC271" s="35"/>
      <c r="CD271" s="35"/>
      <c r="CE271" s="35"/>
      <c r="CG271" s="47"/>
      <c r="CI271" s="35"/>
      <c r="CJ271" s="35"/>
      <c r="CK271" s="35"/>
      <c r="CL271" s="35"/>
      <c r="CM271" s="35"/>
      <c r="CN271" s="35"/>
      <c r="CO271" s="35"/>
      <c r="CP271" s="35"/>
      <c r="CQ271" s="35"/>
      <c r="CR271" s="35"/>
      <c r="CS271" s="35"/>
    </row>
    <row r="272" spans="2:97" s="55" customFormat="1" ht="12.75" customHeight="1">
      <c r="B272" s="51"/>
      <c r="D272" s="44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5"/>
      <c r="BB272" s="35"/>
      <c r="BC272" s="35"/>
      <c r="BE272" s="47"/>
      <c r="BH272" s="35"/>
      <c r="BI272" s="35"/>
      <c r="BJ272" s="35"/>
      <c r="BK272" s="35"/>
      <c r="BL272" s="35"/>
      <c r="BM272" s="35"/>
      <c r="BN272" s="35"/>
      <c r="BO272" s="35"/>
      <c r="BP272" s="35"/>
      <c r="BQ272" s="35"/>
      <c r="BR272" s="35"/>
      <c r="BS272" s="35"/>
      <c r="BT272" s="35"/>
      <c r="BU272" s="35"/>
      <c r="BV272" s="35"/>
      <c r="BW272" s="35"/>
      <c r="BX272" s="35"/>
      <c r="BY272" s="35"/>
      <c r="BZ272" s="35"/>
      <c r="CA272" s="35"/>
      <c r="CB272" s="35"/>
      <c r="CC272" s="35"/>
      <c r="CD272" s="35"/>
      <c r="CE272" s="35"/>
      <c r="CG272" s="47"/>
      <c r="CI272" s="35"/>
      <c r="CJ272" s="35"/>
      <c r="CK272" s="35"/>
      <c r="CL272" s="35"/>
      <c r="CM272" s="35"/>
      <c r="CN272" s="35"/>
      <c r="CO272" s="35"/>
      <c r="CP272" s="35"/>
      <c r="CQ272" s="35"/>
      <c r="CR272" s="35"/>
      <c r="CS272" s="35"/>
    </row>
    <row r="273" spans="2:97" s="55" customFormat="1" ht="12.75" customHeight="1">
      <c r="B273" s="51"/>
      <c r="D273" s="44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E273" s="47"/>
      <c r="BH273" s="35"/>
      <c r="BI273" s="35"/>
      <c r="BJ273" s="35"/>
      <c r="BK273" s="35"/>
      <c r="BL273" s="35"/>
      <c r="BM273" s="35"/>
      <c r="BN273" s="35"/>
      <c r="BO273" s="35"/>
      <c r="BP273" s="35"/>
      <c r="BQ273" s="35"/>
      <c r="BR273" s="35"/>
      <c r="BS273" s="35"/>
      <c r="BT273" s="35"/>
      <c r="BU273" s="35"/>
      <c r="BV273" s="35"/>
      <c r="BW273" s="35"/>
      <c r="BX273" s="35"/>
      <c r="BY273" s="35"/>
      <c r="BZ273" s="35"/>
      <c r="CA273" s="35"/>
      <c r="CB273" s="35"/>
      <c r="CC273" s="35"/>
      <c r="CD273" s="35"/>
      <c r="CE273" s="35"/>
      <c r="CG273" s="47"/>
      <c r="CI273" s="35"/>
      <c r="CJ273" s="35"/>
      <c r="CK273" s="35"/>
      <c r="CL273" s="35"/>
      <c r="CM273" s="35"/>
      <c r="CN273" s="35"/>
      <c r="CO273" s="35"/>
      <c r="CP273" s="35"/>
      <c r="CQ273" s="35"/>
      <c r="CR273" s="35"/>
      <c r="CS273" s="35"/>
    </row>
    <row r="274" spans="2:97" s="55" customFormat="1" ht="12.75" customHeight="1">
      <c r="B274" s="51"/>
      <c r="D274" s="44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E274" s="47"/>
      <c r="BH274" s="35"/>
      <c r="BI274" s="35"/>
      <c r="BJ274" s="35"/>
      <c r="BK274" s="35"/>
      <c r="BL274" s="35"/>
      <c r="BM274" s="35"/>
      <c r="BN274" s="35"/>
      <c r="BO274" s="35"/>
      <c r="BP274" s="35"/>
      <c r="BQ274" s="35"/>
      <c r="BR274" s="35"/>
      <c r="BS274" s="35"/>
      <c r="BT274" s="35"/>
      <c r="BU274" s="35"/>
      <c r="BV274" s="35"/>
      <c r="BW274" s="35"/>
      <c r="BX274" s="35"/>
      <c r="BY274" s="35"/>
      <c r="BZ274" s="35"/>
      <c r="CA274" s="35"/>
      <c r="CB274" s="35"/>
      <c r="CC274" s="35"/>
      <c r="CD274" s="35"/>
      <c r="CE274" s="35"/>
      <c r="CG274" s="47"/>
      <c r="CI274" s="35"/>
      <c r="CJ274" s="35"/>
      <c r="CK274" s="35"/>
      <c r="CL274" s="35"/>
      <c r="CM274" s="35"/>
      <c r="CN274" s="35"/>
      <c r="CO274" s="35"/>
      <c r="CP274" s="35"/>
      <c r="CQ274" s="35"/>
      <c r="CR274" s="35"/>
      <c r="CS274" s="35"/>
    </row>
    <row r="275" spans="2:97" s="55" customFormat="1" ht="12.75" customHeight="1">
      <c r="B275" s="51"/>
      <c r="D275" s="44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E275" s="47"/>
      <c r="BH275" s="35"/>
      <c r="BI275" s="35"/>
      <c r="BJ275" s="35"/>
      <c r="BK275" s="35"/>
      <c r="BL275" s="35"/>
      <c r="BM275" s="35"/>
      <c r="BN275" s="35"/>
      <c r="BO275" s="35"/>
      <c r="BP275" s="35"/>
      <c r="BQ275" s="35"/>
      <c r="BR275" s="35"/>
      <c r="BS275" s="35"/>
      <c r="BT275" s="35"/>
      <c r="BU275" s="35"/>
      <c r="BV275" s="35"/>
      <c r="BW275" s="35"/>
      <c r="BX275" s="35"/>
      <c r="BY275" s="35"/>
      <c r="BZ275" s="35"/>
      <c r="CA275" s="35"/>
      <c r="CB275" s="35"/>
      <c r="CC275" s="35"/>
      <c r="CD275" s="35"/>
      <c r="CE275" s="35"/>
      <c r="CG275" s="47"/>
      <c r="CI275" s="35"/>
      <c r="CJ275" s="35"/>
      <c r="CK275" s="35"/>
      <c r="CL275" s="35"/>
      <c r="CM275" s="35"/>
      <c r="CN275" s="35"/>
      <c r="CO275" s="35"/>
      <c r="CP275" s="35"/>
      <c r="CQ275" s="35"/>
      <c r="CR275" s="35"/>
      <c r="CS275" s="35"/>
    </row>
    <row r="276" spans="2:97" s="55" customFormat="1" ht="12.75" customHeight="1">
      <c r="B276" s="51"/>
      <c r="D276" s="44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E276" s="47"/>
      <c r="BH276" s="35"/>
      <c r="BI276" s="35"/>
      <c r="BJ276" s="35"/>
      <c r="BK276" s="35"/>
      <c r="BL276" s="35"/>
      <c r="BM276" s="35"/>
      <c r="BN276" s="35"/>
      <c r="BO276" s="35"/>
      <c r="BP276" s="35"/>
      <c r="BQ276" s="35"/>
      <c r="BR276" s="35"/>
      <c r="BS276" s="35"/>
      <c r="BT276" s="35"/>
      <c r="BU276" s="35"/>
      <c r="BV276" s="35"/>
      <c r="BW276" s="35"/>
      <c r="BX276" s="35"/>
      <c r="BY276" s="35"/>
      <c r="BZ276" s="35"/>
      <c r="CA276" s="35"/>
      <c r="CB276" s="35"/>
      <c r="CC276" s="35"/>
      <c r="CD276" s="35"/>
      <c r="CE276" s="35"/>
      <c r="CG276" s="47"/>
      <c r="CI276" s="35"/>
      <c r="CJ276" s="35"/>
      <c r="CK276" s="35"/>
      <c r="CL276" s="35"/>
      <c r="CM276" s="35"/>
      <c r="CN276" s="35"/>
      <c r="CO276" s="35"/>
      <c r="CP276" s="35"/>
      <c r="CQ276" s="35"/>
      <c r="CR276" s="35"/>
      <c r="CS276" s="35"/>
    </row>
    <row r="277" spans="2:97" s="55" customFormat="1" ht="12.75" customHeight="1">
      <c r="B277" s="51"/>
      <c r="D277" s="44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/>
      <c r="BE277" s="47"/>
      <c r="BH277" s="35"/>
      <c r="BI277" s="35"/>
      <c r="BJ277" s="35"/>
      <c r="BK277" s="35"/>
      <c r="BL277" s="35"/>
      <c r="BM277" s="35"/>
      <c r="BN277" s="35"/>
      <c r="BO277" s="35"/>
      <c r="BP277" s="35"/>
      <c r="BQ277" s="35"/>
      <c r="BR277" s="35"/>
      <c r="BS277" s="35"/>
      <c r="BT277" s="35"/>
      <c r="BU277" s="35"/>
      <c r="BV277" s="35"/>
      <c r="BW277" s="35"/>
      <c r="BX277" s="35"/>
      <c r="BY277" s="35"/>
      <c r="BZ277" s="35"/>
      <c r="CA277" s="35"/>
      <c r="CB277" s="35"/>
      <c r="CC277" s="35"/>
      <c r="CD277" s="35"/>
      <c r="CE277" s="35"/>
      <c r="CG277" s="47"/>
      <c r="CI277" s="35"/>
      <c r="CJ277" s="35"/>
      <c r="CK277" s="35"/>
      <c r="CL277" s="35"/>
      <c r="CM277" s="35"/>
      <c r="CN277" s="35"/>
      <c r="CO277" s="35"/>
      <c r="CP277" s="35"/>
      <c r="CQ277" s="35"/>
      <c r="CR277" s="35"/>
      <c r="CS277" s="35"/>
    </row>
    <row r="278" spans="2:97" s="55" customFormat="1" ht="12.75" customHeight="1">
      <c r="B278" s="51"/>
      <c r="D278" s="44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  <c r="BC278" s="35"/>
      <c r="BE278" s="47"/>
      <c r="BH278" s="35"/>
      <c r="BI278" s="35"/>
      <c r="BJ278" s="35"/>
      <c r="BK278" s="35"/>
      <c r="BL278" s="35"/>
      <c r="BM278" s="35"/>
      <c r="BN278" s="35"/>
      <c r="BO278" s="35"/>
      <c r="BP278" s="35"/>
      <c r="BQ278" s="35"/>
      <c r="BR278" s="35"/>
      <c r="BS278" s="35"/>
      <c r="BT278" s="35"/>
      <c r="BU278" s="35"/>
      <c r="BV278" s="35"/>
      <c r="BW278" s="35"/>
      <c r="BX278" s="35"/>
      <c r="BY278" s="35"/>
      <c r="BZ278" s="35"/>
      <c r="CA278" s="35"/>
      <c r="CB278" s="35"/>
      <c r="CC278" s="35"/>
      <c r="CD278" s="35"/>
      <c r="CE278" s="35"/>
      <c r="CG278" s="47"/>
      <c r="CI278" s="35"/>
      <c r="CJ278" s="35"/>
      <c r="CK278" s="35"/>
      <c r="CL278" s="35"/>
      <c r="CM278" s="35"/>
      <c r="CN278" s="35"/>
      <c r="CO278" s="35"/>
      <c r="CP278" s="35"/>
      <c r="CQ278" s="35"/>
      <c r="CR278" s="35"/>
      <c r="CS278" s="35"/>
    </row>
    <row r="279" spans="2:97" s="55" customFormat="1" ht="12.75" customHeight="1">
      <c r="B279" s="51"/>
      <c r="D279" s="44"/>
      <c r="BE279" s="47"/>
      <c r="BP279" s="45"/>
      <c r="BQ279" s="45"/>
      <c r="BR279" s="45"/>
      <c r="BS279" s="45"/>
      <c r="BT279" s="45"/>
      <c r="BU279" s="45"/>
      <c r="BV279" s="45"/>
      <c r="BW279" s="45"/>
      <c r="CG279" s="47"/>
    </row>
    <row r="280" spans="2:97" s="55" customFormat="1" ht="12.75" customHeight="1">
      <c r="B280" s="51"/>
      <c r="D280" s="44"/>
      <c r="BE280" s="47"/>
      <c r="BP280" s="45"/>
      <c r="BQ280" s="45"/>
      <c r="BR280" s="45"/>
      <c r="BS280" s="45"/>
      <c r="BT280" s="45"/>
      <c r="BU280" s="45"/>
      <c r="BV280" s="45"/>
      <c r="BW280" s="45"/>
      <c r="CG280" s="47"/>
    </row>
    <row r="281" spans="2:97" s="55" customFormat="1" ht="12.75" customHeight="1">
      <c r="B281" s="51"/>
      <c r="D281" s="44"/>
      <c r="BE281" s="47"/>
      <c r="BP281" s="45"/>
      <c r="BQ281" s="45"/>
      <c r="BR281" s="45"/>
      <c r="BS281" s="45"/>
      <c r="BT281" s="45"/>
      <c r="BU281" s="45"/>
      <c r="BV281" s="45"/>
      <c r="BW281" s="45"/>
      <c r="CG281" s="47"/>
    </row>
    <row r="282" spans="2:97" s="55" customFormat="1" ht="12.75" customHeight="1">
      <c r="B282" s="51"/>
      <c r="D282" s="44"/>
      <c r="BE282" s="47"/>
      <c r="BP282" s="45"/>
      <c r="BQ282" s="45"/>
      <c r="BR282" s="45"/>
      <c r="BS282" s="45"/>
      <c r="BT282" s="45"/>
      <c r="BU282" s="45"/>
      <c r="BV282" s="45"/>
      <c r="BW282" s="45"/>
      <c r="CG282" s="47"/>
    </row>
    <row r="283" spans="2:97" s="55" customFormat="1" ht="12.75" customHeight="1">
      <c r="B283" s="51"/>
      <c r="D283" s="44"/>
      <c r="BE283" s="47"/>
      <c r="BP283" s="45"/>
      <c r="BQ283" s="45"/>
      <c r="BR283" s="45"/>
      <c r="BS283" s="45"/>
      <c r="BT283" s="45"/>
      <c r="BU283" s="45"/>
      <c r="BV283" s="45"/>
      <c r="BW283" s="45"/>
      <c r="CG283" s="47"/>
    </row>
    <row r="284" spans="2:97" s="55" customFormat="1" ht="12.75" customHeight="1">
      <c r="B284" s="51"/>
      <c r="D284" s="44"/>
      <c r="BE284" s="47"/>
      <c r="BP284" s="45"/>
      <c r="BQ284" s="45"/>
      <c r="BR284" s="45"/>
      <c r="BS284" s="45"/>
      <c r="BT284" s="45"/>
      <c r="BU284" s="45"/>
      <c r="BV284" s="45"/>
      <c r="BW284" s="45"/>
      <c r="CG284" s="47"/>
    </row>
    <row r="285" spans="2:97" s="55" customFormat="1" ht="12.75" customHeight="1">
      <c r="B285" s="51"/>
      <c r="D285" s="44"/>
      <c r="BE285" s="47"/>
      <c r="BP285" s="45"/>
      <c r="BQ285" s="45"/>
      <c r="BR285" s="45"/>
      <c r="BS285" s="45"/>
      <c r="BT285" s="45"/>
      <c r="BU285" s="45"/>
      <c r="BV285" s="45"/>
      <c r="BW285" s="45"/>
      <c r="CG285" s="47"/>
    </row>
    <row r="286" spans="2:97" s="55" customFormat="1" ht="12.75" customHeight="1">
      <c r="B286" s="51"/>
      <c r="D286" s="44"/>
      <c r="BE286" s="47"/>
      <c r="BP286" s="45"/>
      <c r="BQ286" s="45"/>
      <c r="BR286" s="45"/>
      <c r="BS286" s="45"/>
      <c r="BT286" s="45"/>
      <c r="BU286" s="45"/>
      <c r="BV286" s="45"/>
      <c r="BW286" s="45"/>
      <c r="CG286" s="47"/>
    </row>
    <row r="287" spans="2:97" s="55" customFormat="1" ht="12.75" customHeight="1">
      <c r="B287" s="51"/>
      <c r="D287" s="44"/>
      <c r="BE287" s="47"/>
      <c r="BP287" s="45"/>
      <c r="BQ287" s="45"/>
      <c r="BR287" s="45"/>
      <c r="BS287" s="45"/>
      <c r="BT287" s="45"/>
      <c r="BU287" s="45"/>
      <c r="BV287" s="45"/>
      <c r="BW287" s="45"/>
      <c r="CG287" s="47"/>
    </row>
    <row r="288" spans="2:97" s="55" customFormat="1" ht="12.75" customHeight="1">
      <c r="B288" s="51"/>
      <c r="D288" s="44"/>
      <c r="BE288" s="47"/>
      <c r="BP288" s="45"/>
      <c r="BQ288" s="45"/>
      <c r="BR288" s="45"/>
      <c r="BS288" s="45"/>
      <c r="BT288" s="45"/>
      <c r="BU288" s="45"/>
      <c r="BV288" s="45"/>
      <c r="BW288" s="45"/>
      <c r="CG288" s="47"/>
    </row>
    <row r="289" spans="2:85" s="55" customFormat="1" ht="12.75" customHeight="1">
      <c r="B289" s="51"/>
      <c r="D289" s="44"/>
      <c r="BE289" s="47"/>
      <c r="BP289" s="45"/>
      <c r="BQ289" s="45"/>
      <c r="BR289" s="45"/>
      <c r="BS289" s="45"/>
      <c r="BT289" s="45"/>
      <c r="BU289" s="45"/>
      <c r="BV289" s="45"/>
      <c r="BW289" s="45"/>
      <c r="CG289" s="47"/>
    </row>
    <row r="290" spans="2:85" s="55" customFormat="1" ht="12.75" customHeight="1">
      <c r="B290" s="51"/>
      <c r="D290" s="44"/>
      <c r="BE290" s="47"/>
      <c r="BP290" s="45"/>
      <c r="BQ290" s="45"/>
      <c r="BR290" s="45"/>
      <c r="BS290" s="45"/>
      <c r="BT290" s="45"/>
      <c r="BU290" s="45"/>
      <c r="BV290" s="45"/>
      <c r="BW290" s="45"/>
      <c r="CG290" s="47"/>
    </row>
    <row r="291" spans="2:85" s="55" customFormat="1" ht="12.75" customHeight="1">
      <c r="B291" s="51"/>
      <c r="D291" s="44"/>
      <c r="BE291" s="47"/>
      <c r="BP291" s="45"/>
      <c r="BQ291" s="45"/>
      <c r="BR291" s="45"/>
      <c r="BS291" s="45"/>
      <c r="BT291" s="45"/>
      <c r="BU291" s="45"/>
      <c r="BV291" s="45"/>
      <c r="BW291" s="45"/>
      <c r="CG291" s="47"/>
    </row>
    <row r="292" spans="2:85" s="55" customFormat="1" ht="12.75" customHeight="1">
      <c r="B292" s="51"/>
      <c r="D292" s="44"/>
      <c r="BE292" s="47"/>
      <c r="BP292" s="45"/>
      <c r="BQ292" s="45"/>
      <c r="BR292" s="45"/>
      <c r="BS292" s="45"/>
      <c r="BT292" s="45"/>
      <c r="BU292" s="45"/>
      <c r="BV292" s="45"/>
      <c r="BW292" s="45"/>
      <c r="CG292" s="47"/>
    </row>
    <row r="293" spans="2:85" s="55" customFormat="1" ht="12.75" customHeight="1">
      <c r="B293" s="51"/>
      <c r="D293" s="44"/>
      <c r="BE293" s="47"/>
      <c r="BP293" s="45"/>
      <c r="BQ293" s="45"/>
      <c r="BR293" s="45"/>
      <c r="BS293" s="45"/>
      <c r="BT293" s="45"/>
      <c r="BU293" s="45"/>
      <c r="BV293" s="45"/>
      <c r="BW293" s="45"/>
      <c r="CG293" s="47"/>
    </row>
    <row r="294" spans="2:85" s="55" customFormat="1" ht="12.75" customHeight="1">
      <c r="B294" s="51"/>
      <c r="D294" s="44"/>
      <c r="BE294" s="47"/>
      <c r="BP294" s="45"/>
      <c r="BQ294" s="45"/>
      <c r="BR294" s="45"/>
      <c r="BS294" s="45"/>
      <c r="BT294" s="45"/>
      <c r="BU294" s="45"/>
      <c r="BV294" s="45"/>
      <c r="BW294" s="45"/>
      <c r="CG294" s="47"/>
    </row>
    <row r="295" spans="2:85" s="55" customFormat="1" ht="12.75" customHeight="1">
      <c r="B295" s="51"/>
      <c r="D295" s="44"/>
      <c r="BE295" s="47"/>
      <c r="BP295" s="45"/>
      <c r="BQ295" s="45"/>
      <c r="BR295" s="45"/>
      <c r="BS295" s="45"/>
      <c r="BT295" s="45"/>
      <c r="BU295" s="45"/>
      <c r="BV295" s="45"/>
      <c r="BW295" s="45"/>
      <c r="CG295" s="47"/>
    </row>
    <row r="296" spans="2:85" s="55" customFormat="1" ht="12.75" customHeight="1">
      <c r="B296" s="51"/>
      <c r="D296" s="44"/>
      <c r="BE296" s="47"/>
      <c r="BP296" s="45"/>
      <c r="BQ296" s="45"/>
      <c r="BR296" s="45"/>
      <c r="BS296" s="45"/>
      <c r="BT296" s="45"/>
      <c r="BU296" s="45"/>
      <c r="BV296" s="45"/>
      <c r="BW296" s="45"/>
      <c r="CG296" s="47"/>
    </row>
    <row r="297" spans="2:85" s="55" customFormat="1" ht="12.75" customHeight="1">
      <c r="B297" s="51"/>
      <c r="D297" s="44"/>
      <c r="BE297" s="47"/>
      <c r="BP297" s="45"/>
      <c r="BQ297" s="45"/>
      <c r="BR297" s="45"/>
      <c r="BS297" s="45"/>
      <c r="BT297" s="45"/>
      <c r="BU297" s="45"/>
      <c r="BV297" s="45"/>
      <c r="BW297" s="45"/>
      <c r="CG297" s="47"/>
    </row>
    <row r="298" spans="2:85" s="55" customFormat="1" ht="12.75" customHeight="1">
      <c r="B298" s="51"/>
      <c r="D298" s="44"/>
      <c r="BE298" s="47"/>
      <c r="BP298" s="45"/>
      <c r="BQ298" s="45"/>
      <c r="BR298" s="45"/>
      <c r="BS298" s="45"/>
      <c r="BT298" s="45"/>
      <c r="BU298" s="45"/>
      <c r="BV298" s="45"/>
      <c r="BW298" s="45"/>
      <c r="CG298" s="47"/>
    </row>
    <row r="299" spans="2:85" s="55" customFormat="1" ht="12.75" customHeight="1">
      <c r="B299" s="51"/>
      <c r="D299" s="44"/>
      <c r="BE299" s="47"/>
      <c r="BP299" s="45"/>
      <c r="BQ299" s="45"/>
      <c r="BR299" s="45"/>
      <c r="BS299" s="45"/>
      <c r="BT299" s="45"/>
      <c r="BU299" s="45"/>
      <c r="BV299" s="45"/>
      <c r="BW299" s="45"/>
      <c r="CG299" s="47"/>
    </row>
    <row r="300" spans="2:85" s="55" customFormat="1" ht="12.75" customHeight="1">
      <c r="B300" s="51"/>
      <c r="D300" s="44"/>
      <c r="BE300" s="47"/>
      <c r="BP300" s="45"/>
      <c r="BQ300" s="45"/>
      <c r="BR300" s="45"/>
      <c r="BS300" s="45"/>
      <c r="BT300" s="45"/>
      <c r="BU300" s="45"/>
      <c r="BV300" s="45"/>
      <c r="BW300" s="45"/>
      <c r="CG300" s="47"/>
    </row>
    <row r="301" spans="2:85" s="55" customFormat="1" ht="12.75" customHeight="1">
      <c r="B301" s="51"/>
      <c r="D301" s="44"/>
      <c r="BE301" s="47"/>
      <c r="BP301" s="45"/>
      <c r="BQ301" s="45"/>
      <c r="BR301" s="45"/>
      <c r="BS301" s="45"/>
      <c r="BT301" s="45"/>
      <c r="BU301" s="45"/>
      <c r="BV301" s="45"/>
      <c r="BW301" s="45"/>
      <c r="CG301" s="47"/>
    </row>
    <row r="302" spans="2:85" s="55" customFormat="1" ht="12.75" customHeight="1">
      <c r="B302" s="51"/>
      <c r="D302" s="44"/>
      <c r="BE302" s="47"/>
      <c r="BP302" s="45"/>
      <c r="BQ302" s="45"/>
      <c r="BR302" s="45"/>
      <c r="BS302" s="45"/>
      <c r="BT302" s="45"/>
      <c r="BU302" s="45"/>
      <c r="BV302" s="45"/>
      <c r="BW302" s="45"/>
      <c r="CG302" s="47"/>
    </row>
    <row r="303" spans="2:85" s="55" customFormat="1" ht="12.75" customHeight="1">
      <c r="B303" s="51"/>
      <c r="D303" s="44"/>
      <c r="BE303" s="47"/>
      <c r="BP303" s="45"/>
      <c r="BQ303" s="45"/>
      <c r="BR303" s="45"/>
      <c r="BS303" s="45"/>
      <c r="BT303" s="45"/>
      <c r="BU303" s="45"/>
      <c r="BV303" s="45"/>
      <c r="BW303" s="45"/>
      <c r="CG303" s="47"/>
    </row>
    <row r="304" spans="2:85" s="55" customFormat="1" ht="12.75" customHeight="1">
      <c r="B304" s="51"/>
      <c r="D304" s="44"/>
      <c r="BE304" s="47"/>
      <c r="BP304" s="45"/>
      <c r="BQ304" s="45"/>
      <c r="BR304" s="45"/>
      <c r="BS304" s="45"/>
      <c r="BT304" s="45"/>
      <c r="BU304" s="45"/>
      <c r="BV304" s="45"/>
      <c r="BW304" s="45"/>
      <c r="CG304" s="47"/>
    </row>
    <row r="305" spans="2:85" s="55" customFormat="1" ht="12.75" customHeight="1">
      <c r="B305" s="51"/>
      <c r="D305" s="44"/>
      <c r="BE305" s="47"/>
      <c r="BP305" s="45"/>
      <c r="BQ305" s="45"/>
      <c r="BR305" s="45"/>
      <c r="BS305" s="45"/>
      <c r="BT305" s="45"/>
      <c r="BU305" s="45"/>
      <c r="BV305" s="45"/>
      <c r="BW305" s="45"/>
      <c r="CG305" s="47"/>
    </row>
    <row r="306" spans="2:85" s="55" customFormat="1" ht="12.75" customHeight="1">
      <c r="B306" s="51"/>
      <c r="D306" s="44"/>
      <c r="BE306" s="47"/>
      <c r="BP306" s="45"/>
      <c r="BQ306" s="45"/>
      <c r="BR306" s="45"/>
      <c r="BS306" s="45"/>
      <c r="BT306" s="45"/>
      <c r="BU306" s="45"/>
      <c r="BV306" s="45"/>
      <c r="BW306" s="45"/>
      <c r="CG306" s="47"/>
    </row>
    <row r="307" spans="2:85" s="55" customFormat="1" ht="12.75" customHeight="1">
      <c r="B307" s="51"/>
      <c r="D307" s="44"/>
      <c r="BE307" s="47"/>
      <c r="BP307" s="45"/>
      <c r="BQ307" s="45"/>
      <c r="BR307" s="45"/>
      <c r="BS307" s="45"/>
      <c r="BT307" s="45"/>
      <c r="BU307" s="45"/>
      <c r="BV307" s="45"/>
      <c r="BW307" s="45"/>
      <c r="CG307" s="47"/>
    </row>
    <row r="308" spans="2:85" s="55" customFormat="1" ht="12.75" customHeight="1">
      <c r="B308" s="51"/>
      <c r="D308" s="44"/>
      <c r="BE308" s="47"/>
      <c r="BP308" s="45"/>
      <c r="BQ308" s="45"/>
      <c r="BR308" s="45"/>
      <c r="BS308" s="45"/>
      <c r="BT308" s="45"/>
      <c r="BU308" s="45"/>
      <c r="BV308" s="45"/>
      <c r="BW308" s="45"/>
      <c r="CG308" s="47"/>
    </row>
    <row r="309" spans="2:85" s="55" customFormat="1" ht="12.75" customHeight="1">
      <c r="B309" s="51"/>
      <c r="D309" s="44"/>
      <c r="BE309" s="47"/>
      <c r="BP309" s="45"/>
      <c r="BQ309" s="45"/>
      <c r="BR309" s="45"/>
      <c r="BS309" s="45"/>
      <c r="BT309" s="45"/>
      <c r="BU309" s="45"/>
      <c r="BV309" s="45"/>
      <c r="BW309" s="45"/>
      <c r="CG309" s="47"/>
    </row>
    <row r="310" spans="2:85" s="55" customFormat="1" ht="12.75" customHeight="1">
      <c r="B310" s="51"/>
      <c r="D310" s="44"/>
      <c r="BE310" s="47"/>
      <c r="BP310" s="45"/>
      <c r="BQ310" s="45"/>
      <c r="BR310" s="45"/>
      <c r="BS310" s="45"/>
      <c r="BT310" s="45"/>
      <c r="BU310" s="45"/>
      <c r="BV310" s="45"/>
      <c r="BW310" s="45"/>
      <c r="CG310" s="47"/>
    </row>
    <row r="311" spans="2:85" s="55" customFormat="1" ht="12.75" customHeight="1">
      <c r="B311" s="51"/>
      <c r="D311" s="44"/>
      <c r="BE311" s="47"/>
      <c r="BP311" s="45"/>
      <c r="BQ311" s="45"/>
      <c r="BR311" s="45"/>
      <c r="BS311" s="45"/>
      <c r="BT311" s="45"/>
      <c r="BU311" s="45"/>
      <c r="BV311" s="45"/>
      <c r="BW311" s="45"/>
      <c r="CG311" s="47"/>
    </row>
    <row r="312" spans="2:85" s="55" customFormat="1" ht="12.75" customHeight="1">
      <c r="B312" s="51"/>
      <c r="D312" s="44"/>
      <c r="BE312" s="47"/>
      <c r="BP312" s="45"/>
      <c r="BQ312" s="45"/>
      <c r="BR312" s="45"/>
      <c r="BS312" s="45"/>
      <c r="BT312" s="45"/>
      <c r="BU312" s="45"/>
      <c r="BV312" s="45"/>
      <c r="BW312" s="45"/>
      <c r="CG312" s="47"/>
    </row>
    <row r="313" spans="2:85" s="55" customFormat="1" ht="12.75" customHeight="1">
      <c r="B313" s="51"/>
      <c r="D313" s="44"/>
      <c r="BE313" s="47"/>
      <c r="BP313" s="45"/>
      <c r="BQ313" s="45"/>
      <c r="BR313" s="45"/>
      <c r="BS313" s="45"/>
      <c r="BT313" s="45"/>
      <c r="BU313" s="45"/>
      <c r="BV313" s="45"/>
      <c r="BW313" s="45"/>
      <c r="CG313" s="47"/>
    </row>
    <row r="314" spans="2:85" s="55" customFormat="1" ht="12.75" customHeight="1">
      <c r="B314" s="51"/>
      <c r="D314" s="44"/>
      <c r="BE314" s="47"/>
      <c r="BP314" s="45"/>
      <c r="BQ314" s="45"/>
      <c r="BR314" s="45"/>
      <c r="BS314" s="45"/>
      <c r="BT314" s="45"/>
      <c r="BU314" s="45"/>
      <c r="BV314" s="45"/>
      <c r="BW314" s="45"/>
      <c r="CG314" s="47"/>
    </row>
    <row r="315" spans="2:85" s="55" customFormat="1" ht="12.75" customHeight="1">
      <c r="B315" s="51"/>
      <c r="D315" s="44"/>
      <c r="BE315" s="47"/>
      <c r="BP315" s="45"/>
      <c r="BQ315" s="45"/>
      <c r="BR315" s="45"/>
      <c r="BS315" s="45"/>
      <c r="BT315" s="45"/>
      <c r="BU315" s="45"/>
      <c r="BV315" s="45"/>
      <c r="BW315" s="45"/>
      <c r="CG315" s="47"/>
    </row>
    <row r="316" spans="2:85" s="55" customFormat="1" ht="12.75" customHeight="1">
      <c r="B316" s="51"/>
      <c r="D316" s="44"/>
      <c r="BE316" s="47"/>
      <c r="BP316" s="45"/>
      <c r="BQ316" s="45"/>
      <c r="BR316" s="45"/>
      <c r="BS316" s="45"/>
      <c r="BT316" s="45"/>
      <c r="BU316" s="45"/>
      <c r="BV316" s="45"/>
      <c r="BW316" s="45"/>
      <c r="CG316" s="47"/>
    </row>
    <row r="317" spans="2:85" s="55" customFormat="1" ht="12.75" customHeight="1">
      <c r="B317" s="51"/>
      <c r="D317" s="44"/>
      <c r="BE317" s="47"/>
      <c r="BP317" s="45"/>
      <c r="BQ317" s="45"/>
      <c r="BR317" s="45"/>
      <c r="BS317" s="45"/>
      <c r="BT317" s="45"/>
      <c r="BU317" s="45"/>
      <c r="BV317" s="45"/>
      <c r="BW317" s="45"/>
      <c r="CG317" s="47"/>
    </row>
  </sheetData>
  <mergeCells count="1">
    <mergeCell ref="Q5:U5"/>
  </mergeCells>
  <phoneticPr fontId="4" type="noConversion"/>
  <pageMargins left="0.75" right="0.75" top="0.5" bottom="0.5" header="0" footer="0.25"/>
  <pageSetup scale="84" firstPageNumber="92" pageOrder="overThenDown" orientation="portrait" useFirstPageNumber="1" r:id="rId1"/>
  <headerFooter alignWithMargins="0">
    <oddFooter>&amp;C&amp;"Times New Roman,Regular"&amp;11&amp;P</oddFooter>
  </headerFooter>
  <rowBreaks count="6" manualBreakCount="6">
    <brk id="88" max="22" man="1"/>
    <brk id="88" min="24" max="50" man="1"/>
    <brk id="88" min="52" max="64" man="1"/>
    <brk id="175" max="22" man="1"/>
    <brk id="175" min="24" max="50" man="1"/>
    <brk id="175" min="52" max="64" man="1"/>
  </rowBreaks>
  <colBreaks count="2" manualBreakCount="2">
    <brk id="12" min="9" max="250" man="1"/>
    <brk id="38" min="10" max="25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V314"/>
  <sheetViews>
    <sheetView tabSelected="1" view="pageBreakPreview" zoomScaleNormal="100" zoomScaleSheetLayoutView="100" workbookViewId="0">
      <pane xSplit="3" ySplit="9" topLeftCell="D10" activePane="bottomRight" state="frozen"/>
      <selection sqref="A1:IV65536"/>
      <selection pane="topRight" sqref="A1:IV65536"/>
      <selection pane="bottomLeft" sqref="A1:IV65536"/>
      <selection pane="bottomRight" activeCell="BE163" sqref="BE163"/>
    </sheetView>
  </sheetViews>
  <sheetFormatPr defaultColWidth="8.42578125" defaultRowHeight="12.75" customHeight="1"/>
  <cols>
    <col min="1" max="1" width="15.28515625" style="55" customWidth="1"/>
    <col min="2" max="2" width="1.7109375" style="51" customWidth="1"/>
    <col min="3" max="3" width="10.5703125" style="55" customWidth="1"/>
    <col min="4" max="4" width="1.7109375" style="55" customWidth="1"/>
    <col min="5" max="5" width="11.7109375" style="55" customWidth="1"/>
    <col min="6" max="6" width="1.7109375" style="55" customWidth="1"/>
    <col min="7" max="7" width="11.7109375" style="55" customWidth="1"/>
    <col min="8" max="8" width="1.7109375" style="55" customWidth="1"/>
    <col min="9" max="9" width="11.7109375" style="55" customWidth="1"/>
    <col min="10" max="10" width="1.7109375" style="55" customWidth="1"/>
    <col min="11" max="11" width="11.7109375" style="55" customWidth="1"/>
    <col min="12" max="12" width="1.7109375" style="55" customWidth="1"/>
    <col min="13" max="13" width="11.7109375" style="55" customWidth="1"/>
    <col min="14" max="14" width="1.7109375" style="55" customWidth="1"/>
    <col min="15" max="15" width="11.7109375" style="55" customWidth="1"/>
    <col min="16" max="16" width="1.7109375" style="55" customWidth="1"/>
    <col min="17" max="17" width="11.7109375" style="55" customWidth="1"/>
    <col min="18" max="18" width="1.85546875" style="55" customWidth="1"/>
    <col min="19" max="19" width="11.7109375" style="55" customWidth="1"/>
    <col min="20" max="20" width="1.7109375" style="55" customWidth="1"/>
    <col min="21" max="21" width="11.7109375" style="55" customWidth="1"/>
    <col min="22" max="22" width="1.7109375" style="55" customWidth="1"/>
    <col min="23" max="23" width="11.7109375" style="55" customWidth="1"/>
    <col min="24" max="24" width="14.5703125" style="55" customWidth="1"/>
    <col min="25" max="25" width="15.28515625" style="55" customWidth="1"/>
    <col min="26" max="26" width="1.7109375" style="47" customWidth="1"/>
    <col min="27" max="27" width="10.5703125" style="55" customWidth="1"/>
    <col min="28" max="28" width="1.7109375" style="55" customWidth="1"/>
    <col min="29" max="29" width="11.7109375" style="55" customWidth="1"/>
    <col min="30" max="30" width="1.7109375" style="55" customWidth="1"/>
    <col min="31" max="31" width="11.7109375" style="55" customWidth="1"/>
    <col min="32" max="32" width="1.7109375" style="55" customWidth="1"/>
    <col min="33" max="33" width="11.7109375" style="55" customWidth="1"/>
    <col min="34" max="34" width="1.7109375" style="55" customWidth="1"/>
    <col min="35" max="35" width="11.7109375" style="55" customWidth="1"/>
    <col min="36" max="36" width="1.7109375" style="55" customWidth="1"/>
    <col min="37" max="37" width="11.7109375" style="45" customWidth="1"/>
    <col min="38" max="38" width="1.7109375" style="45" customWidth="1"/>
    <col min="39" max="39" width="11.7109375" style="45" customWidth="1"/>
    <col min="40" max="40" width="1.7109375" style="45" customWidth="1"/>
    <col min="41" max="41" width="11.7109375" style="45" customWidth="1"/>
    <col min="42" max="42" width="1.7109375" style="45" customWidth="1"/>
    <col min="43" max="43" width="11.7109375" style="45" customWidth="1"/>
    <col min="44" max="44" width="1.7109375" style="45" customWidth="1"/>
    <col min="45" max="45" width="11.7109375" style="55" customWidth="1"/>
    <col min="46" max="46" width="1.7109375" style="55" customWidth="1"/>
    <col min="47" max="47" width="11.7109375" style="55" hidden="1" customWidth="1"/>
    <col min="48" max="48" width="1.7109375" style="55" hidden="1" customWidth="1"/>
    <col min="49" max="49" width="11.7109375" style="55" hidden="1" customWidth="1"/>
    <col min="50" max="50" width="1.7109375" style="55" hidden="1" customWidth="1"/>
    <col min="51" max="52" width="11.7109375" style="55" customWidth="1"/>
    <col min="53" max="53" width="15.28515625" style="55" customWidth="1"/>
    <col min="54" max="54" width="1.7109375" style="47" customWidth="1"/>
    <col min="55" max="55" width="10.5703125" style="55" customWidth="1"/>
    <col min="56" max="56" width="1.7109375" style="55" customWidth="1"/>
    <col min="57" max="57" width="11.7109375" style="55" customWidth="1"/>
    <col min="58" max="58" width="1.7109375" style="55" customWidth="1"/>
    <col min="59" max="59" width="11.7109375" style="55" customWidth="1"/>
    <col min="60" max="60" width="1.7109375" style="55" customWidth="1"/>
    <col min="61" max="61" width="11.7109375" style="55" customWidth="1"/>
    <col min="62" max="62" width="1.7109375" style="55" customWidth="1"/>
    <col min="63" max="63" width="11.7109375" style="55" customWidth="1"/>
    <col min="64" max="64" width="1.7109375" style="55" customWidth="1"/>
    <col min="65" max="65" width="11.7109375" style="55" customWidth="1"/>
    <col min="66" max="66" width="1.7109375" style="55" hidden="1" customWidth="1"/>
    <col min="67" max="67" width="11.7109375" style="55" hidden="1" customWidth="1"/>
    <col min="68" max="68" width="1.7109375" style="55" hidden="1" customWidth="1"/>
    <col min="69" max="69" width="11.7109375" style="55" hidden="1" customWidth="1"/>
    <col min="70" max="70" width="1.7109375" style="55" customWidth="1"/>
    <col min="71" max="71" width="11.7109375" style="55" customWidth="1"/>
    <col min="72" max="72" width="1.7109375" style="55" customWidth="1"/>
    <col min="73" max="73" width="11.7109375" style="55" customWidth="1"/>
    <col min="74" max="74" width="1.7109375" style="55" customWidth="1"/>
    <col min="75" max="75" width="11.7109375" style="55" customWidth="1"/>
    <col min="76" max="76" width="1.7109375" style="55" customWidth="1"/>
    <col min="77" max="77" width="11.7109375" style="55" customWidth="1"/>
    <col min="78" max="78" width="1.7109375" style="55" customWidth="1"/>
    <col min="79" max="79" width="11.7109375" style="55" customWidth="1"/>
    <col min="80" max="80" width="1.7109375" style="55" customWidth="1"/>
    <col min="81" max="81" width="11.7109375" style="55" customWidth="1"/>
    <col min="82" max="82" width="1.7109375" style="55" customWidth="1"/>
    <col min="83" max="83" width="11.7109375" style="55" customWidth="1"/>
    <col min="84" max="84" width="1.7109375" style="55" customWidth="1"/>
    <col min="85" max="85" width="11.7109375" style="55" customWidth="1"/>
    <col min="86" max="86" width="1.7109375" style="55" customWidth="1"/>
    <col min="87" max="16384" width="8.42578125" style="55"/>
  </cols>
  <sheetData>
    <row r="1" spans="1:66" s="85" customFormat="1" ht="12.75" customHeight="1">
      <c r="A1" s="74" t="s">
        <v>393</v>
      </c>
      <c r="C1" s="86"/>
      <c r="D1" s="86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4" t="s">
        <v>393</v>
      </c>
      <c r="AA1" s="86"/>
      <c r="AB1" s="86"/>
      <c r="AC1" s="74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74" t="s">
        <v>393</v>
      </c>
      <c r="BC1" s="86"/>
      <c r="BD1" s="86"/>
      <c r="BE1" s="35"/>
      <c r="BF1" s="35"/>
      <c r="BG1" s="35"/>
      <c r="BH1" s="35"/>
      <c r="BI1" s="35"/>
      <c r="BJ1" s="35"/>
      <c r="BK1" s="35"/>
      <c r="BL1" s="35"/>
      <c r="BM1" s="75"/>
      <c r="BN1" s="75"/>
    </row>
    <row r="2" spans="1:66" s="85" customFormat="1" ht="12.75" customHeight="1">
      <c r="A2" s="92" t="s">
        <v>473</v>
      </c>
      <c r="C2" s="86"/>
      <c r="D2" s="86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92" t="s">
        <v>474</v>
      </c>
      <c r="AA2" s="86"/>
      <c r="AB2" s="86"/>
      <c r="AC2" s="92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76" t="s">
        <v>348</v>
      </c>
      <c r="BC2" s="86"/>
      <c r="BD2" s="86"/>
      <c r="BE2" s="35"/>
      <c r="BF2" s="35"/>
      <c r="BG2" s="35"/>
      <c r="BH2" s="35"/>
      <c r="BI2" s="35"/>
      <c r="BJ2" s="35"/>
      <c r="BK2" s="35"/>
      <c r="BL2" s="35"/>
      <c r="BM2" s="75"/>
      <c r="BN2" s="75"/>
    </row>
    <row r="3" spans="1:66" ht="12.75" customHeight="1">
      <c r="A3" s="74" t="s">
        <v>488</v>
      </c>
      <c r="C3" s="87"/>
      <c r="D3" s="87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74" t="s">
        <v>489</v>
      </c>
      <c r="Z3" s="55"/>
      <c r="AA3" s="87"/>
      <c r="AB3" s="87"/>
      <c r="AC3" s="74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74" t="s">
        <v>488</v>
      </c>
      <c r="BB3" s="55"/>
      <c r="BC3" s="87"/>
      <c r="BD3" s="87"/>
      <c r="BE3" s="35"/>
      <c r="BF3" s="35"/>
      <c r="BG3" s="35"/>
      <c r="BH3" s="35"/>
      <c r="BI3" s="35"/>
      <c r="BJ3" s="35"/>
      <c r="BK3" s="35"/>
      <c r="BL3" s="35"/>
      <c r="BM3" s="35"/>
      <c r="BN3" s="35"/>
    </row>
    <row r="4" spans="1:66" ht="12.75" customHeight="1">
      <c r="A4" s="88" t="s">
        <v>289</v>
      </c>
      <c r="C4" s="87"/>
      <c r="D4" s="87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88" t="s">
        <v>289</v>
      </c>
      <c r="Z4" s="55"/>
      <c r="AA4" s="87"/>
      <c r="AB4" s="87"/>
      <c r="AC4" s="88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88" t="s">
        <v>289</v>
      </c>
      <c r="BB4" s="55"/>
      <c r="BC4" s="87"/>
      <c r="BD4" s="87"/>
      <c r="BE4" s="35"/>
      <c r="BF4" s="35"/>
      <c r="BG4" s="35"/>
      <c r="BH4" s="35"/>
      <c r="BI4" s="35"/>
      <c r="BJ4" s="35"/>
      <c r="BK4" s="35"/>
      <c r="BL4" s="35"/>
      <c r="BM4" s="35"/>
      <c r="BN4" s="35"/>
    </row>
    <row r="5" spans="1:66" ht="12.75" customHeight="1">
      <c r="A5" s="88"/>
      <c r="C5" s="87"/>
      <c r="D5" s="87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V5" s="35"/>
      <c r="W5" s="35"/>
      <c r="X5" s="35"/>
      <c r="Y5" s="88"/>
      <c r="Z5" s="55"/>
      <c r="AA5" s="87"/>
      <c r="AB5" s="87"/>
      <c r="AC5" s="74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88"/>
      <c r="BB5" s="55"/>
      <c r="BC5" s="87"/>
      <c r="BD5" s="87"/>
      <c r="BL5" s="35"/>
      <c r="BM5" s="35"/>
      <c r="BN5" s="35"/>
    </row>
    <row r="6" spans="1:66" ht="12.75" customHeight="1">
      <c r="A6" s="89"/>
      <c r="C6" s="89"/>
      <c r="D6" s="89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171" t="s">
        <v>2</v>
      </c>
      <c r="R6" s="171"/>
      <c r="S6" s="171"/>
      <c r="T6" s="171"/>
      <c r="U6" s="171"/>
      <c r="V6" s="93"/>
      <c r="W6" s="93"/>
      <c r="X6" s="77"/>
      <c r="Y6" s="89"/>
      <c r="Z6" s="55"/>
      <c r="AA6" s="89"/>
      <c r="AB6" s="89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8" t="s">
        <v>411</v>
      </c>
      <c r="AV6" s="35"/>
      <c r="AW6" s="8" t="s">
        <v>412</v>
      </c>
      <c r="AX6" s="35"/>
      <c r="AY6" s="35"/>
      <c r="AZ6" s="35"/>
      <c r="BA6" s="89"/>
      <c r="BB6" s="55"/>
      <c r="BC6" s="89"/>
      <c r="BD6" s="89"/>
      <c r="BE6" s="34" t="s">
        <v>348</v>
      </c>
      <c r="BF6" s="34"/>
      <c r="BG6" s="34"/>
      <c r="BH6" s="34"/>
      <c r="BI6" s="34"/>
      <c r="BJ6" s="34"/>
      <c r="BK6" s="34"/>
      <c r="BL6" s="77"/>
      <c r="BM6" s="35"/>
      <c r="BN6" s="35"/>
    </row>
    <row r="7" spans="1:66" s="89" customFormat="1" ht="12.75" customHeight="1"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 t="s">
        <v>7</v>
      </c>
      <c r="AC7" s="8"/>
      <c r="AD7" s="8"/>
      <c r="AE7" s="8"/>
      <c r="AF7" s="8"/>
      <c r="AG7" s="8"/>
      <c r="AH7" s="8"/>
      <c r="AI7" s="8"/>
      <c r="AJ7" s="8"/>
      <c r="AK7" s="8" t="s">
        <v>354</v>
      </c>
      <c r="AL7" s="8"/>
      <c r="AM7" s="8"/>
      <c r="AN7" s="8"/>
      <c r="AO7" s="8"/>
      <c r="AP7" s="8"/>
      <c r="AQ7" s="8"/>
      <c r="AR7" s="8"/>
      <c r="AS7" s="8"/>
      <c r="AT7" s="8"/>
      <c r="AU7" s="8" t="s">
        <v>349</v>
      </c>
      <c r="AV7" s="8"/>
      <c r="AW7" s="8" t="s">
        <v>349</v>
      </c>
      <c r="AX7" s="8"/>
      <c r="AY7" s="8"/>
      <c r="AZ7" s="8"/>
      <c r="BE7" s="8" t="s">
        <v>296</v>
      </c>
      <c r="BF7" s="8"/>
      <c r="BG7" s="8" t="s">
        <v>350</v>
      </c>
      <c r="BH7" s="8"/>
      <c r="BI7" s="8"/>
      <c r="BJ7" s="8"/>
      <c r="BK7" s="8" t="s">
        <v>294</v>
      </c>
      <c r="BL7" s="8"/>
      <c r="BM7" s="8" t="s">
        <v>6</v>
      </c>
      <c r="BN7" s="54"/>
    </row>
    <row r="8" spans="1:66" s="89" customFormat="1" ht="12.75" customHeight="1">
      <c r="E8" s="8" t="s">
        <v>3</v>
      </c>
      <c r="F8" s="8"/>
      <c r="G8" s="8" t="s">
        <v>351</v>
      </c>
      <c r="H8" s="8"/>
      <c r="I8" s="8" t="s">
        <v>6</v>
      </c>
      <c r="J8" s="8"/>
      <c r="K8" s="8" t="s">
        <v>3</v>
      </c>
      <c r="L8" s="8"/>
      <c r="M8" s="8" t="s">
        <v>352</v>
      </c>
      <c r="N8" s="8"/>
      <c r="O8" s="8" t="s">
        <v>6</v>
      </c>
      <c r="P8" s="8"/>
      <c r="Q8" s="89" t="s">
        <v>4</v>
      </c>
      <c r="R8" s="8"/>
      <c r="S8" s="8"/>
      <c r="T8" s="8"/>
      <c r="U8" s="8"/>
      <c r="V8" s="8"/>
      <c r="W8" s="8" t="s">
        <v>6</v>
      </c>
      <c r="X8" s="8"/>
      <c r="AC8" s="8" t="s">
        <v>345</v>
      </c>
      <c r="AD8" s="8"/>
      <c r="AE8" s="8" t="s">
        <v>353</v>
      </c>
      <c r="AF8" s="8"/>
      <c r="AG8" s="8"/>
      <c r="AH8" s="8"/>
      <c r="AI8" s="8" t="s">
        <v>345</v>
      </c>
      <c r="AJ8" s="8"/>
      <c r="AK8" s="89" t="s">
        <v>373</v>
      </c>
      <c r="AL8" s="8"/>
      <c r="AM8" s="8"/>
      <c r="AN8" s="8"/>
      <c r="AO8" s="8"/>
      <c r="AP8" s="8"/>
      <c r="AQ8" s="8" t="s">
        <v>4</v>
      </c>
      <c r="AR8" s="8"/>
      <c r="AS8" s="8" t="s">
        <v>368</v>
      </c>
      <c r="AT8" s="8"/>
      <c r="AU8" s="8" t="s">
        <v>413</v>
      </c>
      <c r="AV8" s="8"/>
      <c r="AW8" s="8" t="s">
        <v>419</v>
      </c>
      <c r="AX8" s="8"/>
      <c r="AY8" s="8" t="s">
        <v>355</v>
      </c>
      <c r="AZ8" s="8"/>
      <c r="BE8" s="8" t="s">
        <v>356</v>
      </c>
      <c r="BF8" s="8"/>
      <c r="BG8" s="8" t="s">
        <v>302</v>
      </c>
      <c r="BH8" s="8"/>
      <c r="BI8" s="8"/>
      <c r="BJ8" s="8"/>
      <c r="BK8" s="8" t="s">
        <v>352</v>
      </c>
      <c r="BL8" s="8"/>
      <c r="BM8" s="8" t="s">
        <v>352</v>
      </c>
      <c r="BN8" s="54"/>
    </row>
    <row r="9" spans="1:66" s="89" customFormat="1" ht="12.75" customHeight="1">
      <c r="A9" s="7" t="s">
        <v>8</v>
      </c>
      <c r="C9" s="7" t="s">
        <v>9</v>
      </c>
      <c r="D9" s="8"/>
      <c r="E9" s="7" t="s">
        <v>0</v>
      </c>
      <c r="F9" s="8"/>
      <c r="G9" s="7" t="s">
        <v>0</v>
      </c>
      <c r="H9" s="8"/>
      <c r="I9" s="7" t="s">
        <v>0</v>
      </c>
      <c r="J9" s="8"/>
      <c r="K9" s="7" t="s">
        <v>1</v>
      </c>
      <c r="L9" s="8"/>
      <c r="M9" s="7" t="s">
        <v>1</v>
      </c>
      <c r="N9" s="7"/>
      <c r="O9" s="7" t="s">
        <v>1</v>
      </c>
      <c r="P9" s="8"/>
      <c r="Q9" s="7" t="s">
        <v>0</v>
      </c>
      <c r="R9" s="8"/>
      <c r="S9" s="7" t="s">
        <v>10</v>
      </c>
      <c r="T9" s="8"/>
      <c r="U9" s="7" t="s">
        <v>11</v>
      </c>
      <c r="V9" s="8"/>
      <c r="W9" s="7" t="s">
        <v>2</v>
      </c>
      <c r="X9" s="8"/>
      <c r="Y9" s="7" t="s">
        <v>8</v>
      </c>
      <c r="AA9" s="7" t="s">
        <v>9</v>
      </c>
      <c r="AB9" s="8"/>
      <c r="AC9" s="78" t="s">
        <v>302</v>
      </c>
      <c r="AD9" s="8"/>
      <c r="AE9" s="78" t="s">
        <v>357</v>
      </c>
      <c r="AF9" s="8"/>
      <c r="AG9" s="78" t="s">
        <v>357</v>
      </c>
      <c r="AH9" s="8"/>
      <c r="AI9" s="78" t="s">
        <v>358</v>
      </c>
      <c r="AJ9" s="8"/>
      <c r="AK9" s="78" t="s">
        <v>374</v>
      </c>
      <c r="AL9" s="8"/>
      <c r="AM9" s="78" t="s">
        <v>359</v>
      </c>
      <c r="AN9" s="8"/>
      <c r="AO9" s="78" t="s">
        <v>360</v>
      </c>
      <c r="AP9" s="8"/>
      <c r="AQ9" s="7" t="s">
        <v>361</v>
      </c>
      <c r="AR9" s="8"/>
      <c r="AS9" s="78" t="s">
        <v>2</v>
      </c>
      <c r="AT9" s="8"/>
      <c r="AU9" s="7" t="s">
        <v>415</v>
      </c>
      <c r="AV9" s="8"/>
      <c r="AW9" s="7" t="s">
        <v>415</v>
      </c>
      <c r="AX9" s="8"/>
      <c r="AY9" s="78" t="s">
        <v>4</v>
      </c>
      <c r="AZ9" s="8"/>
      <c r="BA9" s="7" t="s">
        <v>8</v>
      </c>
      <c r="BC9" s="7" t="s">
        <v>9</v>
      </c>
      <c r="BD9" s="8"/>
      <c r="BE9" s="78" t="s">
        <v>362</v>
      </c>
      <c r="BF9" s="8"/>
      <c r="BG9" s="78" t="s">
        <v>362</v>
      </c>
      <c r="BH9" s="8"/>
      <c r="BI9" s="78" t="s">
        <v>363</v>
      </c>
      <c r="BJ9" s="8"/>
      <c r="BK9" s="78" t="s">
        <v>364</v>
      </c>
      <c r="BL9" s="8"/>
      <c r="BM9" s="7" t="s">
        <v>364</v>
      </c>
      <c r="BN9" s="54"/>
    </row>
    <row r="10" spans="1:66" s="89" customFormat="1" ht="12.75" customHeight="1">
      <c r="A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54"/>
    </row>
    <row r="11" spans="1:66" ht="12.75" hidden="1" customHeight="1">
      <c r="A11" s="35" t="s">
        <v>12</v>
      </c>
      <c r="C11" s="35" t="s">
        <v>13</v>
      </c>
      <c r="D11" s="35"/>
      <c r="E11" s="35">
        <f t="shared" ref="E11:E74" si="0">I11-G11</f>
        <v>0</v>
      </c>
      <c r="F11" s="35"/>
      <c r="G11" s="35"/>
      <c r="H11" s="35"/>
      <c r="I11" s="35"/>
      <c r="J11" s="35"/>
      <c r="K11" s="35">
        <f t="shared" ref="K11:K74" si="1">O11-M11</f>
        <v>0</v>
      </c>
      <c r="L11" s="35"/>
      <c r="M11" s="35">
        <f t="shared" ref="M11:M38" si="2">SUM(BM11)</f>
        <v>0</v>
      </c>
      <c r="N11" s="35"/>
      <c r="O11" s="35"/>
      <c r="P11" s="35"/>
      <c r="Q11" s="35"/>
      <c r="R11" s="35"/>
      <c r="S11" s="35"/>
      <c r="T11" s="35"/>
      <c r="U11" s="35"/>
      <c r="V11" s="35"/>
      <c r="W11" s="35">
        <f t="shared" ref="W11:W33" si="3">SUM(Q11:U11)</f>
        <v>0</v>
      </c>
      <c r="X11" s="35"/>
      <c r="Y11" s="35" t="s">
        <v>12</v>
      </c>
      <c r="Z11" s="55"/>
      <c r="AA11" s="35" t="s">
        <v>13</v>
      </c>
      <c r="AB11" s="35"/>
      <c r="AC11" s="35"/>
      <c r="AD11" s="35"/>
      <c r="AE11" s="35"/>
      <c r="AF11" s="35"/>
      <c r="AG11" s="35"/>
      <c r="AH11" s="35"/>
      <c r="AI11" s="45">
        <f>+AC11-AE11-AG11</f>
        <v>0</v>
      </c>
      <c r="AJ11" s="45"/>
      <c r="AK11" s="35"/>
      <c r="AL11" s="35"/>
      <c r="AM11" s="35"/>
      <c r="AN11" s="35"/>
      <c r="AO11" s="35"/>
      <c r="AP11" s="35"/>
      <c r="AQ11" s="35"/>
      <c r="AR11" s="35"/>
      <c r="AS11" s="45">
        <f>+AI11+AK11+AM11-AO11+AQ11</f>
        <v>0</v>
      </c>
      <c r="AT11" s="45"/>
      <c r="AU11" s="35">
        <v>0</v>
      </c>
      <c r="AV11" s="35"/>
      <c r="AW11" s="35">
        <v>0</v>
      </c>
      <c r="AX11" s="35"/>
      <c r="AY11" s="35">
        <f t="shared" ref="AY11:AY42" si="4">+E11-K11</f>
        <v>0</v>
      </c>
      <c r="AZ11" s="35"/>
      <c r="BA11" s="35" t="s">
        <v>12</v>
      </c>
      <c r="BB11" s="55"/>
      <c r="BC11" s="35" t="s">
        <v>13</v>
      </c>
      <c r="BD11" s="35"/>
      <c r="BE11" s="35"/>
      <c r="BF11" s="35"/>
      <c r="BG11" s="35"/>
      <c r="BH11" s="35"/>
      <c r="BI11" s="35"/>
      <c r="BJ11" s="35"/>
      <c r="BK11" s="35"/>
      <c r="BL11" s="35"/>
      <c r="BM11" s="35">
        <f t="shared" ref="BM11:BM27" si="5">SUM(BE11:BK11)</f>
        <v>0</v>
      </c>
      <c r="BN11" s="54" t="s">
        <v>347</v>
      </c>
    </row>
    <row r="12" spans="1:66" ht="12.75" hidden="1" customHeight="1">
      <c r="A12" s="35" t="s">
        <v>14</v>
      </c>
      <c r="C12" s="35" t="s">
        <v>15</v>
      </c>
      <c r="D12" s="35"/>
      <c r="E12" s="35">
        <f t="shared" si="0"/>
        <v>0</v>
      </c>
      <c r="F12" s="35"/>
      <c r="G12" s="35">
        <v>0</v>
      </c>
      <c r="H12" s="35"/>
      <c r="I12" s="35">
        <v>0</v>
      </c>
      <c r="J12" s="35"/>
      <c r="K12" s="35">
        <f t="shared" si="1"/>
        <v>0</v>
      </c>
      <c r="L12" s="35"/>
      <c r="M12" s="35">
        <f t="shared" si="2"/>
        <v>0</v>
      </c>
      <c r="N12" s="35"/>
      <c r="O12" s="35">
        <v>0</v>
      </c>
      <c r="P12" s="35"/>
      <c r="Q12" s="35">
        <v>0</v>
      </c>
      <c r="R12" s="35"/>
      <c r="S12" s="35">
        <v>0</v>
      </c>
      <c r="T12" s="35"/>
      <c r="U12" s="35">
        <v>0</v>
      </c>
      <c r="V12" s="35"/>
      <c r="W12" s="35">
        <f t="shared" si="3"/>
        <v>0</v>
      </c>
      <c r="X12" s="35"/>
      <c r="Y12" s="35" t="s">
        <v>14</v>
      </c>
      <c r="Z12" s="55"/>
      <c r="AA12" s="35" t="s">
        <v>15</v>
      </c>
      <c r="AB12" s="35"/>
      <c r="AC12" s="35">
        <v>0</v>
      </c>
      <c r="AD12" s="35"/>
      <c r="AE12" s="35">
        <v>0</v>
      </c>
      <c r="AF12" s="35"/>
      <c r="AG12" s="35">
        <v>0</v>
      </c>
      <c r="AH12" s="35"/>
      <c r="AI12" s="45">
        <v>0</v>
      </c>
      <c r="AJ12" s="45"/>
      <c r="AK12" s="35">
        <v>0</v>
      </c>
      <c r="AL12" s="35"/>
      <c r="AM12" s="35">
        <v>0</v>
      </c>
      <c r="AN12" s="35"/>
      <c r="AO12" s="35">
        <v>0</v>
      </c>
      <c r="AP12" s="35"/>
      <c r="AQ12" s="35">
        <v>0</v>
      </c>
      <c r="AR12" s="35"/>
      <c r="AS12" s="45">
        <v>0</v>
      </c>
      <c r="AT12" s="45"/>
      <c r="AU12" s="35">
        <v>0</v>
      </c>
      <c r="AV12" s="35"/>
      <c r="AW12" s="35">
        <v>0</v>
      </c>
      <c r="AX12" s="35"/>
      <c r="AY12" s="35">
        <f t="shared" si="4"/>
        <v>0</v>
      </c>
      <c r="AZ12" s="35"/>
      <c r="BA12" s="35" t="s">
        <v>14</v>
      </c>
      <c r="BB12" s="55"/>
      <c r="BC12" s="35" t="s">
        <v>15</v>
      </c>
      <c r="BD12" s="35"/>
      <c r="BE12" s="35">
        <v>0</v>
      </c>
      <c r="BF12" s="35"/>
      <c r="BG12" s="35">
        <v>0</v>
      </c>
      <c r="BH12" s="35"/>
      <c r="BI12" s="35">
        <v>0</v>
      </c>
      <c r="BJ12" s="35"/>
      <c r="BK12" s="35">
        <v>0</v>
      </c>
      <c r="BL12" s="35"/>
      <c r="BM12" s="35">
        <f t="shared" si="5"/>
        <v>0</v>
      </c>
      <c r="BN12" s="54" t="s">
        <v>347</v>
      </c>
    </row>
    <row r="13" spans="1:66" s="90" customFormat="1" ht="12.75" customHeight="1">
      <c r="A13" s="35" t="s">
        <v>16</v>
      </c>
      <c r="B13" s="51"/>
      <c r="C13" s="35" t="s">
        <v>17</v>
      </c>
      <c r="D13" s="35"/>
      <c r="E13" s="64">
        <f t="shared" si="0"/>
        <v>5229314</v>
      </c>
      <c r="F13" s="64"/>
      <c r="G13" s="64">
        <v>5061887</v>
      </c>
      <c r="H13" s="64"/>
      <c r="I13" s="64">
        <v>10291201</v>
      </c>
      <c r="J13" s="64"/>
      <c r="K13" s="64">
        <f t="shared" si="1"/>
        <v>763064</v>
      </c>
      <c r="L13" s="64"/>
      <c r="M13" s="64">
        <f t="shared" si="2"/>
        <v>2355494</v>
      </c>
      <c r="N13" s="64"/>
      <c r="O13" s="64">
        <v>3118558</v>
      </c>
      <c r="P13" s="64"/>
      <c r="Q13" s="64">
        <v>2110593</v>
      </c>
      <c r="R13" s="64"/>
      <c r="S13" s="64">
        <v>0</v>
      </c>
      <c r="T13" s="64"/>
      <c r="U13" s="64">
        <v>5062050</v>
      </c>
      <c r="V13" s="64"/>
      <c r="W13" s="64">
        <f t="shared" si="3"/>
        <v>7172643</v>
      </c>
      <c r="X13" s="35"/>
      <c r="Y13" s="35" t="s">
        <v>16</v>
      </c>
      <c r="Z13" s="55"/>
      <c r="AA13" s="35" t="s">
        <v>17</v>
      </c>
      <c r="AB13" s="35"/>
      <c r="AC13" s="64">
        <v>8839459</v>
      </c>
      <c r="AD13" s="64"/>
      <c r="AE13" s="64">
        <f>7852752-131466</f>
        <v>7721286</v>
      </c>
      <c r="AF13" s="64"/>
      <c r="AG13" s="64">
        <v>131466</v>
      </c>
      <c r="AH13" s="64"/>
      <c r="AI13" s="94">
        <f>+AC13-AE13-AG13</f>
        <v>986707</v>
      </c>
      <c r="AJ13" s="94"/>
      <c r="AK13" s="64">
        <v>-222372</v>
      </c>
      <c r="AL13" s="64"/>
      <c r="AM13" s="64">
        <v>0</v>
      </c>
      <c r="AN13" s="64"/>
      <c r="AO13" s="64">
        <v>0</v>
      </c>
      <c r="AP13" s="64"/>
      <c r="AQ13" s="64">
        <v>0</v>
      </c>
      <c r="AR13" s="64"/>
      <c r="AS13" s="94">
        <f>+AI13+AK13+AM13-AO13+AQ13</f>
        <v>764335</v>
      </c>
      <c r="AT13" s="94"/>
      <c r="AU13" s="64">
        <v>0</v>
      </c>
      <c r="AV13" s="64"/>
      <c r="AW13" s="64">
        <v>0</v>
      </c>
      <c r="AX13" s="64"/>
      <c r="AY13" s="64">
        <f t="shared" si="4"/>
        <v>4466250</v>
      </c>
      <c r="AZ13" s="35"/>
      <c r="BA13" s="35" t="s">
        <v>16</v>
      </c>
      <c r="BB13" s="55"/>
      <c r="BC13" s="35" t="s">
        <v>17</v>
      </c>
      <c r="BD13" s="35"/>
      <c r="BE13" s="64">
        <v>1208101</v>
      </c>
      <c r="BF13" s="64"/>
      <c r="BG13" s="64">
        <v>0</v>
      </c>
      <c r="BH13" s="64"/>
      <c r="BI13" s="64">
        <v>0</v>
      </c>
      <c r="BJ13" s="64"/>
      <c r="BK13" s="64">
        <f>1132000+15393</f>
        <v>1147393</v>
      </c>
      <c r="BL13" s="64"/>
      <c r="BM13" s="64">
        <f t="shared" si="5"/>
        <v>2355494</v>
      </c>
      <c r="BN13" s="91" t="s">
        <v>347</v>
      </c>
    </row>
    <row r="14" spans="1:66" ht="12.75" hidden="1" customHeight="1">
      <c r="A14" s="35" t="s">
        <v>18</v>
      </c>
      <c r="C14" s="35" t="s">
        <v>18</v>
      </c>
      <c r="D14" s="35"/>
      <c r="E14" s="35">
        <f t="shared" si="0"/>
        <v>0</v>
      </c>
      <c r="F14" s="35"/>
      <c r="G14" s="35">
        <v>0</v>
      </c>
      <c r="H14" s="35"/>
      <c r="I14" s="35">
        <v>0</v>
      </c>
      <c r="J14" s="35"/>
      <c r="K14" s="35">
        <f t="shared" si="1"/>
        <v>0</v>
      </c>
      <c r="L14" s="35"/>
      <c r="M14" s="35">
        <f t="shared" si="2"/>
        <v>0</v>
      </c>
      <c r="N14" s="35"/>
      <c r="O14" s="35">
        <v>0</v>
      </c>
      <c r="P14" s="35"/>
      <c r="Q14" s="35">
        <v>0</v>
      </c>
      <c r="R14" s="35"/>
      <c r="S14" s="35">
        <v>0</v>
      </c>
      <c r="T14" s="35"/>
      <c r="U14" s="35">
        <v>0</v>
      </c>
      <c r="V14" s="35"/>
      <c r="W14" s="35">
        <f t="shared" si="3"/>
        <v>0</v>
      </c>
      <c r="X14" s="35"/>
      <c r="Y14" s="35" t="s">
        <v>18</v>
      </c>
      <c r="Z14" s="55"/>
      <c r="AA14" s="35" t="s">
        <v>18</v>
      </c>
      <c r="AB14" s="35"/>
      <c r="AC14" s="35">
        <v>0</v>
      </c>
      <c r="AD14" s="35"/>
      <c r="AE14" s="35">
        <v>0</v>
      </c>
      <c r="AF14" s="35"/>
      <c r="AG14" s="35">
        <v>0</v>
      </c>
      <c r="AH14" s="35"/>
      <c r="AI14" s="45">
        <f>+AC14-AE14-AG14</f>
        <v>0</v>
      </c>
      <c r="AJ14" s="45"/>
      <c r="AK14" s="35">
        <v>0</v>
      </c>
      <c r="AL14" s="35"/>
      <c r="AM14" s="35">
        <v>0</v>
      </c>
      <c r="AN14" s="35"/>
      <c r="AO14" s="35">
        <v>0</v>
      </c>
      <c r="AP14" s="35"/>
      <c r="AQ14" s="35">
        <v>0</v>
      </c>
      <c r="AR14" s="35"/>
      <c r="AS14" s="45">
        <f>+AI14+AK14+AM14-AO14+AQ14</f>
        <v>0</v>
      </c>
      <c r="AT14" s="45"/>
      <c r="AU14" s="35">
        <v>0</v>
      </c>
      <c r="AV14" s="35"/>
      <c r="AW14" s="35">
        <v>0</v>
      </c>
      <c r="AX14" s="35"/>
      <c r="AY14" s="35">
        <f t="shared" si="4"/>
        <v>0</v>
      </c>
      <c r="AZ14" s="35"/>
      <c r="BA14" s="35" t="s">
        <v>18</v>
      </c>
      <c r="BB14" s="55"/>
      <c r="BC14" s="35" t="s">
        <v>18</v>
      </c>
      <c r="BD14" s="35"/>
      <c r="BE14" s="35">
        <v>0</v>
      </c>
      <c r="BF14" s="35"/>
      <c r="BG14" s="35">
        <v>0</v>
      </c>
      <c r="BH14" s="35"/>
      <c r="BI14" s="35">
        <v>0</v>
      </c>
      <c r="BJ14" s="35"/>
      <c r="BK14" s="35">
        <v>0</v>
      </c>
      <c r="BL14" s="35"/>
      <c r="BM14" s="35">
        <f t="shared" si="5"/>
        <v>0</v>
      </c>
      <c r="BN14" s="54" t="s">
        <v>347</v>
      </c>
    </row>
    <row r="15" spans="1:66" ht="12.75" hidden="1" customHeight="1">
      <c r="A15" s="35" t="s">
        <v>19</v>
      </c>
      <c r="C15" s="35" t="s">
        <v>19</v>
      </c>
      <c r="D15" s="35"/>
      <c r="E15" s="35">
        <f t="shared" si="0"/>
        <v>0</v>
      </c>
      <c r="F15" s="35"/>
      <c r="G15" s="35">
        <v>0</v>
      </c>
      <c r="H15" s="35"/>
      <c r="I15" s="35">
        <v>0</v>
      </c>
      <c r="J15" s="35"/>
      <c r="K15" s="35">
        <f t="shared" si="1"/>
        <v>0</v>
      </c>
      <c r="L15" s="35"/>
      <c r="M15" s="35">
        <f t="shared" si="2"/>
        <v>0</v>
      </c>
      <c r="N15" s="35"/>
      <c r="O15" s="35">
        <v>0</v>
      </c>
      <c r="P15" s="35"/>
      <c r="Q15" s="35">
        <v>0</v>
      </c>
      <c r="R15" s="35"/>
      <c r="S15" s="35">
        <v>0</v>
      </c>
      <c r="T15" s="35"/>
      <c r="U15" s="35">
        <v>0</v>
      </c>
      <c r="V15" s="35"/>
      <c r="W15" s="35">
        <f t="shared" si="3"/>
        <v>0</v>
      </c>
      <c r="X15" s="35"/>
      <c r="Y15" s="35" t="s">
        <v>19</v>
      </c>
      <c r="Z15" s="55"/>
      <c r="AA15" s="35" t="s">
        <v>19</v>
      </c>
      <c r="AB15" s="35"/>
      <c r="AC15" s="35">
        <v>0</v>
      </c>
      <c r="AD15" s="35"/>
      <c r="AE15" s="35">
        <v>0</v>
      </c>
      <c r="AF15" s="35"/>
      <c r="AG15" s="35">
        <v>0</v>
      </c>
      <c r="AH15" s="35"/>
      <c r="AI15" s="45">
        <v>0</v>
      </c>
      <c r="AJ15" s="45"/>
      <c r="AK15" s="35">
        <v>0</v>
      </c>
      <c r="AL15" s="35"/>
      <c r="AM15" s="35">
        <v>0</v>
      </c>
      <c r="AN15" s="35"/>
      <c r="AO15" s="35">
        <v>0</v>
      </c>
      <c r="AP15" s="35"/>
      <c r="AQ15" s="35">
        <v>0</v>
      </c>
      <c r="AR15" s="35"/>
      <c r="AS15" s="45">
        <f>+AI15+AK15+AM15-AO15+AQ15</f>
        <v>0</v>
      </c>
      <c r="AT15" s="45"/>
      <c r="AU15" s="35">
        <v>0</v>
      </c>
      <c r="AV15" s="35"/>
      <c r="AW15" s="35">
        <v>0</v>
      </c>
      <c r="AX15" s="35"/>
      <c r="AY15" s="35">
        <f t="shared" si="4"/>
        <v>0</v>
      </c>
      <c r="AZ15" s="35"/>
      <c r="BA15" s="35" t="s">
        <v>19</v>
      </c>
      <c r="BB15" s="55"/>
      <c r="BC15" s="35" t="s">
        <v>19</v>
      </c>
      <c r="BD15" s="35"/>
      <c r="BE15" s="35">
        <v>0</v>
      </c>
      <c r="BF15" s="35"/>
      <c r="BG15" s="35">
        <v>0</v>
      </c>
      <c r="BH15" s="35"/>
      <c r="BI15" s="35">
        <v>0</v>
      </c>
      <c r="BJ15" s="35"/>
      <c r="BK15" s="35">
        <v>0</v>
      </c>
      <c r="BL15" s="35"/>
      <c r="BM15" s="35">
        <f t="shared" si="5"/>
        <v>0</v>
      </c>
      <c r="BN15" s="54" t="s">
        <v>347</v>
      </c>
    </row>
    <row r="16" spans="1:66" ht="12.75" hidden="1" customHeight="1">
      <c r="A16" s="35" t="s">
        <v>20</v>
      </c>
      <c r="C16" s="35" t="s">
        <v>20</v>
      </c>
      <c r="D16" s="35"/>
      <c r="E16" s="35">
        <f t="shared" si="0"/>
        <v>0</v>
      </c>
      <c r="F16" s="35"/>
      <c r="G16" s="35">
        <v>0</v>
      </c>
      <c r="H16" s="35"/>
      <c r="I16" s="35">
        <v>0</v>
      </c>
      <c r="J16" s="35"/>
      <c r="K16" s="35">
        <f t="shared" si="1"/>
        <v>0</v>
      </c>
      <c r="L16" s="35"/>
      <c r="M16" s="35">
        <f t="shared" si="2"/>
        <v>0</v>
      </c>
      <c r="N16" s="35"/>
      <c r="O16" s="35">
        <v>0</v>
      </c>
      <c r="P16" s="35"/>
      <c r="Q16" s="35">
        <v>0</v>
      </c>
      <c r="R16" s="35"/>
      <c r="S16" s="35">
        <v>0</v>
      </c>
      <c r="T16" s="35"/>
      <c r="U16" s="35">
        <v>0</v>
      </c>
      <c r="V16" s="35"/>
      <c r="W16" s="35">
        <f t="shared" si="3"/>
        <v>0</v>
      </c>
      <c r="X16" s="35"/>
      <c r="Y16" s="35" t="s">
        <v>20</v>
      </c>
      <c r="Z16" s="55"/>
      <c r="AA16" s="35" t="s">
        <v>20</v>
      </c>
      <c r="AB16" s="35"/>
      <c r="AC16" s="35">
        <v>0</v>
      </c>
      <c r="AD16" s="35"/>
      <c r="AE16" s="35">
        <v>0</v>
      </c>
      <c r="AF16" s="35"/>
      <c r="AG16" s="35">
        <v>0</v>
      </c>
      <c r="AH16" s="35"/>
      <c r="AI16" s="45">
        <v>0</v>
      </c>
      <c r="AJ16" s="45"/>
      <c r="AK16" s="35">
        <v>0</v>
      </c>
      <c r="AL16" s="35"/>
      <c r="AM16" s="35">
        <v>0</v>
      </c>
      <c r="AN16" s="35"/>
      <c r="AO16" s="35">
        <v>0</v>
      </c>
      <c r="AP16" s="35"/>
      <c r="AQ16" s="35">
        <v>0</v>
      </c>
      <c r="AR16" s="35"/>
      <c r="AS16" s="45">
        <f>+AI16+AK16+AM16-AO16+AQ16</f>
        <v>0</v>
      </c>
      <c r="AT16" s="45"/>
      <c r="AU16" s="35">
        <v>0</v>
      </c>
      <c r="AV16" s="35"/>
      <c r="AW16" s="35">
        <v>0</v>
      </c>
      <c r="AX16" s="35"/>
      <c r="AY16" s="35">
        <f t="shared" si="4"/>
        <v>0</v>
      </c>
      <c r="AZ16" s="35"/>
      <c r="BA16" s="35" t="s">
        <v>20</v>
      </c>
      <c r="BB16" s="55"/>
      <c r="BC16" s="35" t="s">
        <v>20</v>
      </c>
      <c r="BD16" s="35"/>
      <c r="BE16" s="35">
        <v>0</v>
      </c>
      <c r="BF16" s="35"/>
      <c r="BG16" s="35">
        <v>0</v>
      </c>
      <c r="BH16" s="35"/>
      <c r="BI16" s="35">
        <v>0</v>
      </c>
      <c r="BJ16" s="35"/>
      <c r="BK16" s="35">
        <v>0</v>
      </c>
      <c r="BL16" s="35"/>
      <c r="BM16" s="35">
        <f t="shared" si="5"/>
        <v>0</v>
      </c>
      <c r="BN16" s="54" t="s">
        <v>347</v>
      </c>
    </row>
    <row r="17" spans="1:67" ht="12.75" hidden="1" customHeight="1">
      <c r="A17" s="35" t="s">
        <v>21</v>
      </c>
      <c r="C17" s="35" t="s">
        <v>22</v>
      </c>
      <c r="D17" s="35"/>
      <c r="E17" s="35">
        <f t="shared" si="0"/>
        <v>0</v>
      </c>
      <c r="F17" s="35"/>
      <c r="G17" s="35">
        <v>0</v>
      </c>
      <c r="H17" s="35"/>
      <c r="I17" s="35">
        <v>0</v>
      </c>
      <c r="J17" s="35"/>
      <c r="K17" s="35">
        <f t="shared" si="1"/>
        <v>0</v>
      </c>
      <c r="L17" s="35"/>
      <c r="M17" s="35">
        <f t="shared" si="2"/>
        <v>0</v>
      </c>
      <c r="N17" s="35"/>
      <c r="O17" s="35">
        <v>0</v>
      </c>
      <c r="P17" s="35"/>
      <c r="Q17" s="35">
        <v>0</v>
      </c>
      <c r="R17" s="35"/>
      <c r="S17" s="35">
        <v>0</v>
      </c>
      <c r="T17" s="35"/>
      <c r="U17" s="35">
        <v>0</v>
      </c>
      <c r="V17" s="35"/>
      <c r="W17" s="35">
        <f t="shared" si="3"/>
        <v>0</v>
      </c>
      <c r="X17" s="35"/>
      <c r="Y17" s="35" t="s">
        <v>21</v>
      </c>
      <c r="Z17" s="55"/>
      <c r="AA17" s="35" t="s">
        <v>22</v>
      </c>
      <c r="AB17" s="35"/>
      <c r="AC17" s="35">
        <v>0</v>
      </c>
      <c r="AD17" s="35"/>
      <c r="AE17" s="35">
        <v>0</v>
      </c>
      <c r="AF17" s="35"/>
      <c r="AG17" s="35">
        <v>0</v>
      </c>
      <c r="AH17" s="35"/>
      <c r="AI17" s="45">
        <f t="shared" ref="AI17:AI31" si="6">+AC17-AE17-AG17</f>
        <v>0</v>
      </c>
      <c r="AJ17" s="45"/>
      <c r="AK17" s="35">
        <v>0</v>
      </c>
      <c r="AL17" s="35"/>
      <c r="AM17" s="35">
        <v>0</v>
      </c>
      <c r="AN17" s="35"/>
      <c r="AO17" s="35">
        <v>0</v>
      </c>
      <c r="AP17" s="35"/>
      <c r="AQ17" s="35">
        <v>0</v>
      </c>
      <c r="AR17" s="35"/>
      <c r="AS17" s="45">
        <f>+AI17+AK17+AM17-AO17+AQ17</f>
        <v>0</v>
      </c>
      <c r="AT17" s="45"/>
      <c r="AU17" s="35">
        <v>0</v>
      </c>
      <c r="AV17" s="35"/>
      <c r="AW17" s="35">
        <v>0</v>
      </c>
      <c r="AX17" s="35"/>
      <c r="AY17" s="35">
        <f t="shared" si="4"/>
        <v>0</v>
      </c>
      <c r="AZ17" s="35"/>
      <c r="BA17" s="35" t="s">
        <v>21</v>
      </c>
      <c r="BB17" s="55"/>
      <c r="BC17" s="35" t="s">
        <v>22</v>
      </c>
      <c r="BD17" s="35"/>
      <c r="BE17" s="35">
        <v>0</v>
      </c>
      <c r="BF17" s="35"/>
      <c r="BG17" s="35">
        <v>0</v>
      </c>
      <c r="BH17" s="35"/>
      <c r="BI17" s="35">
        <v>0</v>
      </c>
      <c r="BJ17" s="35"/>
      <c r="BK17" s="35">
        <v>0</v>
      </c>
      <c r="BL17" s="35"/>
      <c r="BM17" s="35">
        <f t="shared" si="5"/>
        <v>0</v>
      </c>
      <c r="BN17" s="54" t="s">
        <v>347</v>
      </c>
    </row>
    <row r="18" spans="1:67" ht="12.75" hidden="1" customHeight="1">
      <c r="A18" s="35" t="s">
        <v>23</v>
      </c>
      <c r="C18" s="35" t="s">
        <v>17</v>
      </c>
      <c r="D18" s="35"/>
      <c r="E18" s="35">
        <f t="shared" si="0"/>
        <v>0</v>
      </c>
      <c r="F18" s="35"/>
      <c r="G18" s="35">
        <v>0</v>
      </c>
      <c r="H18" s="35"/>
      <c r="I18" s="35">
        <v>0</v>
      </c>
      <c r="J18" s="35"/>
      <c r="K18" s="35">
        <f t="shared" si="1"/>
        <v>0</v>
      </c>
      <c r="L18" s="35"/>
      <c r="M18" s="35">
        <f t="shared" si="2"/>
        <v>0</v>
      </c>
      <c r="N18" s="35"/>
      <c r="O18" s="35">
        <v>0</v>
      </c>
      <c r="P18" s="35"/>
      <c r="Q18" s="35">
        <v>0</v>
      </c>
      <c r="R18" s="35"/>
      <c r="S18" s="35">
        <v>0</v>
      </c>
      <c r="T18" s="35"/>
      <c r="U18" s="35">
        <v>0</v>
      </c>
      <c r="V18" s="35"/>
      <c r="W18" s="35">
        <f t="shared" si="3"/>
        <v>0</v>
      </c>
      <c r="X18" s="35"/>
      <c r="Y18" s="35" t="s">
        <v>23</v>
      </c>
      <c r="Z18" s="55"/>
      <c r="AA18" s="35" t="s">
        <v>17</v>
      </c>
      <c r="AB18" s="35"/>
      <c r="AC18" s="35">
        <v>0</v>
      </c>
      <c r="AD18" s="35"/>
      <c r="AE18" s="35">
        <v>0</v>
      </c>
      <c r="AF18" s="35"/>
      <c r="AG18" s="35">
        <v>0</v>
      </c>
      <c r="AH18" s="35"/>
      <c r="AI18" s="45">
        <f t="shared" si="6"/>
        <v>0</v>
      </c>
      <c r="AJ18" s="45"/>
      <c r="AK18" s="35">
        <v>0</v>
      </c>
      <c r="AL18" s="35"/>
      <c r="AM18" s="35">
        <v>0</v>
      </c>
      <c r="AN18" s="35"/>
      <c r="AO18" s="35">
        <v>0</v>
      </c>
      <c r="AP18" s="35"/>
      <c r="AQ18" s="35">
        <v>0</v>
      </c>
      <c r="AR18" s="35"/>
      <c r="AS18" s="45">
        <v>0</v>
      </c>
      <c r="AT18" s="45"/>
      <c r="AU18" s="35">
        <v>0</v>
      </c>
      <c r="AV18" s="35"/>
      <c r="AW18" s="35">
        <v>0</v>
      </c>
      <c r="AX18" s="35"/>
      <c r="AY18" s="35">
        <f t="shared" si="4"/>
        <v>0</v>
      </c>
      <c r="AZ18" s="35"/>
      <c r="BA18" s="35" t="s">
        <v>23</v>
      </c>
      <c r="BB18" s="55"/>
      <c r="BC18" s="35" t="s">
        <v>17</v>
      </c>
      <c r="BD18" s="35"/>
      <c r="BE18" s="35">
        <v>0</v>
      </c>
      <c r="BF18" s="35"/>
      <c r="BG18" s="35">
        <v>0</v>
      </c>
      <c r="BH18" s="35"/>
      <c r="BI18" s="35">
        <v>0</v>
      </c>
      <c r="BJ18" s="35"/>
      <c r="BK18" s="35">
        <v>0</v>
      </c>
      <c r="BL18" s="35"/>
      <c r="BM18" s="35">
        <f t="shared" si="5"/>
        <v>0</v>
      </c>
      <c r="BN18" s="54" t="s">
        <v>347</v>
      </c>
    </row>
    <row r="19" spans="1:67" ht="12.75" hidden="1" customHeight="1">
      <c r="A19" s="35" t="s">
        <v>24</v>
      </c>
      <c r="C19" s="35" t="s">
        <v>17</v>
      </c>
      <c r="D19" s="35"/>
      <c r="E19" s="35">
        <f t="shared" si="0"/>
        <v>0</v>
      </c>
      <c r="F19" s="35"/>
      <c r="G19" s="35"/>
      <c r="H19" s="35"/>
      <c r="I19" s="35"/>
      <c r="J19" s="35"/>
      <c r="K19" s="35">
        <f t="shared" si="1"/>
        <v>0</v>
      </c>
      <c r="L19" s="35"/>
      <c r="M19" s="35">
        <f t="shared" si="2"/>
        <v>0</v>
      </c>
      <c r="N19" s="35"/>
      <c r="O19" s="35"/>
      <c r="P19" s="35"/>
      <c r="Q19" s="35"/>
      <c r="R19" s="35"/>
      <c r="S19" s="35"/>
      <c r="T19" s="35"/>
      <c r="U19" s="35"/>
      <c r="V19" s="35"/>
      <c r="W19" s="35">
        <f t="shared" si="3"/>
        <v>0</v>
      </c>
      <c r="X19" s="35"/>
      <c r="Y19" s="35" t="s">
        <v>24</v>
      </c>
      <c r="Z19" s="55"/>
      <c r="AA19" s="35" t="s">
        <v>17</v>
      </c>
      <c r="AB19" s="35"/>
      <c r="AC19" s="35"/>
      <c r="AD19" s="35"/>
      <c r="AE19" s="35"/>
      <c r="AF19" s="35"/>
      <c r="AG19" s="35"/>
      <c r="AH19" s="35"/>
      <c r="AI19" s="45">
        <f t="shared" si="6"/>
        <v>0</v>
      </c>
      <c r="AJ19" s="45"/>
      <c r="AK19" s="35"/>
      <c r="AL19" s="35"/>
      <c r="AM19" s="35"/>
      <c r="AN19" s="35"/>
      <c r="AO19" s="35"/>
      <c r="AP19" s="35"/>
      <c r="AQ19" s="35"/>
      <c r="AR19" s="35"/>
      <c r="AS19" s="45">
        <f t="shared" ref="AS19:AS27" si="7">+AI19+AK19+AM19-AO19+AQ19</f>
        <v>0</v>
      </c>
      <c r="AT19" s="45"/>
      <c r="AU19" s="35">
        <v>0</v>
      </c>
      <c r="AV19" s="35"/>
      <c r="AW19" s="35">
        <v>0</v>
      </c>
      <c r="AX19" s="35"/>
      <c r="AY19" s="35">
        <f t="shared" si="4"/>
        <v>0</v>
      </c>
      <c r="AZ19" s="35"/>
      <c r="BA19" s="35" t="s">
        <v>24</v>
      </c>
      <c r="BB19" s="55"/>
      <c r="BC19" s="35" t="s">
        <v>17</v>
      </c>
      <c r="BD19" s="35"/>
      <c r="BE19" s="35"/>
      <c r="BF19" s="35"/>
      <c r="BG19" s="35"/>
      <c r="BH19" s="35"/>
      <c r="BI19" s="35"/>
      <c r="BJ19" s="35"/>
      <c r="BK19" s="35"/>
      <c r="BL19" s="35"/>
      <c r="BM19" s="35">
        <f t="shared" si="5"/>
        <v>0</v>
      </c>
      <c r="BN19" s="54" t="s">
        <v>347</v>
      </c>
    </row>
    <row r="20" spans="1:67" ht="12.75" hidden="1" customHeight="1">
      <c r="A20" s="35" t="s">
        <v>25</v>
      </c>
      <c r="C20" s="35" t="s">
        <v>13</v>
      </c>
      <c r="D20" s="35"/>
      <c r="E20" s="35">
        <f t="shared" si="0"/>
        <v>0</v>
      </c>
      <c r="F20" s="35"/>
      <c r="G20" s="35">
        <v>0</v>
      </c>
      <c r="H20" s="35"/>
      <c r="I20" s="35">
        <v>0</v>
      </c>
      <c r="J20" s="35"/>
      <c r="K20" s="35">
        <f t="shared" si="1"/>
        <v>0</v>
      </c>
      <c r="L20" s="35"/>
      <c r="M20" s="35">
        <f t="shared" si="2"/>
        <v>0</v>
      </c>
      <c r="N20" s="35"/>
      <c r="O20" s="35">
        <v>0</v>
      </c>
      <c r="P20" s="35"/>
      <c r="Q20" s="35">
        <v>0</v>
      </c>
      <c r="R20" s="35"/>
      <c r="S20" s="35">
        <v>0</v>
      </c>
      <c r="T20" s="35"/>
      <c r="U20" s="35">
        <v>0</v>
      </c>
      <c r="V20" s="35"/>
      <c r="W20" s="35">
        <f t="shared" si="3"/>
        <v>0</v>
      </c>
      <c r="X20" s="35"/>
      <c r="Y20" s="35" t="s">
        <v>25</v>
      </c>
      <c r="Z20" s="55"/>
      <c r="AA20" s="35" t="s">
        <v>13</v>
      </c>
      <c r="AB20" s="35"/>
      <c r="AC20" s="35">
        <v>0</v>
      </c>
      <c r="AD20" s="35"/>
      <c r="AE20" s="35">
        <v>0</v>
      </c>
      <c r="AF20" s="35"/>
      <c r="AG20" s="35">
        <v>0</v>
      </c>
      <c r="AH20" s="35"/>
      <c r="AI20" s="45">
        <f t="shared" si="6"/>
        <v>0</v>
      </c>
      <c r="AJ20" s="45"/>
      <c r="AK20" s="35">
        <v>0</v>
      </c>
      <c r="AL20" s="35"/>
      <c r="AM20" s="35">
        <v>0</v>
      </c>
      <c r="AN20" s="35"/>
      <c r="AO20" s="35">
        <v>0</v>
      </c>
      <c r="AP20" s="35"/>
      <c r="AQ20" s="35">
        <v>0</v>
      </c>
      <c r="AR20" s="35"/>
      <c r="AS20" s="45">
        <f t="shared" si="7"/>
        <v>0</v>
      </c>
      <c r="AT20" s="45"/>
      <c r="AU20" s="35">
        <v>0</v>
      </c>
      <c r="AV20" s="35"/>
      <c r="AW20" s="35">
        <v>0</v>
      </c>
      <c r="AX20" s="35"/>
      <c r="AY20" s="35">
        <f t="shared" si="4"/>
        <v>0</v>
      </c>
      <c r="AZ20" s="35"/>
      <c r="BA20" s="35" t="s">
        <v>25</v>
      </c>
      <c r="BB20" s="55"/>
      <c r="BC20" s="35" t="s">
        <v>13</v>
      </c>
      <c r="BD20" s="35"/>
      <c r="BE20" s="35">
        <v>0</v>
      </c>
      <c r="BF20" s="35"/>
      <c r="BG20" s="35">
        <v>0</v>
      </c>
      <c r="BH20" s="35"/>
      <c r="BI20" s="35">
        <v>0</v>
      </c>
      <c r="BJ20" s="35"/>
      <c r="BK20" s="35">
        <v>0</v>
      </c>
      <c r="BL20" s="35"/>
      <c r="BM20" s="35">
        <f t="shared" si="5"/>
        <v>0</v>
      </c>
      <c r="BN20" s="54" t="s">
        <v>347</v>
      </c>
    </row>
    <row r="21" spans="1:67" ht="12.75" hidden="1" customHeight="1">
      <c r="A21" s="35" t="s">
        <v>26</v>
      </c>
      <c r="C21" s="35" t="s">
        <v>27</v>
      </c>
      <c r="D21" s="35"/>
      <c r="E21" s="35">
        <f t="shared" si="0"/>
        <v>0</v>
      </c>
      <c r="F21" s="35"/>
      <c r="G21" s="35">
        <v>0</v>
      </c>
      <c r="H21" s="35"/>
      <c r="I21" s="35">
        <v>0</v>
      </c>
      <c r="J21" s="35"/>
      <c r="K21" s="35">
        <f t="shared" si="1"/>
        <v>0</v>
      </c>
      <c r="L21" s="35"/>
      <c r="M21" s="35">
        <f t="shared" si="2"/>
        <v>0</v>
      </c>
      <c r="N21" s="35"/>
      <c r="O21" s="35">
        <v>0</v>
      </c>
      <c r="P21" s="35"/>
      <c r="Q21" s="35">
        <v>0</v>
      </c>
      <c r="R21" s="35"/>
      <c r="S21" s="35">
        <v>0</v>
      </c>
      <c r="T21" s="35"/>
      <c r="U21" s="35">
        <v>0</v>
      </c>
      <c r="V21" s="35"/>
      <c r="W21" s="35">
        <f t="shared" si="3"/>
        <v>0</v>
      </c>
      <c r="X21" s="35"/>
      <c r="Y21" s="35" t="s">
        <v>26</v>
      </c>
      <c r="Z21" s="55"/>
      <c r="AA21" s="35" t="s">
        <v>27</v>
      </c>
      <c r="AB21" s="35"/>
      <c r="AC21" s="35">
        <v>0</v>
      </c>
      <c r="AD21" s="35"/>
      <c r="AE21" s="35">
        <v>0</v>
      </c>
      <c r="AF21" s="35"/>
      <c r="AG21" s="35">
        <v>0</v>
      </c>
      <c r="AH21" s="35"/>
      <c r="AI21" s="45">
        <f t="shared" si="6"/>
        <v>0</v>
      </c>
      <c r="AJ21" s="45"/>
      <c r="AK21" s="35">
        <v>0</v>
      </c>
      <c r="AL21" s="35"/>
      <c r="AM21" s="35">
        <v>0</v>
      </c>
      <c r="AN21" s="35"/>
      <c r="AO21" s="35">
        <v>0</v>
      </c>
      <c r="AP21" s="35"/>
      <c r="AQ21" s="35">
        <v>0</v>
      </c>
      <c r="AR21" s="35"/>
      <c r="AS21" s="45">
        <f t="shared" si="7"/>
        <v>0</v>
      </c>
      <c r="AT21" s="45"/>
      <c r="AU21" s="35">
        <v>0</v>
      </c>
      <c r="AV21" s="35"/>
      <c r="AW21" s="35">
        <v>0</v>
      </c>
      <c r="AX21" s="35"/>
      <c r="AY21" s="35">
        <f t="shared" si="4"/>
        <v>0</v>
      </c>
      <c r="AZ21" s="35"/>
      <c r="BA21" s="35" t="s">
        <v>26</v>
      </c>
      <c r="BB21" s="55"/>
      <c r="BC21" s="35" t="s">
        <v>27</v>
      </c>
      <c r="BD21" s="35"/>
      <c r="BE21" s="35">
        <v>0</v>
      </c>
      <c r="BF21" s="35"/>
      <c r="BG21" s="35">
        <v>0</v>
      </c>
      <c r="BH21" s="35"/>
      <c r="BI21" s="35">
        <v>0</v>
      </c>
      <c r="BJ21" s="35"/>
      <c r="BK21" s="35">
        <v>0</v>
      </c>
      <c r="BL21" s="35"/>
      <c r="BM21" s="35">
        <f t="shared" si="5"/>
        <v>0</v>
      </c>
      <c r="BN21" s="54" t="s">
        <v>347</v>
      </c>
    </row>
    <row r="22" spans="1:67" ht="12.75" hidden="1" customHeight="1">
      <c r="A22" s="35" t="s">
        <v>28</v>
      </c>
      <c r="C22" s="35" t="s">
        <v>27</v>
      </c>
      <c r="D22" s="35"/>
      <c r="E22" s="35">
        <f t="shared" si="0"/>
        <v>0</v>
      </c>
      <c r="F22" s="35"/>
      <c r="G22" s="35">
        <v>0</v>
      </c>
      <c r="H22" s="35"/>
      <c r="I22" s="35">
        <v>0</v>
      </c>
      <c r="J22" s="35"/>
      <c r="K22" s="35">
        <f t="shared" si="1"/>
        <v>0</v>
      </c>
      <c r="L22" s="35"/>
      <c r="M22" s="35">
        <f t="shared" si="2"/>
        <v>0</v>
      </c>
      <c r="N22" s="35"/>
      <c r="O22" s="35">
        <v>0</v>
      </c>
      <c r="P22" s="35"/>
      <c r="Q22" s="35">
        <v>0</v>
      </c>
      <c r="R22" s="35"/>
      <c r="S22" s="35">
        <v>0</v>
      </c>
      <c r="T22" s="35"/>
      <c r="U22" s="35">
        <v>0</v>
      </c>
      <c r="V22" s="35"/>
      <c r="W22" s="35">
        <f t="shared" si="3"/>
        <v>0</v>
      </c>
      <c r="X22" s="35"/>
      <c r="Y22" s="35" t="s">
        <v>28</v>
      </c>
      <c r="Z22" s="55"/>
      <c r="AA22" s="35" t="s">
        <v>27</v>
      </c>
      <c r="AB22" s="35"/>
      <c r="AC22" s="35">
        <v>0</v>
      </c>
      <c r="AD22" s="35"/>
      <c r="AE22" s="35">
        <v>0</v>
      </c>
      <c r="AF22" s="35"/>
      <c r="AG22" s="35">
        <v>0</v>
      </c>
      <c r="AH22" s="35"/>
      <c r="AI22" s="45">
        <f t="shared" si="6"/>
        <v>0</v>
      </c>
      <c r="AJ22" s="45"/>
      <c r="AK22" s="35">
        <v>0</v>
      </c>
      <c r="AL22" s="35"/>
      <c r="AM22" s="35">
        <v>0</v>
      </c>
      <c r="AN22" s="35"/>
      <c r="AO22" s="35">
        <v>0</v>
      </c>
      <c r="AP22" s="35"/>
      <c r="AQ22" s="35">
        <v>0</v>
      </c>
      <c r="AR22" s="35"/>
      <c r="AS22" s="45">
        <f t="shared" si="7"/>
        <v>0</v>
      </c>
      <c r="AT22" s="45"/>
      <c r="AU22" s="35">
        <v>0</v>
      </c>
      <c r="AV22" s="35"/>
      <c r="AW22" s="35">
        <v>0</v>
      </c>
      <c r="AX22" s="35"/>
      <c r="AY22" s="35">
        <f t="shared" si="4"/>
        <v>0</v>
      </c>
      <c r="AZ22" s="35"/>
      <c r="BA22" s="35" t="s">
        <v>28</v>
      </c>
      <c r="BB22" s="55"/>
      <c r="BC22" s="35" t="s">
        <v>27</v>
      </c>
      <c r="BD22" s="35"/>
      <c r="BE22" s="35">
        <v>0</v>
      </c>
      <c r="BF22" s="35"/>
      <c r="BG22" s="35">
        <v>0</v>
      </c>
      <c r="BH22" s="35"/>
      <c r="BI22" s="35">
        <v>0</v>
      </c>
      <c r="BJ22" s="35"/>
      <c r="BK22" s="35">
        <v>0</v>
      </c>
      <c r="BL22" s="35"/>
      <c r="BM22" s="35">
        <f t="shared" si="5"/>
        <v>0</v>
      </c>
      <c r="BN22" s="54" t="s">
        <v>347</v>
      </c>
    </row>
    <row r="23" spans="1:67" ht="12.75" hidden="1" customHeight="1">
      <c r="A23" s="35" t="s">
        <v>29</v>
      </c>
      <c r="C23" s="35" t="s">
        <v>30</v>
      </c>
      <c r="D23" s="35"/>
      <c r="E23" s="35">
        <f t="shared" si="0"/>
        <v>0</v>
      </c>
      <c r="F23" s="35"/>
      <c r="G23" s="35"/>
      <c r="H23" s="35"/>
      <c r="I23" s="35"/>
      <c r="J23" s="35"/>
      <c r="K23" s="35">
        <f t="shared" si="1"/>
        <v>0</v>
      </c>
      <c r="L23" s="35"/>
      <c r="M23" s="35">
        <f t="shared" si="2"/>
        <v>0</v>
      </c>
      <c r="N23" s="35"/>
      <c r="O23" s="35"/>
      <c r="P23" s="35"/>
      <c r="Q23" s="35"/>
      <c r="R23" s="35"/>
      <c r="S23" s="35"/>
      <c r="T23" s="35"/>
      <c r="U23" s="35"/>
      <c r="V23" s="35"/>
      <c r="W23" s="35">
        <f t="shared" si="3"/>
        <v>0</v>
      </c>
      <c r="X23" s="35"/>
      <c r="Y23" s="35" t="s">
        <v>29</v>
      </c>
      <c r="Z23" s="55"/>
      <c r="AA23" s="35" t="s">
        <v>30</v>
      </c>
      <c r="AB23" s="35"/>
      <c r="AC23" s="35"/>
      <c r="AD23" s="35"/>
      <c r="AE23" s="35"/>
      <c r="AF23" s="35"/>
      <c r="AG23" s="35"/>
      <c r="AH23" s="35"/>
      <c r="AI23" s="45">
        <f t="shared" si="6"/>
        <v>0</v>
      </c>
      <c r="AJ23" s="45"/>
      <c r="AK23" s="35"/>
      <c r="AL23" s="35"/>
      <c r="AM23" s="35"/>
      <c r="AN23" s="35"/>
      <c r="AO23" s="35"/>
      <c r="AP23" s="35"/>
      <c r="AQ23" s="35"/>
      <c r="AR23" s="35"/>
      <c r="AS23" s="45">
        <f t="shared" si="7"/>
        <v>0</v>
      </c>
      <c r="AT23" s="45"/>
      <c r="AU23" s="35">
        <v>0</v>
      </c>
      <c r="AV23" s="35"/>
      <c r="AW23" s="35">
        <v>0</v>
      </c>
      <c r="AX23" s="35"/>
      <c r="AY23" s="35">
        <f t="shared" si="4"/>
        <v>0</v>
      </c>
      <c r="AZ23" s="35"/>
      <c r="BA23" s="35" t="s">
        <v>29</v>
      </c>
      <c r="BB23" s="55"/>
      <c r="BC23" s="35" t="s">
        <v>30</v>
      </c>
      <c r="BD23" s="35"/>
      <c r="BE23" s="35"/>
      <c r="BF23" s="35"/>
      <c r="BG23" s="35"/>
      <c r="BH23" s="35"/>
      <c r="BI23" s="35"/>
      <c r="BJ23" s="35"/>
      <c r="BK23" s="35"/>
      <c r="BL23" s="35"/>
      <c r="BM23" s="35">
        <f t="shared" si="5"/>
        <v>0</v>
      </c>
      <c r="BN23" s="54" t="s">
        <v>347</v>
      </c>
    </row>
    <row r="24" spans="1:67" ht="12.75" hidden="1" customHeight="1">
      <c r="A24" s="35" t="s">
        <v>31</v>
      </c>
      <c r="C24" s="35" t="s">
        <v>27</v>
      </c>
      <c r="D24" s="35"/>
      <c r="E24" s="35">
        <f t="shared" si="0"/>
        <v>0</v>
      </c>
      <c r="F24" s="35"/>
      <c r="G24" s="35">
        <v>0</v>
      </c>
      <c r="H24" s="35"/>
      <c r="I24" s="35">
        <v>0</v>
      </c>
      <c r="J24" s="35"/>
      <c r="K24" s="35">
        <f t="shared" si="1"/>
        <v>0</v>
      </c>
      <c r="L24" s="35"/>
      <c r="M24" s="35">
        <f t="shared" si="2"/>
        <v>0</v>
      </c>
      <c r="N24" s="35"/>
      <c r="O24" s="35">
        <v>0</v>
      </c>
      <c r="P24" s="35"/>
      <c r="Q24" s="35">
        <v>0</v>
      </c>
      <c r="R24" s="35"/>
      <c r="S24" s="35">
        <v>0</v>
      </c>
      <c r="T24" s="35"/>
      <c r="U24" s="35">
        <v>0</v>
      </c>
      <c r="V24" s="35"/>
      <c r="W24" s="35">
        <f t="shared" si="3"/>
        <v>0</v>
      </c>
      <c r="X24" s="35"/>
      <c r="Y24" s="35" t="s">
        <v>31</v>
      </c>
      <c r="Z24" s="55"/>
      <c r="AA24" s="35" t="s">
        <v>27</v>
      </c>
      <c r="AB24" s="35"/>
      <c r="AC24" s="35">
        <v>0</v>
      </c>
      <c r="AD24" s="35"/>
      <c r="AE24" s="35">
        <v>0</v>
      </c>
      <c r="AF24" s="35"/>
      <c r="AG24" s="35">
        <v>0</v>
      </c>
      <c r="AH24" s="35"/>
      <c r="AI24" s="45">
        <f t="shared" si="6"/>
        <v>0</v>
      </c>
      <c r="AJ24" s="45"/>
      <c r="AK24" s="35">
        <v>0</v>
      </c>
      <c r="AL24" s="35"/>
      <c r="AM24" s="35">
        <v>0</v>
      </c>
      <c r="AN24" s="35"/>
      <c r="AO24" s="35">
        <v>0</v>
      </c>
      <c r="AP24" s="35"/>
      <c r="AQ24" s="35">
        <v>0</v>
      </c>
      <c r="AR24" s="35"/>
      <c r="AS24" s="45">
        <f t="shared" si="7"/>
        <v>0</v>
      </c>
      <c r="AT24" s="45"/>
      <c r="AU24" s="35">
        <v>0</v>
      </c>
      <c r="AV24" s="35"/>
      <c r="AW24" s="35">
        <v>0</v>
      </c>
      <c r="AX24" s="35"/>
      <c r="AY24" s="35">
        <f t="shared" si="4"/>
        <v>0</v>
      </c>
      <c r="AZ24" s="35"/>
      <c r="BA24" s="35" t="s">
        <v>31</v>
      </c>
      <c r="BB24" s="55"/>
      <c r="BC24" s="35" t="s">
        <v>27</v>
      </c>
      <c r="BD24" s="35"/>
      <c r="BE24" s="35">
        <v>0</v>
      </c>
      <c r="BF24" s="35"/>
      <c r="BG24" s="35">
        <v>0</v>
      </c>
      <c r="BH24" s="35"/>
      <c r="BI24" s="35">
        <v>0</v>
      </c>
      <c r="BJ24" s="35"/>
      <c r="BK24" s="35">
        <v>0</v>
      </c>
      <c r="BL24" s="35"/>
      <c r="BM24" s="35">
        <f t="shared" si="5"/>
        <v>0</v>
      </c>
      <c r="BN24" s="54" t="s">
        <v>347</v>
      </c>
      <c r="BO24" s="55" t="s">
        <v>371</v>
      </c>
    </row>
    <row r="25" spans="1:67" ht="12.75" hidden="1" customHeight="1">
      <c r="A25" s="35" t="s">
        <v>32</v>
      </c>
      <c r="C25" s="35" t="s">
        <v>27</v>
      </c>
      <c r="D25" s="35"/>
      <c r="E25" s="35">
        <f t="shared" si="0"/>
        <v>0</v>
      </c>
      <c r="F25" s="35"/>
      <c r="G25" s="35">
        <v>0</v>
      </c>
      <c r="H25" s="35"/>
      <c r="I25" s="35">
        <v>0</v>
      </c>
      <c r="J25" s="35"/>
      <c r="K25" s="35">
        <f t="shared" si="1"/>
        <v>0</v>
      </c>
      <c r="L25" s="35"/>
      <c r="M25" s="35">
        <f t="shared" si="2"/>
        <v>0</v>
      </c>
      <c r="N25" s="35"/>
      <c r="O25" s="35">
        <v>0</v>
      </c>
      <c r="P25" s="35"/>
      <c r="Q25" s="35">
        <v>0</v>
      </c>
      <c r="R25" s="35"/>
      <c r="S25" s="35">
        <v>0</v>
      </c>
      <c r="T25" s="35"/>
      <c r="U25" s="35">
        <v>0</v>
      </c>
      <c r="V25" s="35"/>
      <c r="W25" s="35">
        <f t="shared" si="3"/>
        <v>0</v>
      </c>
      <c r="X25" s="35"/>
      <c r="Y25" s="35" t="s">
        <v>32</v>
      </c>
      <c r="Z25" s="55"/>
      <c r="AA25" s="35" t="s">
        <v>27</v>
      </c>
      <c r="AB25" s="35"/>
      <c r="AC25" s="35">
        <v>0</v>
      </c>
      <c r="AD25" s="35"/>
      <c r="AE25" s="35">
        <v>0</v>
      </c>
      <c r="AF25" s="35"/>
      <c r="AG25" s="35">
        <v>0</v>
      </c>
      <c r="AH25" s="35"/>
      <c r="AI25" s="45">
        <f t="shared" si="6"/>
        <v>0</v>
      </c>
      <c r="AJ25" s="45"/>
      <c r="AK25" s="35">
        <v>0</v>
      </c>
      <c r="AL25" s="35"/>
      <c r="AM25" s="35">
        <v>0</v>
      </c>
      <c r="AN25" s="35"/>
      <c r="AO25" s="35">
        <v>0</v>
      </c>
      <c r="AP25" s="35"/>
      <c r="AQ25" s="35">
        <v>0</v>
      </c>
      <c r="AR25" s="35"/>
      <c r="AS25" s="45">
        <f t="shared" si="7"/>
        <v>0</v>
      </c>
      <c r="AT25" s="45"/>
      <c r="AU25" s="35">
        <v>0</v>
      </c>
      <c r="AV25" s="35"/>
      <c r="AW25" s="35">
        <v>0</v>
      </c>
      <c r="AX25" s="35"/>
      <c r="AY25" s="35">
        <f t="shared" si="4"/>
        <v>0</v>
      </c>
      <c r="AZ25" s="35"/>
      <c r="BA25" s="35" t="s">
        <v>32</v>
      </c>
      <c r="BB25" s="55"/>
      <c r="BC25" s="35" t="s">
        <v>27</v>
      </c>
      <c r="BD25" s="35"/>
      <c r="BE25" s="35">
        <v>0</v>
      </c>
      <c r="BF25" s="35"/>
      <c r="BG25" s="35">
        <v>0</v>
      </c>
      <c r="BH25" s="35"/>
      <c r="BI25" s="35">
        <v>0</v>
      </c>
      <c r="BJ25" s="35"/>
      <c r="BK25" s="35">
        <v>0</v>
      </c>
      <c r="BL25" s="35"/>
      <c r="BM25" s="35">
        <f t="shared" si="5"/>
        <v>0</v>
      </c>
      <c r="BN25" s="54" t="s">
        <v>347</v>
      </c>
    </row>
    <row r="26" spans="1:67" ht="12.75" hidden="1" customHeight="1">
      <c r="A26" s="35" t="s">
        <v>34</v>
      </c>
      <c r="C26" s="35" t="s">
        <v>30</v>
      </c>
      <c r="D26" s="35"/>
      <c r="E26" s="35">
        <f t="shared" si="0"/>
        <v>0</v>
      </c>
      <c r="F26" s="35"/>
      <c r="G26" s="35">
        <v>0</v>
      </c>
      <c r="H26" s="35"/>
      <c r="I26" s="35">
        <v>0</v>
      </c>
      <c r="J26" s="35"/>
      <c r="K26" s="35">
        <f t="shared" si="1"/>
        <v>0</v>
      </c>
      <c r="L26" s="35"/>
      <c r="M26" s="35">
        <f t="shared" si="2"/>
        <v>0</v>
      </c>
      <c r="N26" s="35"/>
      <c r="O26" s="35">
        <v>0</v>
      </c>
      <c r="P26" s="35"/>
      <c r="Q26" s="35">
        <v>0</v>
      </c>
      <c r="R26" s="35"/>
      <c r="S26" s="35">
        <v>0</v>
      </c>
      <c r="T26" s="35"/>
      <c r="U26" s="35">
        <v>0</v>
      </c>
      <c r="V26" s="35"/>
      <c r="W26" s="35">
        <f t="shared" si="3"/>
        <v>0</v>
      </c>
      <c r="X26" s="35"/>
      <c r="Y26" s="35" t="s">
        <v>34</v>
      </c>
      <c r="Z26" s="55"/>
      <c r="AA26" s="35" t="s">
        <v>30</v>
      </c>
      <c r="AB26" s="35"/>
      <c r="AC26" s="35">
        <v>0</v>
      </c>
      <c r="AD26" s="35"/>
      <c r="AE26" s="35">
        <v>0</v>
      </c>
      <c r="AF26" s="35"/>
      <c r="AG26" s="35">
        <v>0</v>
      </c>
      <c r="AH26" s="35"/>
      <c r="AI26" s="45">
        <f t="shared" si="6"/>
        <v>0</v>
      </c>
      <c r="AJ26" s="45"/>
      <c r="AK26" s="35">
        <v>0</v>
      </c>
      <c r="AL26" s="35"/>
      <c r="AM26" s="35">
        <v>0</v>
      </c>
      <c r="AN26" s="35"/>
      <c r="AO26" s="35">
        <v>0</v>
      </c>
      <c r="AP26" s="35"/>
      <c r="AQ26" s="35">
        <v>0</v>
      </c>
      <c r="AR26" s="35"/>
      <c r="AS26" s="45">
        <f t="shared" si="7"/>
        <v>0</v>
      </c>
      <c r="AT26" s="45"/>
      <c r="AU26" s="35">
        <v>0</v>
      </c>
      <c r="AV26" s="35"/>
      <c r="AW26" s="35">
        <v>0</v>
      </c>
      <c r="AX26" s="35"/>
      <c r="AY26" s="35">
        <f t="shared" si="4"/>
        <v>0</v>
      </c>
      <c r="AZ26" s="35"/>
      <c r="BA26" s="35" t="s">
        <v>34</v>
      </c>
      <c r="BB26" s="55"/>
      <c r="BC26" s="35" t="s">
        <v>30</v>
      </c>
      <c r="BD26" s="35"/>
      <c r="BE26" s="35">
        <v>0</v>
      </c>
      <c r="BF26" s="35"/>
      <c r="BG26" s="35">
        <v>0</v>
      </c>
      <c r="BH26" s="35"/>
      <c r="BI26" s="35">
        <v>0</v>
      </c>
      <c r="BJ26" s="35"/>
      <c r="BK26" s="35">
        <v>0</v>
      </c>
      <c r="BL26" s="35"/>
      <c r="BM26" s="35">
        <f t="shared" si="5"/>
        <v>0</v>
      </c>
      <c r="BN26" s="54" t="s">
        <v>347</v>
      </c>
    </row>
    <row r="27" spans="1:67" ht="12.75" hidden="1" customHeight="1">
      <c r="A27" s="35" t="s">
        <v>35</v>
      </c>
      <c r="C27" s="35" t="s">
        <v>36</v>
      </c>
      <c r="D27" s="35"/>
      <c r="E27" s="35">
        <f t="shared" si="0"/>
        <v>0</v>
      </c>
      <c r="F27" s="35"/>
      <c r="G27" s="35">
        <v>0</v>
      </c>
      <c r="H27" s="35"/>
      <c r="I27" s="35">
        <v>0</v>
      </c>
      <c r="J27" s="35"/>
      <c r="K27" s="35">
        <f t="shared" si="1"/>
        <v>0</v>
      </c>
      <c r="L27" s="35"/>
      <c r="M27" s="35">
        <f t="shared" si="2"/>
        <v>0</v>
      </c>
      <c r="N27" s="35"/>
      <c r="O27" s="35">
        <v>0</v>
      </c>
      <c r="P27" s="35"/>
      <c r="Q27" s="35">
        <v>0</v>
      </c>
      <c r="R27" s="35"/>
      <c r="S27" s="35">
        <v>0</v>
      </c>
      <c r="T27" s="35"/>
      <c r="U27" s="35">
        <v>0</v>
      </c>
      <c r="V27" s="35"/>
      <c r="W27" s="35">
        <f t="shared" si="3"/>
        <v>0</v>
      </c>
      <c r="X27" s="35"/>
      <c r="Y27" s="35" t="s">
        <v>35</v>
      </c>
      <c r="Z27" s="55"/>
      <c r="AA27" s="35" t="s">
        <v>36</v>
      </c>
      <c r="AB27" s="35"/>
      <c r="AC27" s="35">
        <v>0</v>
      </c>
      <c r="AD27" s="35"/>
      <c r="AE27" s="35">
        <v>0</v>
      </c>
      <c r="AF27" s="35"/>
      <c r="AG27" s="35">
        <v>0</v>
      </c>
      <c r="AH27" s="35"/>
      <c r="AI27" s="45">
        <f t="shared" si="6"/>
        <v>0</v>
      </c>
      <c r="AJ27" s="45"/>
      <c r="AK27" s="35">
        <v>0</v>
      </c>
      <c r="AL27" s="35"/>
      <c r="AM27" s="35">
        <v>0</v>
      </c>
      <c r="AN27" s="35"/>
      <c r="AO27" s="35">
        <v>0</v>
      </c>
      <c r="AP27" s="35"/>
      <c r="AQ27" s="35">
        <v>0</v>
      </c>
      <c r="AR27" s="35"/>
      <c r="AS27" s="45">
        <f t="shared" si="7"/>
        <v>0</v>
      </c>
      <c r="AT27" s="45"/>
      <c r="AU27" s="35">
        <v>0</v>
      </c>
      <c r="AV27" s="35"/>
      <c r="AW27" s="35">
        <v>0</v>
      </c>
      <c r="AX27" s="35"/>
      <c r="AY27" s="35">
        <f t="shared" si="4"/>
        <v>0</v>
      </c>
      <c r="AZ27" s="35"/>
      <c r="BA27" s="35" t="s">
        <v>35</v>
      </c>
      <c r="BB27" s="55"/>
      <c r="BC27" s="35" t="s">
        <v>36</v>
      </c>
      <c r="BD27" s="35"/>
      <c r="BE27" s="35">
        <v>0</v>
      </c>
      <c r="BF27" s="35"/>
      <c r="BG27" s="35">
        <v>0</v>
      </c>
      <c r="BH27" s="35"/>
      <c r="BI27" s="35">
        <v>0</v>
      </c>
      <c r="BJ27" s="35"/>
      <c r="BK27" s="35">
        <v>0</v>
      </c>
      <c r="BL27" s="35"/>
      <c r="BM27" s="35">
        <f t="shared" si="5"/>
        <v>0</v>
      </c>
      <c r="BN27" s="54" t="s">
        <v>347</v>
      </c>
    </row>
    <row r="28" spans="1:67" ht="12.75" hidden="1" customHeight="1">
      <c r="A28" s="35" t="s">
        <v>37</v>
      </c>
      <c r="C28" s="35" t="s">
        <v>38</v>
      </c>
      <c r="D28" s="35"/>
      <c r="E28" s="35">
        <f t="shared" si="0"/>
        <v>0</v>
      </c>
      <c r="F28" s="35"/>
      <c r="G28" s="35">
        <v>0</v>
      </c>
      <c r="H28" s="35"/>
      <c r="I28" s="35">
        <v>0</v>
      </c>
      <c r="J28" s="35"/>
      <c r="K28" s="35">
        <f t="shared" si="1"/>
        <v>0</v>
      </c>
      <c r="L28" s="35"/>
      <c r="M28" s="35">
        <f t="shared" si="2"/>
        <v>0</v>
      </c>
      <c r="N28" s="35"/>
      <c r="O28" s="35">
        <v>0</v>
      </c>
      <c r="P28" s="35"/>
      <c r="Q28" s="35">
        <v>0</v>
      </c>
      <c r="R28" s="35"/>
      <c r="S28" s="35">
        <v>0</v>
      </c>
      <c r="T28" s="35"/>
      <c r="U28" s="35">
        <v>0</v>
      </c>
      <c r="V28" s="35"/>
      <c r="W28" s="35">
        <f t="shared" si="3"/>
        <v>0</v>
      </c>
      <c r="X28" s="35"/>
      <c r="Y28" s="35" t="s">
        <v>37</v>
      </c>
      <c r="Z28" s="55"/>
      <c r="AA28" s="35" t="s">
        <v>38</v>
      </c>
      <c r="AB28" s="35"/>
      <c r="AC28" s="35">
        <v>0</v>
      </c>
      <c r="AD28" s="35"/>
      <c r="AE28" s="35">
        <v>0</v>
      </c>
      <c r="AF28" s="35"/>
      <c r="AG28" s="35">
        <v>0</v>
      </c>
      <c r="AH28" s="35"/>
      <c r="AI28" s="45">
        <f t="shared" si="6"/>
        <v>0</v>
      </c>
      <c r="AJ28" s="45"/>
      <c r="AK28" s="35">
        <v>0</v>
      </c>
      <c r="AL28" s="35"/>
      <c r="AM28" s="35">
        <v>0</v>
      </c>
      <c r="AN28" s="35"/>
      <c r="AO28" s="35">
        <v>0</v>
      </c>
      <c r="AP28" s="35"/>
      <c r="AQ28" s="35">
        <v>0</v>
      </c>
      <c r="AR28" s="35"/>
      <c r="AS28" s="45">
        <v>0</v>
      </c>
      <c r="AT28" s="45"/>
      <c r="AU28" s="35">
        <v>0</v>
      </c>
      <c r="AV28" s="35"/>
      <c r="AW28" s="35">
        <v>0</v>
      </c>
      <c r="AX28" s="35"/>
      <c r="AY28" s="35">
        <f t="shared" si="4"/>
        <v>0</v>
      </c>
      <c r="AZ28" s="35"/>
      <c r="BA28" s="35" t="s">
        <v>37</v>
      </c>
      <c r="BB28" s="55"/>
      <c r="BC28" s="35" t="s">
        <v>38</v>
      </c>
      <c r="BD28" s="35"/>
      <c r="BE28" s="35">
        <v>0</v>
      </c>
      <c r="BF28" s="35"/>
      <c r="BG28" s="35">
        <v>0</v>
      </c>
      <c r="BH28" s="35"/>
      <c r="BI28" s="35">
        <v>0</v>
      </c>
      <c r="BJ28" s="35"/>
      <c r="BK28" s="35">
        <v>0</v>
      </c>
      <c r="BL28" s="35"/>
      <c r="BM28" s="35">
        <v>0</v>
      </c>
      <c r="BN28" s="54" t="s">
        <v>347</v>
      </c>
    </row>
    <row r="29" spans="1:67" ht="12.75" hidden="1" customHeight="1">
      <c r="A29" s="35" t="s">
        <v>39</v>
      </c>
      <c r="C29" s="35" t="s">
        <v>40</v>
      </c>
      <c r="D29" s="35"/>
      <c r="E29" s="35">
        <f t="shared" si="0"/>
        <v>0</v>
      </c>
      <c r="F29" s="35"/>
      <c r="G29" s="35">
        <v>0</v>
      </c>
      <c r="H29" s="35"/>
      <c r="I29" s="35">
        <v>0</v>
      </c>
      <c r="J29" s="35"/>
      <c r="K29" s="35">
        <f t="shared" si="1"/>
        <v>0</v>
      </c>
      <c r="L29" s="35"/>
      <c r="M29" s="35">
        <f t="shared" si="2"/>
        <v>0</v>
      </c>
      <c r="N29" s="35"/>
      <c r="O29" s="35">
        <v>0</v>
      </c>
      <c r="P29" s="35"/>
      <c r="Q29" s="35">
        <v>0</v>
      </c>
      <c r="R29" s="35"/>
      <c r="S29" s="35">
        <v>0</v>
      </c>
      <c r="T29" s="35"/>
      <c r="U29" s="35">
        <v>0</v>
      </c>
      <c r="V29" s="35"/>
      <c r="W29" s="35">
        <f t="shared" si="3"/>
        <v>0</v>
      </c>
      <c r="X29" s="35"/>
      <c r="Y29" s="35" t="s">
        <v>39</v>
      </c>
      <c r="Z29" s="55"/>
      <c r="AA29" s="35" t="s">
        <v>40</v>
      </c>
      <c r="AB29" s="35"/>
      <c r="AC29" s="35">
        <v>0</v>
      </c>
      <c r="AD29" s="35"/>
      <c r="AE29" s="35">
        <v>0</v>
      </c>
      <c r="AF29" s="35"/>
      <c r="AG29" s="35">
        <v>0</v>
      </c>
      <c r="AH29" s="35"/>
      <c r="AI29" s="45">
        <f t="shared" si="6"/>
        <v>0</v>
      </c>
      <c r="AJ29" s="45"/>
      <c r="AK29" s="35">
        <v>0</v>
      </c>
      <c r="AL29" s="35"/>
      <c r="AM29" s="35">
        <v>0</v>
      </c>
      <c r="AN29" s="35"/>
      <c r="AO29" s="35">
        <v>0</v>
      </c>
      <c r="AP29" s="35"/>
      <c r="AQ29" s="35">
        <v>0</v>
      </c>
      <c r="AR29" s="35"/>
      <c r="AS29" s="45">
        <f t="shared" ref="AS29:AS34" si="8">+AI29+AK29+AM29-AO29+AQ29</f>
        <v>0</v>
      </c>
      <c r="AT29" s="45"/>
      <c r="AU29" s="35">
        <v>0</v>
      </c>
      <c r="AV29" s="35"/>
      <c r="AW29" s="35">
        <v>0</v>
      </c>
      <c r="AX29" s="35"/>
      <c r="AY29" s="35">
        <f t="shared" si="4"/>
        <v>0</v>
      </c>
      <c r="AZ29" s="35"/>
      <c r="BA29" s="35" t="s">
        <v>39</v>
      </c>
      <c r="BB29" s="55"/>
      <c r="BC29" s="35" t="s">
        <v>40</v>
      </c>
      <c r="BD29" s="35"/>
      <c r="BE29" s="35">
        <v>0</v>
      </c>
      <c r="BF29" s="35"/>
      <c r="BG29" s="35">
        <v>0</v>
      </c>
      <c r="BH29" s="35"/>
      <c r="BI29" s="35">
        <v>0</v>
      </c>
      <c r="BJ29" s="35"/>
      <c r="BK29" s="35">
        <v>0</v>
      </c>
      <c r="BL29" s="35"/>
      <c r="BM29" s="35">
        <f>SUM(BE29:BK29)</f>
        <v>0</v>
      </c>
      <c r="BN29" s="54" t="s">
        <v>347</v>
      </c>
    </row>
    <row r="30" spans="1:67" ht="12.75" hidden="1" customHeight="1">
      <c r="A30" s="35" t="s">
        <v>41</v>
      </c>
      <c r="C30" s="35" t="s">
        <v>27</v>
      </c>
      <c r="D30" s="35"/>
      <c r="E30" s="35">
        <f t="shared" si="0"/>
        <v>0</v>
      </c>
      <c r="F30" s="35"/>
      <c r="G30" s="35">
        <v>0</v>
      </c>
      <c r="H30" s="35"/>
      <c r="I30" s="35">
        <v>0</v>
      </c>
      <c r="J30" s="35"/>
      <c r="K30" s="35">
        <f t="shared" si="1"/>
        <v>0</v>
      </c>
      <c r="L30" s="35"/>
      <c r="M30" s="35">
        <f t="shared" si="2"/>
        <v>0</v>
      </c>
      <c r="N30" s="35"/>
      <c r="O30" s="35">
        <v>0</v>
      </c>
      <c r="P30" s="35"/>
      <c r="Q30" s="35">
        <v>0</v>
      </c>
      <c r="R30" s="35"/>
      <c r="S30" s="35">
        <v>0</v>
      </c>
      <c r="T30" s="35"/>
      <c r="U30" s="35">
        <v>0</v>
      </c>
      <c r="V30" s="35"/>
      <c r="W30" s="35">
        <f t="shared" si="3"/>
        <v>0</v>
      </c>
      <c r="X30" s="35"/>
      <c r="Y30" s="35" t="s">
        <v>41</v>
      </c>
      <c r="Z30" s="55"/>
      <c r="AA30" s="35" t="s">
        <v>27</v>
      </c>
      <c r="AB30" s="35"/>
      <c r="AC30" s="35">
        <v>0</v>
      </c>
      <c r="AD30" s="35"/>
      <c r="AE30" s="35">
        <v>0</v>
      </c>
      <c r="AF30" s="35"/>
      <c r="AG30" s="35">
        <v>0</v>
      </c>
      <c r="AH30" s="35"/>
      <c r="AI30" s="45">
        <f t="shared" si="6"/>
        <v>0</v>
      </c>
      <c r="AJ30" s="45"/>
      <c r="AK30" s="35">
        <v>0</v>
      </c>
      <c r="AL30" s="35"/>
      <c r="AM30" s="35">
        <v>0</v>
      </c>
      <c r="AN30" s="35"/>
      <c r="AO30" s="35">
        <v>0</v>
      </c>
      <c r="AP30" s="35"/>
      <c r="AQ30" s="35">
        <v>0</v>
      </c>
      <c r="AR30" s="35"/>
      <c r="AS30" s="45">
        <f t="shared" si="8"/>
        <v>0</v>
      </c>
      <c r="AT30" s="45"/>
      <c r="AU30" s="35">
        <v>0</v>
      </c>
      <c r="AV30" s="35"/>
      <c r="AW30" s="35">
        <v>0</v>
      </c>
      <c r="AX30" s="35"/>
      <c r="AY30" s="35">
        <f t="shared" si="4"/>
        <v>0</v>
      </c>
      <c r="AZ30" s="35"/>
      <c r="BA30" s="35" t="s">
        <v>41</v>
      </c>
      <c r="BB30" s="55"/>
      <c r="BC30" s="35" t="s">
        <v>27</v>
      </c>
      <c r="BD30" s="35"/>
      <c r="BE30" s="35">
        <v>0</v>
      </c>
      <c r="BF30" s="35"/>
      <c r="BG30" s="35">
        <v>0</v>
      </c>
      <c r="BH30" s="35"/>
      <c r="BI30" s="35">
        <v>0</v>
      </c>
      <c r="BJ30" s="35"/>
      <c r="BK30" s="35">
        <v>0</v>
      </c>
      <c r="BL30" s="35"/>
      <c r="BM30" s="35">
        <f>SUM(BE30:BK30)</f>
        <v>0</v>
      </c>
      <c r="BN30" s="54" t="s">
        <v>347</v>
      </c>
    </row>
    <row r="31" spans="1:67" ht="12.75" hidden="1" customHeight="1">
      <c r="A31" s="35" t="s">
        <v>42</v>
      </c>
      <c r="C31" s="35" t="s">
        <v>43</v>
      </c>
      <c r="D31" s="35"/>
      <c r="E31" s="35">
        <f t="shared" si="0"/>
        <v>0</v>
      </c>
      <c r="F31" s="35"/>
      <c r="G31" s="35"/>
      <c r="H31" s="35"/>
      <c r="I31" s="35"/>
      <c r="J31" s="35"/>
      <c r="K31" s="35">
        <f t="shared" si="1"/>
        <v>0</v>
      </c>
      <c r="L31" s="35"/>
      <c r="M31" s="35">
        <f t="shared" si="2"/>
        <v>0</v>
      </c>
      <c r="N31" s="35"/>
      <c r="O31" s="35"/>
      <c r="P31" s="35"/>
      <c r="Q31" s="35"/>
      <c r="R31" s="35"/>
      <c r="S31" s="35"/>
      <c r="T31" s="35"/>
      <c r="U31" s="35"/>
      <c r="V31" s="35"/>
      <c r="W31" s="35">
        <f t="shared" si="3"/>
        <v>0</v>
      </c>
      <c r="X31" s="35"/>
      <c r="Y31" s="35" t="s">
        <v>42</v>
      </c>
      <c r="Z31" s="55"/>
      <c r="AA31" s="35" t="s">
        <v>43</v>
      </c>
      <c r="AB31" s="35"/>
      <c r="AC31" s="35"/>
      <c r="AD31" s="35"/>
      <c r="AE31" s="35"/>
      <c r="AF31" s="35"/>
      <c r="AG31" s="35"/>
      <c r="AH31" s="35"/>
      <c r="AI31" s="45">
        <f t="shared" si="6"/>
        <v>0</v>
      </c>
      <c r="AJ31" s="45"/>
      <c r="AK31" s="35"/>
      <c r="AL31" s="35"/>
      <c r="AM31" s="35"/>
      <c r="AN31" s="35"/>
      <c r="AO31" s="35"/>
      <c r="AP31" s="35"/>
      <c r="AQ31" s="35"/>
      <c r="AR31" s="35"/>
      <c r="AS31" s="45">
        <f t="shared" si="8"/>
        <v>0</v>
      </c>
      <c r="AT31" s="45"/>
      <c r="AU31" s="35">
        <v>0</v>
      </c>
      <c r="AV31" s="35"/>
      <c r="AW31" s="35">
        <v>0</v>
      </c>
      <c r="AX31" s="35"/>
      <c r="AY31" s="35">
        <f t="shared" si="4"/>
        <v>0</v>
      </c>
      <c r="AZ31" s="35"/>
      <c r="BA31" s="35" t="s">
        <v>42</v>
      </c>
      <c r="BB31" s="55"/>
      <c r="BC31" s="35" t="s">
        <v>43</v>
      </c>
      <c r="BD31" s="35"/>
      <c r="BE31" s="35"/>
      <c r="BF31" s="35"/>
      <c r="BG31" s="35"/>
      <c r="BH31" s="35"/>
      <c r="BI31" s="35"/>
      <c r="BJ31" s="35"/>
      <c r="BK31" s="35"/>
      <c r="BL31" s="35"/>
      <c r="BM31" s="35">
        <f>SUM(BE31:BK31)</f>
        <v>0</v>
      </c>
      <c r="BN31" s="54" t="s">
        <v>347</v>
      </c>
    </row>
    <row r="32" spans="1:67" ht="12.75" hidden="1" customHeight="1">
      <c r="A32" s="35" t="s">
        <v>44</v>
      </c>
      <c r="C32" s="35" t="s">
        <v>45</v>
      </c>
      <c r="D32" s="35"/>
      <c r="E32" s="35">
        <f t="shared" si="0"/>
        <v>0</v>
      </c>
      <c r="F32" s="35"/>
      <c r="G32" s="35">
        <v>0</v>
      </c>
      <c r="H32" s="35"/>
      <c r="I32" s="35">
        <v>0</v>
      </c>
      <c r="J32" s="35"/>
      <c r="K32" s="35">
        <f t="shared" si="1"/>
        <v>0</v>
      </c>
      <c r="L32" s="35"/>
      <c r="M32" s="35">
        <f t="shared" si="2"/>
        <v>0</v>
      </c>
      <c r="N32" s="35"/>
      <c r="O32" s="35">
        <v>0</v>
      </c>
      <c r="P32" s="35"/>
      <c r="Q32" s="35">
        <v>0</v>
      </c>
      <c r="R32" s="35"/>
      <c r="S32" s="35">
        <v>0</v>
      </c>
      <c r="T32" s="35"/>
      <c r="U32" s="35">
        <v>0</v>
      </c>
      <c r="V32" s="35"/>
      <c r="W32" s="35">
        <f t="shared" si="3"/>
        <v>0</v>
      </c>
      <c r="X32" s="35"/>
      <c r="Y32" s="35" t="s">
        <v>44</v>
      </c>
      <c r="Z32" s="55"/>
      <c r="AA32" s="35" t="s">
        <v>45</v>
      </c>
      <c r="AB32" s="35"/>
      <c r="AC32" s="35">
        <v>0</v>
      </c>
      <c r="AD32" s="35"/>
      <c r="AE32" s="35">
        <v>0</v>
      </c>
      <c r="AF32" s="35"/>
      <c r="AG32" s="35">
        <v>0</v>
      </c>
      <c r="AH32" s="35"/>
      <c r="AI32" s="45">
        <v>0</v>
      </c>
      <c r="AJ32" s="45"/>
      <c r="AK32" s="35">
        <v>0</v>
      </c>
      <c r="AL32" s="35"/>
      <c r="AM32" s="35">
        <v>0</v>
      </c>
      <c r="AN32" s="35"/>
      <c r="AO32" s="35">
        <v>0</v>
      </c>
      <c r="AP32" s="35"/>
      <c r="AQ32" s="35">
        <v>0</v>
      </c>
      <c r="AR32" s="35"/>
      <c r="AS32" s="45">
        <f t="shared" si="8"/>
        <v>0</v>
      </c>
      <c r="AT32" s="45"/>
      <c r="AU32" s="35">
        <v>0</v>
      </c>
      <c r="AV32" s="35"/>
      <c r="AW32" s="35">
        <v>0</v>
      </c>
      <c r="AX32" s="35"/>
      <c r="AY32" s="35">
        <f t="shared" si="4"/>
        <v>0</v>
      </c>
      <c r="AZ32" s="35"/>
      <c r="BA32" s="35" t="s">
        <v>44</v>
      </c>
      <c r="BB32" s="55"/>
      <c r="BC32" s="35" t="s">
        <v>45</v>
      </c>
      <c r="BD32" s="35"/>
      <c r="BE32" s="35">
        <v>0</v>
      </c>
      <c r="BF32" s="35"/>
      <c r="BG32" s="35">
        <v>0</v>
      </c>
      <c r="BH32" s="35"/>
      <c r="BI32" s="35">
        <v>0</v>
      </c>
      <c r="BJ32" s="35"/>
      <c r="BK32" s="35">
        <v>0</v>
      </c>
      <c r="BL32" s="35"/>
      <c r="BM32" s="35">
        <v>0</v>
      </c>
      <c r="BN32" s="54" t="s">
        <v>347</v>
      </c>
    </row>
    <row r="33" spans="1:67" ht="12.75" customHeight="1">
      <c r="A33" s="35" t="s">
        <v>46</v>
      </c>
      <c r="B33" s="65"/>
      <c r="C33" s="35" t="s">
        <v>47</v>
      </c>
      <c r="D33" s="35"/>
      <c r="E33" s="35">
        <f t="shared" si="0"/>
        <v>14671573</v>
      </c>
      <c r="F33" s="35"/>
      <c r="G33" s="35">
        <v>27317877</v>
      </c>
      <c r="H33" s="35"/>
      <c r="I33" s="35">
        <v>41989450</v>
      </c>
      <c r="J33" s="35"/>
      <c r="K33" s="35">
        <f t="shared" si="1"/>
        <v>7930443</v>
      </c>
      <c r="L33" s="35"/>
      <c r="M33" s="35">
        <v>11207136</v>
      </c>
      <c r="N33" s="35"/>
      <c r="O33" s="35">
        <v>19137579</v>
      </c>
      <c r="P33" s="35"/>
      <c r="Q33" s="35">
        <v>10427158</v>
      </c>
      <c r="R33" s="35"/>
      <c r="S33" s="35">
        <v>0</v>
      </c>
      <c r="T33" s="35"/>
      <c r="U33" s="35">
        <v>12424713</v>
      </c>
      <c r="V33" s="35"/>
      <c r="W33" s="35">
        <f t="shared" si="3"/>
        <v>22851871</v>
      </c>
      <c r="X33" s="35"/>
      <c r="Y33" s="35" t="s">
        <v>46</v>
      </c>
      <c r="Z33" s="55"/>
      <c r="AA33" s="35" t="s">
        <v>47</v>
      </c>
      <c r="AB33" s="35"/>
      <c r="AC33" s="35">
        <v>37884633</v>
      </c>
      <c r="AD33" s="35"/>
      <c r="AE33" s="35">
        <f>32044433-1141999</f>
        <v>30902434</v>
      </c>
      <c r="AF33" s="35"/>
      <c r="AG33" s="35">
        <v>1141999</v>
      </c>
      <c r="AH33" s="35"/>
      <c r="AI33" s="45">
        <f>+AC33-AE33-AG33</f>
        <v>5840200</v>
      </c>
      <c r="AJ33" s="45"/>
      <c r="AK33" s="35">
        <v>-620563</v>
      </c>
      <c r="AL33" s="35"/>
      <c r="AM33" s="35">
        <v>0</v>
      </c>
      <c r="AN33" s="35"/>
      <c r="AO33" s="35">
        <v>0</v>
      </c>
      <c r="AP33" s="35"/>
      <c r="AQ33" s="35">
        <v>0</v>
      </c>
      <c r="AR33" s="35"/>
      <c r="AS33" s="45">
        <f t="shared" si="8"/>
        <v>5219637</v>
      </c>
      <c r="AT33" s="45"/>
      <c r="AU33" s="35">
        <v>0</v>
      </c>
      <c r="AV33" s="35"/>
      <c r="AW33" s="35">
        <v>0</v>
      </c>
      <c r="AX33" s="35"/>
      <c r="AY33" s="35">
        <f t="shared" si="4"/>
        <v>6741130</v>
      </c>
      <c r="AZ33" s="35"/>
      <c r="BA33" s="35" t="s">
        <v>46</v>
      </c>
      <c r="BB33" s="55"/>
      <c r="BC33" s="35" t="s">
        <v>47</v>
      </c>
      <c r="BD33" s="35"/>
      <c r="BE33" s="35">
        <v>550873</v>
      </c>
      <c r="BF33" s="35"/>
      <c r="BG33" s="35">
        <v>0</v>
      </c>
      <c r="BH33" s="35"/>
      <c r="BI33" s="35">
        <v>0</v>
      </c>
      <c r="BJ33" s="35"/>
      <c r="BK33" s="35">
        <f>261361+10394902</f>
        <v>10656263</v>
      </c>
      <c r="BL33" s="35"/>
      <c r="BM33" s="35">
        <f>SUM(BE33:BK33)</f>
        <v>11207136</v>
      </c>
      <c r="BN33" s="54" t="s">
        <v>347</v>
      </c>
    </row>
    <row r="34" spans="1:67" ht="12.75" hidden="1" customHeight="1">
      <c r="A34" s="35" t="s">
        <v>48</v>
      </c>
      <c r="C34" s="35" t="s">
        <v>27</v>
      </c>
      <c r="D34" s="35"/>
      <c r="E34" s="35">
        <f t="shared" si="0"/>
        <v>0</v>
      </c>
      <c r="F34" s="35"/>
      <c r="G34" s="35">
        <v>0</v>
      </c>
      <c r="H34" s="35"/>
      <c r="I34" s="35">
        <v>0</v>
      </c>
      <c r="J34" s="35"/>
      <c r="K34" s="35">
        <f t="shared" si="1"/>
        <v>0</v>
      </c>
      <c r="L34" s="35"/>
      <c r="M34" s="35">
        <f t="shared" si="2"/>
        <v>0</v>
      </c>
      <c r="N34" s="35"/>
      <c r="O34" s="35">
        <v>0</v>
      </c>
      <c r="P34" s="35"/>
      <c r="Q34" s="35">
        <v>0</v>
      </c>
      <c r="R34" s="35"/>
      <c r="S34" s="35">
        <v>0</v>
      </c>
      <c r="T34" s="35"/>
      <c r="U34" s="35">
        <v>0</v>
      </c>
      <c r="V34" s="35"/>
      <c r="W34" s="35">
        <v>0</v>
      </c>
      <c r="X34" s="35"/>
      <c r="Y34" s="35" t="s">
        <v>48</v>
      </c>
      <c r="Z34" s="55"/>
      <c r="AA34" s="35" t="s">
        <v>27</v>
      </c>
      <c r="AB34" s="35"/>
      <c r="AC34" s="35">
        <v>0</v>
      </c>
      <c r="AD34" s="35"/>
      <c r="AE34" s="35">
        <v>0</v>
      </c>
      <c r="AF34" s="35"/>
      <c r="AG34" s="35">
        <v>0</v>
      </c>
      <c r="AH34" s="35"/>
      <c r="AI34" s="45">
        <f t="shared" ref="AI34:AI51" si="9">+AC34-AE34-AG34</f>
        <v>0</v>
      </c>
      <c r="AJ34" s="45"/>
      <c r="AK34" s="35">
        <v>0</v>
      </c>
      <c r="AL34" s="35"/>
      <c r="AM34" s="35">
        <v>0</v>
      </c>
      <c r="AN34" s="35"/>
      <c r="AO34" s="35">
        <v>0</v>
      </c>
      <c r="AP34" s="35"/>
      <c r="AQ34" s="35">
        <v>0</v>
      </c>
      <c r="AR34" s="35"/>
      <c r="AS34" s="45">
        <f t="shared" si="8"/>
        <v>0</v>
      </c>
      <c r="AT34" s="45"/>
      <c r="AU34" s="35">
        <v>0</v>
      </c>
      <c r="AV34" s="35"/>
      <c r="AW34" s="35">
        <v>0</v>
      </c>
      <c r="AX34" s="35"/>
      <c r="AY34" s="35">
        <f t="shared" si="4"/>
        <v>0</v>
      </c>
      <c r="AZ34" s="35"/>
      <c r="BA34" s="35" t="s">
        <v>48</v>
      </c>
      <c r="BB34" s="55"/>
      <c r="BC34" s="35" t="s">
        <v>27</v>
      </c>
      <c r="BD34" s="35"/>
      <c r="BE34" s="35">
        <v>0</v>
      </c>
      <c r="BF34" s="35"/>
      <c r="BG34" s="35">
        <v>0</v>
      </c>
      <c r="BH34" s="35"/>
      <c r="BI34" s="35">
        <v>0</v>
      </c>
      <c r="BJ34" s="35"/>
      <c r="BK34" s="35">
        <v>0</v>
      </c>
      <c r="BL34" s="35"/>
      <c r="BM34" s="35">
        <f t="shared" ref="BM34:BM64" si="10">SUM(BE34:BK34)</f>
        <v>0</v>
      </c>
      <c r="BN34" s="54" t="s">
        <v>347</v>
      </c>
    </row>
    <row r="35" spans="1:67" ht="12.75" hidden="1" customHeight="1">
      <c r="A35" s="35" t="s">
        <v>49</v>
      </c>
      <c r="C35" s="35" t="s">
        <v>27</v>
      </c>
      <c r="D35" s="35"/>
      <c r="E35" s="35">
        <f t="shared" si="0"/>
        <v>0</v>
      </c>
      <c r="F35" s="35"/>
      <c r="G35" s="35">
        <v>0</v>
      </c>
      <c r="H35" s="35"/>
      <c r="I35" s="35">
        <v>0</v>
      </c>
      <c r="J35" s="35"/>
      <c r="K35" s="35">
        <f t="shared" si="1"/>
        <v>0</v>
      </c>
      <c r="L35" s="35"/>
      <c r="M35" s="35">
        <f t="shared" si="2"/>
        <v>0</v>
      </c>
      <c r="N35" s="35"/>
      <c r="O35" s="35">
        <v>0</v>
      </c>
      <c r="P35" s="35"/>
      <c r="Q35" s="35">
        <v>0</v>
      </c>
      <c r="R35" s="35"/>
      <c r="S35" s="35">
        <v>0</v>
      </c>
      <c r="T35" s="35"/>
      <c r="U35" s="35">
        <v>0</v>
      </c>
      <c r="V35" s="35"/>
      <c r="W35" s="35">
        <f t="shared" ref="W35:W72" si="11">SUM(Q35:U35)</f>
        <v>0</v>
      </c>
      <c r="X35" s="35"/>
      <c r="Y35" s="35" t="s">
        <v>49</v>
      </c>
      <c r="Z35" s="55"/>
      <c r="AA35" s="35" t="s">
        <v>27</v>
      </c>
      <c r="AB35" s="35"/>
      <c r="AC35" s="35">
        <v>0</v>
      </c>
      <c r="AD35" s="35"/>
      <c r="AE35" s="35">
        <v>0</v>
      </c>
      <c r="AF35" s="35"/>
      <c r="AG35" s="35">
        <v>0</v>
      </c>
      <c r="AH35" s="35"/>
      <c r="AI35" s="45">
        <f t="shared" si="9"/>
        <v>0</v>
      </c>
      <c r="AJ35" s="45"/>
      <c r="AK35" s="35">
        <v>0</v>
      </c>
      <c r="AL35" s="35"/>
      <c r="AM35" s="35">
        <v>0</v>
      </c>
      <c r="AN35" s="35"/>
      <c r="AO35" s="35">
        <v>0</v>
      </c>
      <c r="AP35" s="35"/>
      <c r="AQ35" s="35">
        <v>0</v>
      </c>
      <c r="AR35" s="35"/>
      <c r="AS35" s="45">
        <v>0</v>
      </c>
      <c r="AT35" s="45"/>
      <c r="AU35" s="35">
        <v>0</v>
      </c>
      <c r="AV35" s="35"/>
      <c r="AW35" s="35">
        <v>0</v>
      </c>
      <c r="AX35" s="35"/>
      <c r="AY35" s="35">
        <f t="shared" si="4"/>
        <v>0</v>
      </c>
      <c r="AZ35" s="35"/>
      <c r="BA35" s="35" t="s">
        <v>49</v>
      </c>
      <c r="BB35" s="55"/>
      <c r="BC35" s="35" t="s">
        <v>27</v>
      </c>
      <c r="BD35" s="35"/>
      <c r="BE35" s="35">
        <v>0</v>
      </c>
      <c r="BF35" s="35"/>
      <c r="BG35" s="35">
        <v>0</v>
      </c>
      <c r="BH35" s="35"/>
      <c r="BI35" s="35">
        <v>0</v>
      </c>
      <c r="BJ35" s="35"/>
      <c r="BK35" s="35">
        <v>0</v>
      </c>
      <c r="BL35" s="35"/>
      <c r="BM35" s="35">
        <f t="shared" si="10"/>
        <v>0</v>
      </c>
      <c r="BN35" s="54" t="s">
        <v>347</v>
      </c>
      <c r="BO35" s="55" t="s">
        <v>371</v>
      </c>
    </row>
    <row r="36" spans="1:67" ht="12.75" hidden="1" customHeight="1">
      <c r="A36" s="35" t="s">
        <v>50</v>
      </c>
      <c r="C36" s="35" t="s">
        <v>27</v>
      </c>
      <c r="D36" s="35"/>
      <c r="E36" s="35">
        <f t="shared" si="0"/>
        <v>0</v>
      </c>
      <c r="F36" s="35"/>
      <c r="G36" s="35">
        <v>0</v>
      </c>
      <c r="H36" s="35"/>
      <c r="I36" s="35">
        <v>0</v>
      </c>
      <c r="J36" s="35"/>
      <c r="K36" s="35">
        <f t="shared" si="1"/>
        <v>0</v>
      </c>
      <c r="L36" s="35"/>
      <c r="M36" s="35">
        <f t="shared" si="2"/>
        <v>0</v>
      </c>
      <c r="N36" s="35"/>
      <c r="O36" s="35">
        <v>0</v>
      </c>
      <c r="P36" s="35"/>
      <c r="Q36" s="35">
        <v>0</v>
      </c>
      <c r="R36" s="35"/>
      <c r="S36" s="35">
        <v>0</v>
      </c>
      <c r="T36" s="35"/>
      <c r="U36" s="35">
        <v>0</v>
      </c>
      <c r="V36" s="35"/>
      <c r="W36" s="35">
        <f t="shared" si="11"/>
        <v>0</v>
      </c>
      <c r="X36" s="35"/>
      <c r="Y36" s="35" t="s">
        <v>50</v>
      </c>
      <c r="Z36" s="55"/>
      <c r="AA36" s="35" t="s">
        <v>27</v>
      </c>
      <c r="AB36" s="35"/>
      <c r="AC36" s="35">
        <v>0</v>
      </c>
      <c r="AD36" s="35"/>
      <c r="AE36" s="35">
        <v>0</v>
      </c>
      <c r="AF36" s="35"/>
      <c r="AG36" s="35">
        <v>0</v>
      </c>
      <c r="AH36" s="35"/>
      <c r="AI36" s="45">
        <f t="shared" si="9"/>
        <v>0</v>
      </c>
      <c r="AJ36" s="45"/>
      <c r="AK36" s="35">
        <v>0</v>
      </c>
      <c r="AL36" s="35"/>
      <c r="AM36" s="35">
        <v>0</v>
      </c>
      <c r="AN36" s="35"/>
      <c r="AO36" s="35">
        <v>0</v>
      </c>
      <c r="AP36" s="35"/>
      <c r="AQ36" s="35">
        <v>0</v>
      </c>
      <c r="AR36" s="35"/>
      <c r="AS36" s="45">
        <f>+AI36+AK36+AM36-AO36+AQ36</f>
        <v>0</v>
      </c>
      <c r="AT36" s="45"/>
      <c r="AU36" s="35">
        <v>0</v>
      </c>
      <c r="AV36" s="35"/>
      <c r="AW36" s="35">
        <v>0</v>
      </c>
      <c r="AX36" s="35"/>
      <c r="AY36" s="35">
        <f t="shared" si="4"/>
        <v>0</v>
      </c>
      <c r="AZ36" s="35"/>
      <c r="BA36" s="35" t="s">
        <v>50</v>
      </c>
      <c r="BB36" s="55"/>
      <c r="BC36" s="35" t="s">
        <v>27</v>
      </c>
      <c r="BD36" s="35"/>
      <c r="BE36" s="35">
        <v>0</v>
      </c>
      <c r="BF36" s="35"/>
      <c r="BG36" s="35">
        <v>0</v>
      </c>
      <c r="BH36" s="35"/>
      <c r="BI36" s="35">
        <v>0</v>
      </c>
      <c r="BJ36" s="35"/>
      <c r="BK36" s="35">
        <v>0</v>
      </c>
      <c r="BL36" s="35"/>
      <c r="BM36" s="35">
        <f t="shared" si="10"/>
        <v>0</v>
      </c>
      <c r="BN36" s="54" t="s">
        <v>347</v>
      </c>
    </row>
    <row r="37" spans="1:67" ht="12.75" hidden="1" customHeight="1">
      <c r="A37" s="35" t="s">
        <v>51</v>
      </c>
      <c r="C37" s="35" t="s">
        <v>27</v>
      </c>
      <c r="D37" s="35"/>
      <c r="E37" s="35">
        <f t="shared" si="0"/>
        <v>0</v>
      </c>
      <c r="F37" s="35"/>
      <c r="G37" s="35">
        <v>0</v>
      </c>
      <c r="H37" s="35"/>
      <c r="I37" s="35">
        <v>0</v>
      </c>
      <c r="J37" s="35"/>
      <c r="K37" s="35">
        <f t="shared" si="1"/>
        <v>0</v>
      </c>
      <c r="L37" s="35"/>
      <c r="M37" s="35">
        <f t="shared" si="2"/>
        <v>0</v>
      </c>
      <c r="N37" s="35"/>
      <c r="O37" s="35">
        <v>0</v>
      </c>
      <c r="P37" s="35"/>
      <c r="Q37" s="35">
        <v>0</v>
      </c>
      <c r="R37" s="35"/>
      <c r="S37" s="35">
        <v>0</v>
      </c>
      <c r="T37" s="35"/>
      <c r="U37" s="35">
        <v>0</v>
      </c>
      <c r="V37" s="35"/>
      <c r="W37" s="35">
        <f t="shared" si="11"/>
        <v>0</v>
      </c>
      <c r="X37" s="35"/>
      <c r="Y37" s="35" t="s">
        <v>51</v>
      </c>
      <c r="Z37" s="55"/>
      <c r="AA37" s="35" t="s">
        <v>27</v>
      </c>
      <c r="AB37" s="35"/>
      <c r="AC37" s="35">
        <v>0</v>
      </c>
      <c r="AD37" s="35"/>
      <c r="AE37" s="35">
        <v>0</v>
      </c>
      <c r="AF37" s="35"/>
      <c r="AG37" s="35">
        <v>0</v>
      </c>
      <c r="AH37" s="35"/>
      <c r="AI37" s="45">
        <f t="shared" si="9"/>
        <v>0</v>
      </c>
      <c r="AJ37" s="45"/>
      <c r="AK37" s="35">
        <v>0</v>
      </c>
      <c r="AL37" s="35"/>
      <c r="AM37" s="35">
        <v>0</v>
      </c>
      <c r="AN37" s="35"/>
      <c r="AO37" s="35">
        <v>0</v>
      </c>
      <c r="AP37" s="35"/>
      <c r="AQ37" s="35">
        <v>0</v>
      </c>
      <c r="AR37" s="35"/>
      <c r="AS37" s="45">
        <v>0</v>
      </c>
      <c r="AT37" s="45"/>
      <c r="AU37" s="35">
        <v>0</v>
      </c>
      <c r="AV37" s="35"/>
      <c r="AW37" s="35">
        <v>0</v>
      </c>
      <c r="AX37" s="35"/>
      <c r="AY37" s="35">
        <f t="shared" si="4"/>
        <v>0</v>
      </c>
      <c r="AZ37" s="35"/>
      <c r="BA37" s="35" t="s">
        <v>51</v>
      </c>
      <c r="BB37" s="55"/>
      <c r="BC37" s="35" t="s">
        <v>27</v>
      </c>
      <c r="BD37" s="35"/>
      <c r="BE37" s="35">
        <v>0</v>
      </c>
      <c r="BF37" s="35"/>
      <c r="BG37" s="35">
        <v>0</v>
      </c>
      <c r="BH37" s="35"/>
      <c r="BI37" s="35">
        <v>0</v>
      </c>
      <c r="BJ37" s="35"/>
      <c r="BK37" s="35">
        <v>0</v>
      </c>
      <c r="BL37" s="35"/>
      <c r="BM37" s="35">
        <f t="shared" si="10"/>
        <v>0</v>
      </c>
      <c r="BN37" s="54" t="s">
        <v>347</v>
      </c>
    </row>
    <row r="38" spans="1:67" ht="12.75" hidden="1" customHeight="1">
      <c r="A38" s="35" t="s">
        <v>52</v>
      </c>
      <c r="C38" s="35" t="s">
        <v>53</v>
      </c>
      <c r="D38" s="35"/>
      <c r="E38" s="35">
        <f t="shared" si="0"/>
        <v>0</v>
      </c>
      <c r="F38" s="35"/>
      <c r="G38" s="35">
        <v>0</v>
      </c>
      <c r="H38" s="35"/>
      <c r="I38" s="35">
        <v>0</v>
      </c>
      <c r="J38" s="35"/>
      <c r="K38" s="35">
        <f t="shared" si="1"/>
        <v>0</v>
      </c>
      <c r="L38" s="35"/>
      <c r="M38" s="35">
        <f t="shared" si="2"/>
        <v>0</v>
      </c>
      <c r="N38" s="35"/>
      <c r="O38" s="35">
        <v>0</v>
      </c>
      <c r="P38" s="35"/>
      <c r="Q38" s="35">
        <v>0</v>
      </c>
      <c r="R38" s="35"/>
      <c r="S38" s="35">
        <v>0</v>
      </c>
      <c r="T38" s="35"/>
      <c r="U38" s="35">
        <v>0</v>
      </c>
      <c r="V38" s="35"/>
      <c r="W38" s="35">
        <f t="shared" si="11"/>
        <v>0</v>
      </c>
      <c r="X38" s="35"/>
      <c r="Y38" s="35" t="s">
        <v>52</v>
      </c>
      <c r="Z38" s="55"/>
      <c r="AA38" s="35" t="s">
        <v>53</v>
      </c>
      <c r="AB38" s="35"/>
      <c r="AC38" s="35">
        <v>0</v>
      </c>
      <c r="AD38" s="35"/>
      <c r="AE38" s="35">
        <v>0</v>
      </c>
      <c r="AF38" s="35"/>
      <c r="AG38" s="35">
        <v>0</v>
      </c>
      <c r="AH38" s="35"/>
      <c r="AI38" s="45">
        <f t="shared" si="9"/>
        <v>0</v>
      </c>
      <c r="AJ38" s="45"/>
      <c r="AK38" s="35">
        <v>0</v>
      </c>
      <c r="AL38" s="35"/>
      <c r="AM38" s="35">
        <v>0</v>
      </c>
      <c r="AN38" s="35"/>
      <c r="AO38" s="35">
        <v>0</v>
      </c>
      <c r="AP38" s="35"/>
      <c r="AQ38" s="35">
        <v>0</v>
      </c>
      <c r="AR38" s="35"/>
      <c r="AS38" s="45">
        <f t="shared" ref="AS38:AS69" si="12">+AI38+AK38+AM38-AO38+AQ38</f>
        <v>0</v>
      </c>
      <c r="AT38" s="45"/>
      <c r="AU38" s="35">
        <v>0</v>
      </c>
      <c r="AV38" s="35"/>
      <c r="AW38" s="35">
        <v>0</v>
      </c>
      <c r="AX38" s="35"/>
      <c r="AY38" s="35">
        <f t="shared" si="4"/>
        <v>0</v>
      </c>
      <c r="AZ38" s="35"/>
      <c r="BA38" s="35" t="s">
        <v>52</v>
      </c>
      <c r="BB38" s="55"/>
      <c r="BC38" s="35" t="s">
        <v>53</v>
      </c>
      <c r="BD38" s="35"/>
      <c r="BE38" s="35">
        <v>0</v>
      </c>
      <c r="BF38" s="35"/>
      <c r="BG38" s="35">
        <v>0</v>
      </c>
      <c r="BH38" s="35"/>
      <c r="BI38" s="35">
        <v>0</v>
      </c>
      <c r="BJ38" s="35"/>
      <c r="BK38" s="35">
        <v>0</v>
      </c>
      <c r="BL38" s="35"/>
      <c r="BM38" s="35">
        <f t="shared" si="10"/>
        <v>0</v>
      </c>
      <c r="BN38" s="54" t="s">
        <v>347</v>
      </c>
    </row>
    <row r="39" spans="1:67" ht="12.75" hidden="1" customHeight="1">
      <c r="A39" s="35" t="s">
        <v>54</v>
      </c>
      <c r="C39" s="35" t="s">
        <v>55</v>
      </c>
      <c r="D39" s="35"/>
      <c r="E39" s="64">
        <f t="shared" si="0"/>
        <v>0</v>
      </c>
      <c r="F39" s="64"/>
      <c r="G39" s="64">
        <v>0</v>
      </c>
      <c r="H39" s="64"/>
      <c r="I39" s="64">
        <v>0</v>
      </c>
      <c r="J39" s="64"/>
      <c r="K39" s="64">
        <f t="shared" si="1"/>
        <v>0</v>
      </c>
      <c r="L39" s="64"/>
      <c r="M39" s="64">
        <v>0</v>
      </c>
      <c r="N39" s="64"/>
      <c r="O39" s="64">
        <v>0</v>
      </c>
      <c r="P39" s="64"/>
      <c r="Q39" s="64">
        <v>0</v>
      </c>
      <c r="R39" s="64"/>
      <c r="S39" s="64">
        <v>0</v>
      </c>
      <c r="T39" s="64"/>
      <c r="U39" s="64">
        <v>0</v>
      </c>
      <c r="V39" s="64"/>
      <c r="W39" s="64">
        <f t="shared" si="11"/>
        <v>0</v>
      </c>
      <c r="X39" s="35"/>
      <c r="Y39" s="35" t="s">
        <v>54</v>
      </c>
      <c r="Z39" s="55"/>
      <c r="AA39" s="35" t="s">
        <v>55</v>
      </c>
      <c r="AB39" s="35"/>
      <c r="AC39" s="64">
        <v>0</v>
      </c>
      <c r="AD39" s="64"/>
      <c r="AE39" s="64">
        <v>0</v>
      </c>
      <c r="AF39" s="64"/>
      <c r="AG39" s="64">
        <v>0</v>
      </c>
      <c r="AH39" s="64"/>
      <c r="AI39" s="94">
        <f t="shared" si="9"/>
        <v>0</v>
      </c>
      <c r="AJ39" s="94"/>
      <c r="AK39" s="64">
        <v>0</v>
      </c>
      <c r="AL39" s="64"/>
      <c r="AM39" s="64">
        <v>0</v>
      </c>
      <c r="AN39" s="64"/>
      <c r="AO39" s="64">
        <v>0</v>
      </c>
      <c r="AP39" s="64"/>
      <c r="AQ39" s="64">
        <v>0</v>
      </c>
      <c r="AR39" s="64"/>
      <c r="AS39" s="94">
        <f t="shared" si="12"/>
        <v>0</v>
      </c>
      <c r="AT39" s="94"/>
      <c r="AU39" s="64">
        <v>0</v>
      </c>
      <c r="AV39" s="64"/>
      <c r="AW39" s="64">
        <v>0</v>
      </c>
      <c r="AX39" s="64"/>
      <c r="AY39" s="64">
        <f t="shared" si="4"/>
        <v>0</v>
      </c>
      <c r="AZ39" s="35"/>
      <c r="BA39" s="35" t="s">
        <v>54</v>
      </c>
      <c r="BB39" s="55"/>
      <c r="BC39" s="35" t="s">
        <v>55</v>
      </c>
      <c r="BD39" s="35"/>
      <c r="BE39" s="64">
        <v>0</v>
      </c>
      <c r="BF39" s="64"/>
      <c r="BG39" s="64">
        <v>0</v>
      </c>
      <c r="BH39" s="64"/>
      <c r="BI39" s="64">
        <v>0</v>
      </c>
      <c r="BJ39" s="64"/>
      <c r="BK39" s="64">
        <v>0</v>
      </c>
      <c r="BL39" s="64"/>
      <c r="BM39" s="64">
        <f t="shared" si="10"/>
        <v>0</v>
      </c>
      <c r="BN39" s="54" t="s">
        <v>347</v>
      </c>
    </row>
    <row r="40" spans="1:67" ht="12.75" hidden="1" customHeight="1">
      <c r="A40" s="35" t="s">
        <v>56</v>
      </c>
      <c r="C40" s="35" t="s">
        <v>57</v>
      </c>
      <c r="D40" s="35"/>
      <c r="E40" s="35">
        <f t="shared" si="0"/>
        <v>0</v>
      </c>
      <c r="F40" s="35"/>
      <c r="G40" s="35">
        <v>0</v>
      </c>
      <c r="H40" s="35"/>
      <c r="I40" s="35">
        <v>0</v>
      </c>
      <c r="J40" s="35"/>
      <c r="K40" s="35">
        <f t="shared" si="1"/>
        <v>0</v>
      </c>
      <c r="L40" s="35"/>
      <c r="M40" s="35">
        <v>0</v>
      </c>
      <c r="N40" s="35"/>
      <c r="O40" s="35">
        <v>0</v>
      </c>
      <c r="P40" s="35"/>
      <c r="Q40" s="35">
        <v>0</v>
      </c>
      <c r="R40" s="35"/>
      <c r="S40" s="35">
        <v>0</v>
      </c>
      <c r="T40" s="35"/>
      <c r="U40" s="35">
        <v>0</v>
      </c>
      <c r="V40" s="35"/>
      <c r="W40" s="35">
        <f t="shared" si="11"/>
        <v>0</v>
      </c>
      <c r="X40" s="35"/>
      <c r="Y40" s="35" t="s">
        <v>56</v>
      </c>
      <c r="Z40" s="55"/>
      <c r="AA40" s="35" t="s">
        <v>57</v>
      </c>
      <c r="AB40" s="35"/>
      <c r="AC40" s="35">
        <v>0</v>
      </c>
      <c r="AD40" s="35"/>
      <c r="AE40" s="35">
        <v>0</v>
      </c>
      <c r="AF40" s="35"/>
      <c r="AG40" s="35">
        <v>0</v>
      </c>
      <c r="AH40" s="35"/>
      <c r="AI40" s="45">
        <f t="shared" si="9"/>
        <v>0</v>
      </c>
      <c r="AJ40" s="45"/>
      <c r="AK40" s="35">
        <v>0</v>
      </c>
      <c r="AL40" s="35"/>
      <c r="AM40" s="35">
        <v>0</v>
      </c>
      <c r="AN40" s="35"/>
      <c r="AO40" s="35">
        <v>0</v>
      </c>
      <c r="AP40" s="35"/>
      <c r="AQ40" s="35">
        <v>0</v>
      </c>
      <c r="AR40" s="35"/>
      <c r="AS40" s="45">
        <f t="shared" si="12"/>
        <v>0</v>
      </c>
      <c r="AT40" s="45"/>
      <c r="AU40" s="35">
        <v>0</v>
      </c>
      <c r="AV40" s="35"/>
      <c r="AW40" s="35">
        <v>0</v>
      </c>
      <c r="AX40" s="35"/>
      <c r="AY40" s="35">
        <f t="shared" si="4"/>
        <v>0</v>
      </c>
      <c r="AZ40" s="35"/>
      <c r="BA40" s="35" t="s">
        <v>56</v>
      </c>
      <c r="BB40" s="55"/>
      <c r="BC40" s="35" t="s">
        <v>57</v>
      </c>
      <c r="BD40" s="35"/>
      <c r="BE40" s="35">
        <v>0</v>
      </c>
      <c r="BF40" s="35"/>
      <c r="BG40" s="35">
        <v>0</v>
      </c>
      <c r="BH40" s="35"/>
      <c r="BI40" s="35">
        <v>0</v>
      </c>
      <c r="BJ40" s="35"/>
      <c r="BK40" s="35">
        <v>0</v>
      </c>
      <c r="BL40" s="35"/>
      <c r="BM40" s="35">
        <f t="shared" si="10"/>
        <v>0</v>
      </c>
      <c r="BN40" s="54" t="s">
        <v>347</v>
      </c>
    </row>
    <row r="41" spans="1:67" ht="12.75" hidden="1" customHeight="1">
      <c r="A41" s="35" t="s">
        <v>58</v>
      </c>
      <c r="C41" s="35" t="s">
        <v>59</v>
      </c>
      <c r="D41" s="35"/>
      <c r="E41" s="35">
        <f t="shared" si="0"/>
        <v>0</v>
      </c>
      <c r="F41" s="35"/>
      <c r="G41" s="35">
        <v>0</v>
      </c>
      <c r="H41" s="35"/>
      <c r="I41" s="35">
        <v>0</v>
      </c>
      <c r="J41" s="35"/>
      <c r="K41" s="35">
        <f t="shared" si="1"/>
        <v>0</v>
      </c>
      <c r="L41" s="35"/>
      <c r="M41" s="35">
        <v>0</v>
      </c>
      <c r="N41" s="35"/>
      <c r="O41" s="35">
        <v>0</v>
      </c>
      <c r="P41" s="35"/>
      <c r="Q41" s="35">
        <v>0</v>
      </c>
      <c r="R41" s="35"/>
      <c r="S41" s="35">
        <v>0</v>
      </c>
      <c r="T41" s="35"/>
      <c r="U41" s="35">
        <v>0</v>
      </c>
      <c r="V41" s="35"/>
      <c r="W41" s="35">
        <f t="shared" si="11"/>
        <v>0</v>
      </c>
      <c r="X41" s="35"/>
      <c r="Y41" s="35" t="s">
        <v>58</v>
      </c>
      <c r="Z41" s="55"/>
      <c r="AA41" s="35" t="s">
        <v>59</v>
      </c>
      <c r="AB41" s="35"/>
      <c r="AC41" s="35">
        <v>0</v>
      </c>
      <c r="AD41" s="35"/>
      <c r="AE41" s="35">
        <v>0</v>
      </c>
      <c r="AF41" s="35"/>
      <c r="AG41" s="35">
        <v>0</v>
      </c>
      <c r="AH41" s="35"/>
      <c r="AI41" s="45">
        <f t="shared" si="9"/>
        <v>0</v>
      </c>
      <c r="AJ41" s="45"/>
      <c r="AK41" s="35">
        <v>0</v>
      </c>
      <c r="AL41" s="35"/>
      <c r="AM41" s="35">
        <v>0</v>
      </c>
      <c r="AN41" s="35"/>
      <c r="AO41" s="35">
        <v>0</v>
      </c>
      <c r="AP41" s="35"/>
      <c r="AQ41" s="35">
        <v>0</v>
      </c>
      <c r="AR41" s="35"/>
      <c r="AS41" s="45">
        <f t="shared" si="12"/>
        <v>0</v>
      </c>
      <c r="AT41" s="45"/>
      <c r="AU41" s="35">
        <v>0</v>
      </c>
      <c r="AV41" s="35"/>
      <c r="AW41" s="35">
        <v>0</v>
      </c>
      <c r="AX41" s="35"/>
      <c r="AY41" s="35">
        <f t="shared" si="4"/>
        <v>0</v>
      </c>
      <c r="AZ41" s="35"/>
      <c r="BA41" s="35" t="s">
        <v>58</v>
      </c>
      <c r="BB41" s="55"/>
      <c r="BC41" s="35" t="s">
        <v>59</v>
      </c>
      <c r="BD41" s="35"/>
      <c r="BE41" s="35">
        <v>0</v>
      </c>
      <c r="BF41" s="35"/>
      <c r="BG41" s="35">
        <v>0</v>
      </c>
      <c r="BH41" s="35"/>
      <c r="BI41" s="35">
        <v>0</v>
      </c>
      <c r="BJ41" s="35"/>
      <c r="BK41" s="35">
        <v>0</v>
      </c>
      <c r="BL41" s="35"/>
      <c r="BM41" s="35">
        <f t="shared" si="10"/>
        <v>0</v>
      </c>
      <c r="BN41" s="54" t="s">
        <v>347</v>
      </c>
    </row>
    <row r="42" spans="1:67" ht="12.75" hidden="1" customHeight="1">
      <c r="A42" s="44" t="s">
        <v>477</v>
      </c>
      <c r="C42" s="35" t="s">
        <v>15</v>
      </c>
      <c r="D42" s="35"/>
      <c r="E42" s="35">
        <f t="shared" si="0"/>
        <v>0</v>
      </c>
      <c r="F42" s="35"/>
      <c r="G42" s="35"/>
      <c r="H42" s="35"/>
      <c r="I42" s="35"/>
      <c r="J42" s="35"/>
      <c r="K42" s="35">
        <f t="shared" si="1"/>
        <v>0</v>
      </c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>
        <f t="shared" si="11"/>
        <v>0</v>
      </c>
      <c r="X42" s="35"/>
      <c r="Y42" s="44" t="s">
        <v>62</v>
      </c>
      <c r="Z42" s="55"/>
      <c r="AA42" s="35" t="s">
        <v>15</v>
      </c>
      <c r="AB42" s="35"/>
      <c r="AC42" s="35"/>
      <c r="AD42" s="35"/>
      <c r="AE42" s="35"/>
      <c r="AF42" s="35"/>
      <c r="AG42" s="35"/>
      <c r="AH42" s="35"/>
      <c r="AI42" s="45">
        <f t="shared" si="9"/>
        <v>0</v>
      </c>
      <c r="AJ42" s="45"/>
      <c r="AK42" s="35"/>
      <c r="AL42" s="35"/>
      <c r="AM42" s="35"/>
      <c r="AN42" s="35"/>
      <c r="AO42" s="35"/>
      <c r="AP42" s="35"/>
      <c r="AQ42" s="35"/>
      <c r="AR42" s="35"/>
      <c r="AS42" s="45">
        <f t="shared" si="12"/>
        <v>0</v>
      </c>
      <c r="AT42" s="45"/>
      <c r="AU42" s="35">
        <v>0</v>
      </c>
      <c r="AV42" s="35"/>
      <c r="AW42" s="35">
        <v>0</v>
      </c>
      <c r="AX42" s="35"/>
      <c r="AY42" s="35">
        <f t="shared" si="4"/>
        <v>0</v>
      </c>
      <c r="AZ42" s="35"/>
      <c r="BA42" s="44" t="s">
        <v>62</v>
      </c>
      <c r="BB42" s="55"/>
      <c r="BC42" s="35" t="s">
        <v>15</v>
      </c>
      <c r="BD42" s="35"/>
      <c r="BE42" s="35"/>
      <c r="BF42" s="35"/>
      <c r="BG42" s="35"/>
      <c r="BH42" s="35"/>
      <c r="BI42" s="35"/>
      <c r="BJ42" s="35"/>
      <c r="BK42" s="35"/>
      <c r="BL42" s="35"/>
      <c r="BM42" s="35">
        <f t="shared" si="10"/>
        <v>0</v>
      </c>
      <c r="BN42" s="54" t="s">
        <v>347</v>
      </c>
    </row>
    <row r="43" spans="1:67" ht="12.75" hidden="1" customHeight="1">
      <c r="A43" s="35" t="s">
        <v>60</v>
      </c>
      <c r="C43" s="35" t="s">
        <v>61</v>
      </c>
      <c r="D43" s="35"/>
      <c r="E43" s="35">
        <f t="shared" si="0"/>
        <v>0</v>
      </c>
      <c r="F43" s="35"/>
      <c r="G43" s="35"/>
      <c r="H43" s="35"/>
      <c r="I43" s="35"/>
      <c r="J43" s="35"/>
      <c r="K43" s="35">
        <f t="shared" si="1"/>
        <v>0</v>
      </c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>
        <f t="shared" si="11"/>
        <v>0</v>
      </c>
      <c r="X43" s="35"/>
      <c r="Y43" s="35" t="s">
        <v>60</v>
      </c>
      <c r="Z43" s="55"/>
      <c r="AA43" s="35" t="s">
        <v>61</v>
      </c>
      <c r="AB43" s="35"/>
      <c r="AC43" s="35"/>
      <c r="AD43" s="35"/>
      <c r="AE43" s="35"/>
      <c r="AF43" s="35"/>
      <c r="AG43" s="35"/>
      <c r="AH43" s="35"/>
      <c r="AI43" s="45">
        <f t="shared" si="9"/>
        <v>0</v>
      </c>
      <c r="AJ43" s="45"/>
      <c r="AK43" s="35"/>
      <c r="AL43" s="35"/>
      <c r="AM43" s="35"/>
      <c r="AN43" s="35"/>
      <c r="AO43" s="35"/>
      <c r="AP43" s="35"/>
      <c r="AQ43" s="35"/>
      <c r="AR43" s="35"/>
      <c r="AS43" s="45">
        <f t="shared" si="12"/>
        <v>0</v>
      </c>
      <c r="AT43" s="45"/>
      <c r="AU43" s="35">
        <v>0</v>
      </c>
      <c r="AV43" s="35"/>
      <c r="AW43" s="35">
        <v>0</v>
      </c>
      <c r="AX43" s="35"/>
      <c r="AY43" s="35">
        <f t="shared" ref="AY43:AY74" si="13">+E43-K43</f>
        <v>0</v>
      </c>
      <c r="AZ43" s="35"/>
      <c r="BA43" s="35" t="s">
        <v>60</v>
      </c>
      <c r="BB43" s="55"/>
      <c r="BC43" s="35" t="s">
        <v>61</v>
      </c>
      <c r="BD43" s="35"/>
      <c r="BE43" s="35"/>
      <c r="BF43" s="35"/>
      <c r="BG43" s="35"/>
      <c r="BH43" s="35"/>
      <c r="BI43" s="35"/>
      <c r="BJ43" s="35"/>
      <c r="BK43" s="35"/>
      <c r="BL43" s="35"/>
      <c r="BM43" s="35">
        <f t="shared" si="10"/>
        <v>0</v>
      </c>
      <c r="BN43" s="54" t="s">
        <v>347</v>
      </c>
    </row>
    <row r="44" spans="1:67" ht="12.75" hidden="1" customHeight="1">
      <c r="A44" s="44" t="s">
        <v>62</v>
      </c>
      <c r="C44" s="35" t="s">
        <v>15</v>
      </c>
      <c r="D44" s="35"/>
      <c r="E44" s="35">
        <f t="shared" si="0"/>
        <v>0</v>
      </c>
      <c r="F44" s="35"/>
      <c r="G44" s="35">
        <v>0</v>
      </c>
      <c r="H44" s="35"/>
      <c r="I44" s="35">
        <v>0</v>
      </c>
      <c r="J44" s="35"/>
      <c r="K44" s="35">
        <f t="shared" si="1"/>
        <v>0</v>
      </c>
      <c r="L44" s="35"/>
      <c r="M44" s="35">
        <v>0</v>
      </c>
      <c r="N44" s="35"/>
      <c r="O44" s="35">
        <v>0</v>
      </c>
      <c r="P44" s="35"/>
      <c r="Q44" s="35">
        <v>0</v>
      </c>
      <c r="R44" s="35"/>
      <c r="S44" s="35">
        <v>0</v>
      </c>
      <c r="T44" s="35"/>
      <c r="U44" s="35">
        <v>0</v>
      </c>
      <c r="V44" s="35"/>
      <c r="W44" s="35">
        <f t="shared" si="11"/>
        <v>0</v>
      </c>
      <c r="X44" s="35"/>
      <c r="Y44" s="44" t="s">
        <v>62</v>
      </c>
      <c r="Z44" s="55"/>
      <c r="AA44" s="35" t="s">
        <v>15</v>
      </c>
      <c r="AB44" s="35"/>
      <c r="AC44" s="35">
        <v>0</v>
      </c>
      <c r="AD44" s="35"/>
      <c r="AE44" s="35">
        <v>0</v>
      </c>
      <c r="AF44" s="35"/>
      <c r="AG44" s="35">
        <v>0</v>
      </c>
      <c r="AH44" s="35"/>
      <c r="AI44" s="45">
        <f t="shared" si="9"/>
        <v>0</v>
      </c>
      <c r="AJ44" s="45"/>
      <c r="AK44" s="35">
        <v>0</v>
      </c>
      <c r="AL44" s="35"/>
      <c r="AM44" s="35">
        <v>0</v>
      </c>
      <c r="AN44" s="35"/>
      <c r="AO44" s="35">
        <v>0</v>
      </c>
      <c r="AP44" s="35"/>
      <c r="AQ44" s="35">
        <v>0</v>
      </c>
      <c r="AR44" s="35"/>
      <c r="AS44" s="45">
        <f t="shared" si="12"/>
        <v>0</v>
      </c>
      <c r="AT44" s="45"/>
      <c r="AU44" s="35">
        <v>0</v>
      </c>
      <c r="AV44" s="35"/>
      <c r="AW44" s="35">
        <v>0</v>
      </c>
      <c r="AX44" s="35"/>
      <c r="AY44" s="35">
        <f t="shared" si="13"/>
        <v>0</v>
      </c>
      <c r="AZ44" s="35"/>
      <c r="BA44" s="44" t="s">
        <v>62</v>
      </c>
      <c r="BB44" s="55"/>
      <c r="BC44" s="35" t="s">
        <v>15</v>
      </c>
      <c r="BD44" s="35"/>
      <c r="BE44" s="35">
        <v>0</v>
      </c>
      <c r="BF44" s="35"/>
      <c r="BG44" s="35">
        <v>0</v>
      </c>
      <c r="BH44" s="35"/>
      <c r="BI44" s="35">
        <v>0</v>
      </c>
      <c r="BJ44" s="35"/>
      <c r="BK44" s="35">
        <v>0</v>
      </c>
      <c r="BL44" s="35"/>
      <c r="BM44" s="35">
        <f t="shared" si="10"/>
        <v>0</v>
      </c>
      <c r="BN44" s="54" t="s">
        <v>347</v>
      </c>
    </row>
    <row r="45" spans="1:67" ht="12.75" hidden="1" customHeight="1">
      <c r="A45" s="35" t="s">
        <v>486</v>
      </c>
      <c r="C45" s="35" t="s">
        <v>111</v>
      </c>
      <c r="D45" s="35"/>
      <c r="E45" s="35">
        <f t="shared" si="0"/>
        <v>0</v>
      </c>
      <c r="F45" s="35"/>
      <c r="G45" s="35">
        <v>0</v>
      </c>
      <c r="H45" s="35"/>
      <c r="I45" s="35">
        <v>0</v>
      </c>
      <c r="J45" s="35"/>
      <c r="K45" s="35">
        <f t="shared" si="1"/>
        <v>0</v>
      </c>
      <c r="L45" s="35"/>
      <c r="M45" s="35">
        <v>0</v>
      </c>
      <c r="N45" s="35"/>
      <c r="O45" s="35">
        <v>0</v>
      </c>
      <c r="P45" s="35"/>
      <c r="Q45" s="35">
        <v>0</v>
      </c>
      <c r="R45" s="35"/>
      <c r="S45" s="35">
        <v>0</v>
      </c>
      <c r="T45" s="35"/>
      <c r="U45" s="35">
        <v>0</v>
      </c>
      <c r="V45" s="35"/>
      <c r="W45" s="35">
        <f t="shared" si="11"/>
        <v>0</v>
      </c>
      <c r="X45" s="35"/>
      <c r="Y45" s="35" t="s">
        <v>486</v>
      </c>
      <c r="Z45" s="55"/>
      <c r="AA45" s="35" t="s">
        <v>111</v>
      </c>
      <c r="AB45" s="35"/>
      <c r="AC45" s="35">
        <v>0</v>
      </c>
      <c r="AD45" s="35"/>
      <c r="AE45" s="35">
        <v>0</v>
      </c>
      <c r="AF45" s="35"/>
      <c r="AG45" s="35">
        <v>0</v>
      </c>
      <c r="AH45" s="35"/>
      <c r="AI45" s="45">
        <f t="shared" si="9"/>
        <v>0</v>
      </c>
      <c r="AJ45" s="45"/>
      <c r="AK45" s="35">
        <v>0</v>
      </c>
      <c r="AL45" s="35"/>
      <c r="AM45" s="35">
        <v>0</v>
      </c>
      <c r="AN45" s="35"/>
      <c r="AO45" s="35">
        <v>0</v>
      </c>
      <c r="AP45" s="35"/>
      <c r="AQ45" s="35">
        <v>0</v>
      </c>
      <c r="AR45" s="35"/>
      <c r="AS45" s="45">
        <f t="shared" si="12"/>
        <v>0</v>
      </c>
      <c r="AT45" s="45"/>
      <c r="AU45" s="35">
        <v>0</v>
      </c>
      <c r="AV45" s="35"/>
      <c r="AW45" s="35">
        <v>0</v>
      </c>
      <c r="AX45" s="35"/>
      <c r="AY45" s="35">
        <f t="shared" si="13"/>
        <v>0</v>
      </c>
      <c r="AZ45" s="35"/>
      <c r="BA45" s="35" t="s">
        <v>486</v>
      </c>
      <c r="BB45" s="55"/>
      <c r="BC45" s="35" t="s">
        <v>111</v>
      </c>
      <c r="BD45" s="35"/>
      <c r="BE45" s="35">
        <v>0</v>
      </c>
      <c r="BF45" s="35"/>
      <c r="BG45" s="35">
        <v>0</v>
      </c>
      <c r="BH45" s="35"/>
      <c r="BI45" s="35">
        <v>0</v>
      </c>
      <c r="BJ45" s="35"/>
      <c r="BK45" s="35">
        <v>0</v>
      </c>
      <c r="BL45" s="35"/>
      <c r="BM45" s="35">
        <f t="shared" si="10"/>
        <v>0</v>
      </c>
      <c r="BN45" s="54" t="s">
        <v>347</v>
      </c>
    </row>
    <row r="46" spans="1:67" ht="12.75" customHeight="1">
      <c r="A46" s="35" t="s">
        <v>63</v>
      </c>
      <c r="C46" s="35" t="s">
        <v>64</v>
      </c>
      <c r="D46" s="35"/>
      <c r="E46" s="35">
        <f t="shared" si="0"/>
        <v>8714397</v>
      </c>
      <c r="F46" s="35"/>
      <c r="G46" s="35">
        <v>13073231</v>
      </c>
      <c r="H46" s="35"/>
      <c r="I46" s="35">
        <v>21787628</v>
      </c>
      <c r="J46" s="35"/>
      <c r="K46" s="35">
        <f t="shared" si="1"/>
        <v>1349109</v>
      </c>
      <c r="L46" s="35"/>
      <c r="M46" s="35">
        <v>2057849</v>
      </c>
      <c r="N46" s="35"/>
      <c r="O46" s="35">
        <v>3406958</v>
      </c>
      <c r="P46" s="35"/>
      <c r="Q46" s="35">
        <v>10984979</v>
      </c>
      <c r="R46" s="35"/>
      <c r="S46" s="35">
        <v>0</v>
      </c>
      <c r="T46" s="35"/>
      <c r="U46" s="35">
        <v>7395691</v>
      </c>
      <c r="V46" s="35"/>
      <c r="W46" s="35">
        <f t="shared" si="11"/>
        <v>18380670</v>
      </c>
      <c r="X46" s="35"/>
      <c r="Y46" s="35" t="s">
        <v>63</v>
      </c>
      <c r="Z46" s="55"/>
      <c r="AA46" s="35" t="s">
        <v>64</v>
      </c>
      <c r="AB46" s="35"/>
      <c r="AC46" s="35">
        <v>12723354</v>
      </c>
      <c r="AD46" s="35"/>
      <c r="AE46" s="35">
        <v>10938891</v>
      </c>
      <c r="AF46" s="35"/>
      <c r="AG46" s="35">
        <v>818643</v>
      </c>
      <c r="AH46" s="35"/>
      <c r="AI46" s="45">
        <f t="shared" si="9"/>
        <v>965820</v>
      </c>
      <c r="AJ46" s="45"/>
      <c r="AK46" s="35">
        <v>163995</v>
      </c>
      <c r="AL46" s="35"/>
      <c r="AM46" s="35">
        <v>0</v>
      </c>
      <c r="AN46" s="35"/>
      <c r="AO46" s="35">
        <v>9135</v>
      </c>
      <c r="AP46" s="35"/>
      <c r="AQ46" s="35">
        <v>22304</v>
      </c>
      <c r="AR46" s="35"/>
      <c r="AS46" s="45">
        <f t="shared" si="12"/>
        <v>1142984</v>
      </c>
      <c r="AT46" s="45"/>
      <c r="AU46" s="35">
        <v>0</v>
      </c>
      <c r="AV46" s="35"/>
      <c r="AW46" s="35">
        <v>0</v>
      </c>
      <c r="AX46" s="35"/>
      <c r="AY46" s="35">
        <f t="shared" si="13"/>
        <v>7365288</v>
      </c>
      <c r="AZ46" s="35"/>
      <c r="BA46" s="35" t="s">
        <v>63</v>
      </c>
      <c r="BB46" s="55"/>
      <c r="BC46" s="35" t="s">
        <v>64</v>
      </c>
      <c r="BD46" s="35"/>
      <c r="BE46" s="35">
        <v>1688214</v>
      </c>
      <c r="BF46" s="35"/>
      <c r="BG46" s="35">
        <v>0</v>
      </c>
      <c r="BH46" s="35"/>
      <c r="BI46" s="35">
        <v>0</v>
      </c>
      <c r="BJ46" s="35"/>
      <c r="BK46" s="35">
        <v>369635</v>
      </c>
      <c r="BL46" s="35"/>
      <c r="BM46" s="35">
        <f t="shared" si="10"/>
        <v>2057849</v>
      </c>
      <c r="BN46" s="54" t="s">
        <v>347</v>
      </c>
      <c r="BO46" s="55" t="s">
        <v>315</v>
      </c>
    </row>
    <row r="47" spans="1:67" ht="12.75" hidden="1" customHeight="1">
      <c r="A47" s="35" t="s">
        <v>65</v>
      </c>
      <c r="C47" s="35" t="s">
        <v>66</v>
      </c>
      <c r="D47" s="35"/>
      <c r="E47" s="35">
        <f t="shared" si="0"/>
        <v>0</v>
      </c>
      <c r="F47" s="35"/>
      <c r="G47" s="35">
        <v>0</v>
      </c>
      <c r="H47" s="35"/>
      <c r="I47" s="35">
        <v>0</v>
      </c>
      <c r="J47" s="35"/>
      <c r="K47" s="35">
        <f t="shared" si="1"/>
        <v>0</v>
      </c>
      <c r="L47" s="35"/>
      <c r="M47" s="35">
        <v>0</v>
      </c>
      <c r="N47" s="35"/>
      <c r="O47" s="35">
        <v>0</v>
      </c>
      <c r="P47" s="35"/>
      <c r="Q47" s="35">
        <v>0</v>
      </c>
      <c r="R47" s="35"/>
      <c r="S47" s="35">
        <v>0</v>
      </c>
      <c r="T47" s="35"/>
      <c r="U47" s="35">
        <v>0</v>
      </c>
      <c r="V47" s="35"/>
      <c r="W47" s="35">
        <f t="shared" si="11"/>
        <v>0</v>
      </c>
      <c r="X47" s="35"/>
      <c r="Y47" s="35" t="s">
        <v>65</v>
      </c>
      <c r="Z47" s="55"/>
      <c r="AA47" s="35" t="s">
        <v>66</v>
      </c>
      <c r="AB47" s="35"/>
      <c r="AC47" s="35">
        <v>0</v>
      </c>
      <c r="AD47" s="35"/>
      <c r="AE47" s="35">
        <v>0</v>
      </c>
      <c r="AF47" s="35"/>
      <c r="AG47" s="35">
        <v>0</v>
      </c>
      <c r="AH47" s="35"/>
      <c r="AI47" s="45">
        <f t="shared" si="9"/>
        <v>0</v>
      </c>
      <c r="AJ47" s="45"/>
      <c r="AK47" s="35">
        <v>0</v>
      </c>
      <c r="AL47" s="35"/>
      <c r="AM47" s="35">
        <v>0</v>
      </c>
      <c r="AN47" s="35"/>
      <c r="AO47" s="35">
        <v>0</v>
      </c>
      <c r="AP47" s="35"/>
      <c r="AQ47" s="35">
        <v>0</v>
      </c>
      <c r="AR47" s="35"/>
      <c r="AS47" s="45">
        <f t="shared" si="12"/>
        <v>0</v>
      </c>
      <c r="AT47" s="45"/>
      <c r="AU47" s="35">
        <v>0</v>
      </c>
      <c r="AV47" s="35"/>
      <c r="AW47" s="35">
        <v>0</v>
      </c>
      <c r="AX47" s="35"/>
      <c r="AY47" s="35">
        <f t="shared" si="13"/>
        <v>0</v>
      </c>
      <c r="AZ47" s="35"/>
      <c r="BA47" s="35" t="s">
        <v>65</v>
      </c>
      <c r="BB47" s="55"/>
      <c r="BC47" s="35" t="s">
        <v>66</v>
      </c>
      <c r="BD47" s="35"/>
      <c r="BE47" s="35">
        <v>0</v>
      </c>
      <c r="BF47" s="35"/>
      <c r="BG47" s="35">
        <v>0</v>
      </c>
      <c r="BH47" s="35"/>
      <c r="BI47" s="35">
        <v>0</v>
      </c>
      <c r="BJ47" s="35"/>
      <c r="BK47" s="35">
        <v>0</v>
      </c>
      <c r="BL47" s="35"/>
      <c r="BM47" s="35">
        <f t="shared" si="10"/>
        <v>0</v>
      </c>
      <c r="BN47" s="54" t="s">
        <v>347</v>
      </c>
    </row>
    <row r="48" spans="1:67" ht="12.75" hidden="1" customHeight="1">
      <c r="A48" s="35" t="s">
        <v>67</v>
      </c>
      <c r="C48" s="35" t="s">
        <v>375</v>
      </c>
      <c r="D48" s="35"/>
      <c r="E48" s="35">
        <f t="shared" si="0"/>
        <v>0</v>
      </c>
      <c r="F48" s="35"/>
      <c r="G48" s="35">
        <v>0</v>
      </c>
      <c r="H48" s="35"/>
      <c r="I48" s="35">
        <v>0</v>
      </c>
      <c r="J48" s="35"/>
      <c r="K48" s="35">
        <f t="shared" si="1"/>
        <v>0</v>
      </c>
      <c r="L48" s="35"/>
      <c r="M48" s="35">
        <v>0</v>
      </c>
      <c r="N48" s="35"/>
      <c r="O48" s="35">
        <v>0</v>
      </c>
      <c r="P48" s="35"/>
      <c r="Q48" s="35">
        <v>0</v>
      </c>
      <c r="R48" s="35"/>
      <c r="S48" s="35">
        <v>0</v>
      </c>
      <c r="T48" s="35"/>
      <c r="U48" s="35">
        <v>0</v>
      </c>
      <c r="V48" s="35"/>
      <c r="W48" s="35">
        <f t="shared" si="11"/>
        <v>0</v>
      </c>
      <c r="X48" s="35"/>
      <c r="Y48" s="35" t="s">
        <v>67</v>
      </c>
      <c r="Z48" s="55"/>
      <c r="AA48" s="35" t="s">
        <v>375</v>
      </c>
      <c r="AB48" s="35"/>
      <c r="AC48" s="35">
        <v>0</v>
      </c>
      <c r="AD48" s="35"/>
      <c r="AE48" s="35">
        <v>0</v>
      </c>
      <c r="AF48" s="35"/>
      <c r="AG48" s="35">
        <v>0</v>
      </c>
      <c r="AH48" s="35"/>
      <c r="AI48" s="45">
        <f t="shared" si="9"/>
        <v>0</v>
      </c>
      <c r="AJ48" s="45"/>
      <c r="AK48" s="35">
        <v>0</v>
      </c>
      <c r="AL48" s="35"/>
      <c r="AM48" s="35">
        <v>0</v>
      </c>
      <c r="AN48" s="35"/>
      <c r="AO48" s="35">
        <v>0</v>
      </c>
      <c r="AP48" s="35"/>
      <c r="AQ48" s="35">
        <v>0</v>
      </c>
      <c r="AR48" s="35"/>
      <c r="AS48" s="45">
        <f t="shared" si="12"/>
        <v>0</v>
      </c>
      <c r="AT48" s="45"/>
      <c r="AU48" s="35">
        <v>0</v>
      </c>
      <c r="AV48" s="35"/>
      <c r="AW48" s="35">
        <v>0</v>
      </c>
      <c r="AX48" s="35"/>
      <c r="AY48" s="35">
        <f t="shared" si="13"/>
        <v>0</v>
      </c>
      <c r="AZ48" s="35"/>
      <c r="BA48" s="35" t="s">
        <v>67</v>
      </c>
      <c r="BB48" s="55"/>
      <c r="BC48" s="35" t="s">
        <v>375</v>
      </c>
      <c r="BD48" s="35"/>
      <c r="BE48" s="35">
        <v>0</v>
      </c>
      <c r="BF48" s="35"/>
      <c r="BG48" s="35">
        <v>0</v>
      </c>
      <c r="BH48" s="35"/>
      <c r="BI48" s="35">
        <v>0</v>
      </c>
      <c r="BJ48" s="35"/>
      <c r="BK48" s="35">
        <v>0</v>
      </c>
      <c r="BL48" s="35"/>
      <c r="BM48" s="35">
        <f t="shared" si="10"/>
        <v>0</v>
      </c>
      <c r="BN48" s="54" t="s">
        <v>347</v>
      </c>
    </row>
    <row r="49" spans="1:67" ht="12.75" hidden="1" customHeight="1">
      <c r="A49" s="35" t="s">
        <v>68</v>
      </c>
      <c r="C49" s="35" t="s">
        <v>45</v>
      </c>
      <c r="D49" s="35"/>
      <c r="E49" s="35">
        <f t="shared" si="0"/>
        <v>0</v>
      </c>
      <c r="F49" s="35"/>
      <c r="G49" s="35">
        <v>0</v>
      </c>
      <c r="H49" s="35"/>
      <c r="I49" s="35">
        <v>0</v>
      </c>
      <c r="J49" s="35"/>
      <c r="K49" s="35">
        <f t="shared" si="1"/>
        <v>0</v>
      </c>
      <c r="L49" s="35"/>
      <c r="M49" s="35">
        <v>0</v>
      </c>
      <c r="N49" s="35"/>
      <c r="O49" s="35">
        <v>0</v>
      </c>
      <c r="P49" s="35"/>
      <c r="Q49" s="35">
        <v>0</v>
      </c>
      <c r="R49" s="35"/>
      <c r="S49" s="35">
        <v>0</v>
      </c>
      <c r="T49" s="35"/>
      <c r="U49" s="35">
        <v>0</v>
      </c>
      <c r="V49" s="35"/>
      <c r="W49" s="35">
        <f t="shared" si="11"/>
        <v>0</v>
      </c>
      <c r="X49" s="35"/>
      <c r="Y49" s="35" t="s">
        <v>68</v>
      </c>
      <c r="Z49" s="55"/>
      <c r="AA49" s="35" t="s">
        <v>45</v>
      </c>
      <c r="AB49" s="35"/>
      <c r="AC49" s="35">
        <v>0</v>
      </c>
      <c r="AD49" s="35"/>
      <c r="AE49" s="35">
        <v>0</v>
      </c>
      <c r="AF49" s="35"/>
      <c r="AG49" s="35">
        <v>0</v>
      </c>
      <c r="AH49" s="35"/>
      <c r="AI49" s="45">
        <f t="shared" si="9"/>
        <v>0</v>
      </c>
      <c r="AJ49" s="45"/>
      <c r="AK49" s="35">
        <v>0</v>
      </c>
      <c r="AL49" s="35"/>
      <c r="AM49" s="35">
        <v>0</v>
      </c>
      <c r="AN49" s="35"/>
      <c r="AO49" s="35">
        <v>0</v>
      </c>
      <c r="AP49" s="35"/>
      <c r="AQ49" s="35">
        <v>0</v>
      </c>
      <c r="AR49" s="35"/>
      <c r="AS49" s="45">
        <f t="shared" si="12"/>
        <v>0</v>
      </c>
      <c r="AT49" s="45"/>
      <c r="AU49" s="35">
        <v>0</v>
      </c>
      <c r="AV49" s="35"/>
      <c r="AW49" s="35">
        <v>0</v>
      </c>
      <c r="AX49" s="35"/>
      <c r="AY49" s="35">
        <f t="shared" si="13"/>
        <v>0</v>
      </c>
      <c r="AZ49" s="35"/>
      <c r="BA49" s="35" t="s">
        <v>68</v>
      </c>
      <c r="BB49" s="55"/>
      <c r="BC49" s="35" t="s">
        <v>45</v>
      </c>
      <c r="BD49" s="35"/>
      <c r="BE49" s="35">
        <v>0</v>
      </c>
      <c r="BF49" s="35"/>
      <c r="BG49" s="35">
        <v>0</v>
      </c>
      <c r="BH49" s="35"/>
      <c r="BI49" s="35">
        <v>0</v>
      </c>
      <c r="BJ49" s="35"/>
      <c r="BK49" s="35">
        <v>0</v>
      </c>
      <c r="BL49" s="35"/>
      <c r="BM49" s="35">
        <f t="shared" si="10"/>
        <v>0</v>
      </c>
      <c r="BN49" s="54" t="s">
        <v>347</v>
      </c>
    </row>
    <row r="50" spans="1:67" ht="12.75" hidden="1" customHeight="1">
      <c r="A50" s="35" t="s">
        <v>69</v>
      </c>
      <c r="C50" s="35" t="s">
        <v>70</v>
      </c>
      <c r="D50" s="35"/>
      <c r="E50" s="35">
        <f t="shared" si="0"/>
        <v>0</v>
      </c>
      <c r="F50" s="35"/>
      <c r="G50" s="35">
        <v>0</v>
      </c>
      <c r="H50" s="35"/>
      <c r="I50" s="35">
        <v>0</v>
      </c>
      <c r="J50" s="35"/>
      <c r="K50" s="35">
        <f t="shared" si="1"/>
        <v>0</v>
      </c>
      <c r="L50" s="35"/>
      <c r="M50" s="35">
        <v>0</v>
      </c>
      <c r="N50" s="35"/>
      <c r="O50" s="35">
        <v>0</v>
      </c>
      <c r="P50" s="35"/>
      <c r="Q50" s="35">
        <v>0</v>
      </c>
      <c r="R50" s="35"/>
      <c r="S50" s="35">
        <v>0</v>
      </c>
      <c r="T50" s="35"/>
      <c r="U50" s="35">
        <v>0</v>
      </c>
      <c r="V50" s="35"/>
      <c r="W50" s="35">
        <f t="shared" si="11"/>
        <v>0</v>
      </c>
      <c r="X50" s="35"/>
      <c r="Y50" s="35" t="s">
        <v>69</v>
      </c>
      <c r="Z50" s="55"/>
      <c r="AA50" s="35" t="s">
        <v>70</v>
      </c>
      <c r="AB50" s="35"/>
      <c r="AC50" s="35">
        <v>0</v>
      </c>
      <c r="AD50" s="35"/>
      <c r="AE50" s="35">
        <v>0</v>
      </c>
      <c r="AF50" s="35"/>
      <c r="AG50" s="35">
        <v>0</v>
      </c>
      <c r="AH50" s="35"/>
      <c r="AI50" s="45">
        <f t="shared" si="9"/>
        <v>0</v>
      </c>
      <c r="AJ50" s="45"/>
      <c r="AK50" s="35">
        <v>0</v>
      </c>
      <c r="AL50" s="35"/>
      <c r="AM50" s="35">
        <v>0</v>
      </c>
      <c r="AN50" s="35"/>
      <c r="AO50" s="35">
        <v>0</v>
      </c>
      <c r="AP50" s="35"/>
      <c r="AQ50" s="35">
        <v>0</v>
      </c>
      <c r="AR50" s="35"/>
      <c r="AS50" s="45">
        <f t="shared" si="12"/>
        <v>0</v>
      </c>
      <c r="AT50" s="45"/>
      <c r="AU50" s="35">
        <v>0</v>
      </c>
      <c r="AV50" s="35"/>
      <c r="AW50" s="35">
        <v>0</v>
      </c>
      <c r="AX50" s="35"/>
      <c r="AY50" s="35">
        <f t="shared" si="13"/>
        <v>0</v>
      </c>
      <c r="AZ50" s="35"/>
      <c r="BA50" s="35" t="s">
        <v>69</v>
      </c>
      <c r="BB50" s="55"/>
      <c r="BC50" s="35" t="s">
        <v>70</v>
      </c>
      <c r="BD50" s="35"/>
      <c r="BE50" s="35">
        <v>0</v>
      </c>
      <c r="BF50" s="35"/>
      <c r="BG50" s="35">
        <v>0</v>
      </c>
      <c r="BH50" s="35"/>
      <c r="BI50" s="35">
        <v>0</v>
      </c>
      <c r="BJ50" s="35"/>
      <c r="BK50" s="35">
        <v>0</v>
      </c>
      <c r="BL50" s="35"/>
      <c r="BM50" s="35">
        <f t="shared" si="10"/>
        <v>0</v>
      </c>
      <c r="BN50" s="54" t="s">
        <v>347</v>
      </c>
    </row>
    <row r="51" spans="1:67" ht="12.75" hidden="1" customHeight="1">
      <c r="A51" s="35" t="s">
        <v>71</v>
      </c>
      <c r="C51" s="35" t="s">
        <v>45</v>
      </c>
      <c r="D51" s="35"/>
      <c r="E51" s="35">
        <f t="shared" si="0"/>
        <v>0</v>
      </c>
      <c r="F51" s="35"/>
      <c r="G51" s="35">
        <v>0</v>
      </c>
      <c r="H51" s="35"/>
      <c r="I51" s="35">
        <v>0</v>
      </c>
      <c r="J51" s="35"/>
      <c r="K51" s="35">
        <f t="shared" si="1"/>
        <v>0</v>
      </c>
      <c r="L51" s="35"/>
      <c r="M51" s="35">
        <v>0</v>
      </c>
      <c r="N51" s="35"/>
      <c r="O51" s="35">
        <v>0</v>
      </c>
      <c r="P51" s="35"/>
      <c r="Q51" s="35">
        <v>0</v>
      </c>
      <c r="R51" s="35"/>
      <c r="S51" s="35">
        <v>0</v>
      </c>
      <c r="T51" s="35"/>
      <c r="U51" s="35">
        <v>0</v>
      </c>
      <c r="V51" s="35"/>
      <c r="W51" s="35">
        <f t="shared" si="11"/>
        <v>0</v>
      </c>
      <c r="X51" s="35"/>
      <c r="Y51" s="35" t="s">
        <v>71</v>
      </c>
      <c r="Z51" s="55"/>
      <c r="AA51" s="35" t="s">
        <v>45</v>
      </c>
      <c r="AB51" s="35"/>
      <c r="AC51" s="35">
        <v>0</v>
      </c>
      <c r="AD51" s="35"/>
      <c r="AE51" s="35">
        <v>0</v>
      </c>
      <c r="AF51" s="35"/>
      <c r="AG51" s="35">
        <v>0</v>
      </c>
      <c r="AH51" s="35"/>
      <c r="AI51" s="45">
        <f t="shared" si="9"/>
        <v>0</v>
      </c>
      <c r="AJ51" s="45"/>
      <c r="AK51" s="35">
        <v>0</v>
      </c>
      <c r="AL51" s="35"/>
      <c r="AM51" s="35">
        <v>0</v>
      </c>
      <c r="AN51" s="35"/>
      <c r="AO51" s="35">
        <v>0</v>
      </c>
      <c r="AP51" s="35"/>
      <c r="AQ51" s="35">
        <v>0</v>
      </c>
      <c r="AR51" s="35"/>
      <c r="AS51" s="45">
        <f t="shared" si="12"/>
        <v>0</v>
      </c>
      <c r="AT51" s="45"/>
      <c r="AU51" s="35">
        <v>0</v>
      </c>
      <c r="AV51" s="35"/>
      <c r="AW51" s="35">
        <v>0</v>
      </c>
      <c r="AX51" s="35"/>
      <c r="AY51" s="35">
        <f t="shared" si="13"/>
        <v>0</v>
      </c>
      <c r="AZ51" s="35"/>
      <c r="BA51" s="35" t="s">
        <v>71</v>
      </c>
      <c r="BB51" s="55"/>
      <c r="BC51" s="35" t="s">
        <v>45</v>
      </c>
      <c r="BD51" s="35"/>
      <c r="BE51" s="35">
        <v>0</v>
      </c>
      <c r="BF51" s="35"/>
      <c r="BG51" s="35">
        <v>0</v>
      </c>
      <c r="BH51" s="35"/>
      <c r="BI51" s="35">
        <v>0</v>
      </c>
      <c r="BJ51" s="35"/>
      <c r="BK51" s="35">
        <v>0</v>
      </c>
      <c r="BL51" s="35"/>
      <c r="BM51" s="35">
        <f t="shared" si="10"/>
        <v>0</v>
      </c>
      <c r="BN51" s="54" t="s">
        <v>347</v>
      </c>
    </row>
    <row r="52" spans="1:67" ht="12.75" hidden="1" customHeight="1">
      <c r="A52" s="35" t="s">
        <v>72</v>
      </c>
      <c r="C52" s="35" t="s">
        <v>66</v>
      </c>
      <c r="D52" s="35"/>
      <c r="E52" s="35">
        <f t="shared" si="0"/>
        <v>0</v>
      </c>
      <c r="F52" s="35"/>
      <c r="G52" s="35">
        <v>0</v>
      </c>
      <c r="H52" s="35"/>
      <c r="I52" s="35">
        <v>0</v>
      </c>
      <c r="J52" s="35"/>
      <c r="K52" s="35">
        <f t="shared" si="1"/>
        <v>0</v>
      </c>
      <c r="L52" s="35"/>
      <c r="M52" s="35">
        <v>0</v>
      </c>
      <c r="N52" s="35"/>
      <c r="O52" s="35">
        <v>0</v>
      </c>
      <c r="P52" s="35"/>
      <c r="Q52" s="35">
        <v>0</v>
      </c>
      <c r="R52" s="35"/>
      <c r="S52" s="35">
        <v>0</v>
      </c>
      <c r="T52" s="35"/>
      <c r="U52" s="35">
        <v>0</v>
      </c>
      <c r="V52" s="35"/>
      <c r="W52" s="35">
        <f t="shared" si="11"/>
        <v>0</v>
      </c>
      <c r="X52" s="35"/>
      <c r="Y52" s="35" t="s">
        <v>72</v>
      </c>
      <c r="Z52" s="55"/>
      <c r="AA52" s="35" t="s">
        <v>66</v>
      </c>
      <c r="AB52" s="35"/>
      <c r="AC52" s="35">
        <v>0</v>
      </c>
      <c r="AD52" s="35"/>
      <c r="AE52" s="35">
        <v>0</v>
      </c>
      <c r="AF52" s="35"/>
      <c r="AG52" s="35">
        <v>0</v>
      </c>
      <c r="AH52" s="35"/>
      <c r="AI52" s="45">
        <v>0</v>
      </c>
      <c r="AJ52" s="45"/>
      <c r="AK52" s="35">
        <v>0</v>
      </c>
      <c r="AL52" s="35"/>
      <c r="AM52" s="35">
        <v>0</v>
      </c>
      <c r="AN52" s="35"/>
      <c r="AO52" s="35">
        <v>0</v>
      </c>
      <c r="AP52" s="35"/>
      <c r="AQ52" s="35">
        <v>0</v>
      </c>
      <c r="AR52" s="35"/>
      <c r="AS52" s="45">
        <f t="shared" si="12"/>
        <v>0</v>
      </c>
      <c r="AT52" s="45"/>
      <c r="AU52" s="35">
        <v>0</v>
      </c>
      <c r="AV52" s="35"/>
      <c r="AW52" s="35">
        <v>0</v>
      </c>
      <c r="AX52" s="35"/>
      <c r="AY52" s="35">
        <f t="shared" si="13"/>
        <v>0</v>
      </c>
      <c r="AZ52" s="35"/>
      <c r="BA52" s="35" t="s">
        <v>72</v>
      </c>
      <c r="BB52" s="55"/>
      <c r="BC52" s="35" t="s">
        <v>66</v>
      </c>
      <c r="BD52" s="35"/>
      <c r="BE52" s="35">
        <v>0</v>
      </c>
      <c r="BF52" s="35"/>
      <c r="BG52" s="35">
        <v>0</v>
      </c>
      <c r="BH52" s="35"/>
      <c r="BI52" s="35">
        <v>0</v>
      </c>
      <c r="BJ52" s="35"/>
      <c r="BK52" s="35">
        <v>0</v>
      </c>
      <c r="BL52" s="35"/>
      <c r="BM52" s="35">
        <f t="shared" si="10"/>
        <v>0</v>
      </c>
      <c r="BN52" s="54" t="s">
        <v>347</v>
      </c>
    </row>
    <row r="53" spans="1:67" ht="12.75" hidden="1" customHeight="1">
      <c r="A53" s="35" t="s">
        <v>73</v>
      </c>
      <c r="B53" s="55"/>
      <c r="C53" s="35" t="s">
        <v>27</v>
      </c>
      <c r="D53" s="35"/>
      <c r="E53" s="35">
        <f t="shared" si="0"/>
        <v>0</v>
      </c>
      <c r="F53" s="35"/>
      <c r="G53" s="35">
        <v>0</v>
      </c>
      <c r="H53" s="35"/>
      <c r="I53" s="35">
        <v>0</v>
      </c>
      <c r="J53" s="35"/>
      <c r="K53" s="35">
        <f t="shared" si="1"/>
        <v>0</v>
      </c>
      <c r="L53" s="35"/>
      <c r="M53" s="35">
        <v>0</v>
      </c>
      <c r="N53" s="35"/>
      <c r="O53" s="35">
        <v>0</v>
      </c>
      <c r="P53" s="35"/>
      <c r="Q53" s="35">
        <v>0</v>
      </c>
      <c r="R53" s="35"/>
      <c r="S53" s="35">
        <v>0</v>
      </c>
      <c r="T53" s="35"/>
      <c r="U53" s="35">
        <v>0</v>
      </c>
      <c r="V53" s="35"/>
      <c r="W53" s="35">
        <f t="shared" si="11"/>
        <v>0</v>
      </c>
      <c r="X53" s="35"/>
      <c r="Y53" s="35" t="s">
        <v>73</v>
      </c>
      <c r="Z53" s="55"/>
      <c r="AA53" s="35" t="s">
        <v>27</v>
      </c>
      <c r="AB53" s="35"/>
      <c r="AC53" s="35">
        <v>0</v>
      </c>
      <c r="AD53" s="35"/>
      <c r="AE53" s="35">
        <v>0</v>
      </c>
      <c r="AF53" s="35"/>
      <c r="AG53" s="35">
        <v>0</v>
      </c>
      <c r="AH53" s="35"/>
      <c r="AI53" s="45">
        <f t="shared" ref="AI53:AI64" si="14">+AC53-AE53-AG53</f>
        <v>0</v>
      </c>
      <c r="AJ53" s="45"/>
      <c r="AK53" s="35">
        <v>0</v>
      </c>
      <c r="AL53" s="35"/>
      <c r="AM53" s="35">
        <v>0</v>
      </c>
      <c r="AN53" s="35"/>
      <c r="AO53" s="35">
        <v>0</v>
      </c>
      <c r="AP53" s="35"/>
      <c r="AQ53" s="35">
        <v>0</v>
      </c>
      <c r="AR53" s="35"/>
      <c r="AS53" s="45">
        <f t="shared" si="12"/>
        <v>0</v>
      </c>
      <c r="AT53" s="45"/>
      <c r="AU53" s="35">
        <v>0</v>
      </c>
      <c r="AV53" s="35"/>
      <c r="AW53" s="35">
        <v>0</v>
      </c>
      <c r="AX53" s="35"/>
      <c r="AY53" s="35">
        <f t="shared" si="13"/>
        <v>0</v>
      </c>
      <c r="AZ53" s="35"/>
      <c r="BA53" s="35" t="s">
        <v>73</v>
      </c>
      <c r="BB53" s="55"/>
      <c r="BC53" s="35" t="s">
        <v>27</v>
      </c>
      <c r="BD53" s="35"/>
      <c r="BE53" s="35">
        <v>0</v>
      </c>
      <c r="BF53" s="35"/>
      <c r="BG53" s="35">
        <v>0</v>
      </c>
      <c r="BH53" s="35"/>
      <c r="BI53" s="35">
        <v>0</v>
      </c>
      <c r="BJ53" s="35"/>
      <c r="BK53" s="35">
        <v>0</v>
      </c>
      <c r="BL53" s="35"/>
      <c r="BM53" s="35">
        <f t="shared" si="10"/>
        <v>0</v>
      </c>
      <c r="BN53" s="54" t="s">
        <v>347</v>
      </c>
    </row>
    <row r="54" spans="1:67" ht="12.75" hidden="1" customHeight="1">
      <c r="A54" s="35" t="s">
        <v>74</v>
      </c>
      <c r="C54" s="35" t="s">
        <v>27</v>
      </c>
      <c r="D54" s="35"/>
      <c r="E54" s="35">
        <f t="shared" si="0"/>
        <v>0</v>
      </c>
      <c r="F54" s="35"/>
      <c r="G54" s="35">
        <v>0</v>
      </c>
      <c r="H54" s="35"/>
      <c r="I54" s="35">
        <v>0</v>
      </c>
      <c r="J54" s="35"/>
      <c r="K54" s="35">
        <f t="shared" si="1"/>
        <v>0</v>
      </c>
      <c r="L54" s="35"/>
      <c r="M54" s="35">
        <v>0</v>
      </c>
      <c r="N54" s="35"/>
      <c r="O54" s="35">
        <v>0</v>
      </c>
      <c r="P54" s="35"/>
      <c r="Q54" s="35">
        <v>0</v>
      </c>
      <c r="R54" s="35"/>
      <c r="S54" s="35">
        <v>0</v>
      </c>
      <c r="T54" s="35"/>
      <c r="U54" s="35">
        <v>0</v>
      </c>
      <c r="V54" s="35"/>
      <c r="W54" s="35">
        <f t="shared" si="11"/>
        <v>0</v>
      </c>
      <c r="X54" s="35"/>
      <c r="Y54" s="35" t="s">
        <v>74</v>
      </c>
      <c r="Z54" s="55"/>
      <c r="AA54" s="35" t="s">
        <v>27</v>
      </c>
      <c r="AB54" s="35"/>
      <c r="AC54" s="35">
        <v>0</v>
      </c>
      <c r="AD54" s="35"/>
      <c r="AE54" s="35">
        <v>0</v>
      </c>
      <c r="AF54" s="35"/>
      <c r="AG54" s="35">
        <v>0</v>
      </c>
      <c r="AH54" s="35"/>
      <c r="AI54" s="45">
        <f t="shared" si="14"/>
        <v>0</v>
      </c>
      <c r="AJ54" s="45"/>
      <c r="AK54" s="35">
        <v>0</v>
      </c>
      <c r="AL54" s="35"/>
      <c r="AM54" s="35">
        <v>0</v>
      </c>
      <c r="AN54" s="35"/>
      <c r="AO54" s="35">
        <v>0</v>
      </c>
      <c r="AP54" s="35"/>
      <c r="AQ54" s="35">
        <v>0</v>
      </c>
      <c r="AR54" s="35"/>
      <c r="AS54" s="45">
        <f t="shared" si="12"/>
        <v>0</v>
      </c>
      <c r="AT54" s="45"/>
      <c r="AU54" s="35">
        <v>0</v>
      </c>
      <c r="AV54" s="35"/>
      <c r="AW54" s="35">
        <v>0</v>
      </c>
      <c r="AX54" s="35"/>
      <c r="AY54" s="35">
        <f t="shared" si="13"/>
        <v>0</v>
      </c>
      <c r="AZ54" s="35"/>
      <c r="BA54" s="35" t="s">
        <v>74</v>
      </c>
      <c r="BB54" s="55"/>
      <c r="BC54" s="35" t="s">
        <v>27</v>
      </c>
      <c r="BD54" s="35"/>
      <c r="BE54" s="35">
        <v>0</v>
      </c>
      <c r="BF54" s="35"/>
      <c r="BG54" s="35">
        <v>0</v>
      </c>
      <c r="BH54" s="35"/>
      <c r="BI54" s="35">
        <v>0</v>
      </c>
      <c r="BJ54" s="35"/>
      <c r="BK54" s="35">
        <v>0</v>
      </c>
      <c r="BL54" s="35"/>
      <c r="BM54" s="35">
        <f t="shared" si="10"/>
        <v>0</v>
      </c>
      <c r="BN54" s="54" t="s">
        <v>347</v>
      </c>
    </row>
    <row r="55" spans="1:67" ht="12.75" customHeight="1">
      <c r="A55" s="35" t="s">
        <v>75</v>
      </c>
      <c r="C55" s="35" t="s">
        <v>76</v>
      </c>
      <c r="D55" s="35"/>
      <c r="E55" s="35">
        <f t="shared" si="0"/>
        <v>7942312</v>
      </c>
      <c r="F55" s="35"/>
      <c r="G55" s="35">
        <v>12080537</v>
      </c>
      <c r="H55" s="35"/>
      <c r="I55" s="35">
        <v>20022849</v>
      </c>
      <c r="J55" s="35"/>
      <c r="K55" s="35">
        <f t="shared" si="1"/>
        <v>832410</v>
      </c>
      <c r="L55" s="35"/>
      <c r="M55" s="35">
        <v>4283634</v>
      </c>
      <c r="N55" s="35"/>
      <c r="O55" s="35">
        <v>5116044</v>
      </c>
      <c r="P55" s="35"/>
      <c r="Q55" s="35">
        <v>6423078</v>
      </c>
      <c r="R55" s="35"/>
      <c r="S55" s="35">
        <v>742875</v>
      </c>
      <c r="T55" s="35"/>
      <c r="U55" s="35">
        <v>7740852</v>
      </c>
      <c r="V55" s="35"/>
      <c r="W55" s="35">
        <f t="shared" si="11"/>
        <v>14906805</v>
      </c>
      <c r="X55" s="35"/>
      <c r="Y55" s="35" t="s">
        <v>75</v>
      </c>
      <c r="Z55" s="55"/>
      <c r="AA55" s="35" t="s">
        <v>76</v>
      </c>
      <c r="AB55" s="35"/>
      <c r="AC55" s="35">
        <v>18571183</v>
      </c>
      <c r="AD55" s="35"/>
      <c r="AE55" s="35">
        <f>17059398-289867</f>
        <v>16769531</v>
      </c>
      <c r="AF55" s="35"/>
      <c r="AG55" s="35">
        <v>289867</v>
      </c>
      <c r="AH55" s="35"/>
      <c r="AI55" s="45">
        <f t="shared" si="14"/>
        <v>1511785</v>
      </c>
      <c r="AJ55" s="45"/>
      <c r="AK55" s="35">
        <v>-761382</v>
      </c>
      <c r="AL55" s="35"/>
      <c r="AM55" s="35">
        <v>461801</v>
      </c>
      <c r="AN55" s="35"/>
      <c r="AO55" s="35">
        <v>0</v>
      </c>
      <c r="AP55" s="35"/>
      <c r="AQ55" s="35">
        <v>0</v>
      </c>
      <c r="AR55" s="35"/>
      <c r="AS55" s="45">
        <f t="shared" si="12"/>
        <v>1212204</v>
      </c>
      <c r="AT55" s="45"/>
      <c r="AU55" s="35">
        <v>0</v>
      </c>
      <c r="AV55" s="35"/>
      <c r="AW55" s="35">
        <v>0</v>
      </c>
      <c r="AX55" s="35"/>
      <c r="AY55" s="35">
        <f t="shared" si="13"/>
        <v>7109902</v>
      </c>
      <c r="AZ55" s="35"/>
      <c r="BA55" s="35" t="s">
        <v>75</v>
      </c>
      <c r="BB55" s="55"/>
      <c r="BC55" s="35" t="s">
        <v>76</v>
      </c>
      <c r="BD55" s="35"/>
      <c r="BE55" s="35">
        <v>2199584</v>
      </c>
      <c r="BF55" s="35"/>
      <c r="BG55" s="35">
        <v>2070000</v>
      </c>
      <c r="BH55" s="35"/>
      <c r="BI55" s="35">
        <v>0</v>
      </c>
      <c r="BJ55" s="35"/>
      <c r="BK55" s="35">
        <v>14050</v>
      </c>
      <c r="BL55" s="35"/>
      <c r="BM55" s="35">
        <f t="shared" si="10"/>
        <v>4283634</v>
      </c>
      <c r="BN55" s="54" t="s">
        <v>347</v>
      </c>
    </row>
    <row r="56" spans="1:67" ht="12.75" customHeight="1">
      <c r="A56" s="35" t="s">
        <v>94</v>
      </c>
      <c r="C56" s="35" t="s">
        <v>94</v>
      </c>
      <c r="D56" s="35"/>
      <c r="E56" s="35">
        <f t="shared" si="0"/>
        <v>4291577</v>
      </c>
      <c r="F56" s="35"/>
      <c r="G56" s="35">
        <v>2930654</v>
      </c>
      <c r="H56" s="35"/>
      <c r="I56" s="35">
        <v>7222231</v>
      </c>
      <c r="J56" s="35"/>
      <c r="K56" s="35">
        <f t="shared" si="1"/>
        <v>1763677</v>
      </c>
      <c r="L56" s="35"/>
      <c r="M56" s="35">
        <v>9792</v>
      </c>
      <c r="N56" s="35"/>
      <c r="O56" s="35">
        <v>1773469</v>
      </c>
      <c r="P56" s="35"/>
      <c r="Q56" s="35">
        <v>2322412</v>
      </c>
      <c r="R56" s="35"/>
      <c r="S56" s="35">
        <v>0</v>
      </c>
      <c r="T56" s="35"/>
      <c r="U56" s="35">
        <v>3126350</v>
      </c>
      <c r="V56" s="35"/>
      <c r="W56" s="35">
        <f t="shared" si="11"/>
        <v>5448762</v>
      </c>
      <c r="X56" s="35"/>
      <c r="Y56" s="35" t="str">
        <f>+A56</f>
        <v>Columbiana</v>
      </c>
      <c r="Z56" s="55"/>
      <c r="AA56" s="35" t="s">
        <v>94</v>
      </c>
      <c r="AB56" s="35"/>
      <c r="AC56" s="35">
        <v>7429609</v>
      </c>
      <c r="AD56" s="35"/>
      <c r="AE56" s="35">
        <f>6540448-244552</f>
        <v>6295896</v>
      </c>
      <c r="AF56" s="35"/>
      <c r="AG56" s="35">
        <v>244552</v>
      </c>
      <c r="AH56" s="35"/>
      <c r="AI56" s="45">
        <f t="shared" si="14"/>
        <v>889161</v>
      </c>
      <c r="AJ56" s="45"/>
      <c r="AK56" s="35">
        <v>-52572</v>
      </c>
      <c r="AL56" s="35"/>
      <c r="AM56" s="35">
        <v>0</v>
      </c>
      <c r="AN56" s="35"/>
      <c r="AO56" s="35">
        <v>0</v>
      </c>
      <c r="AP56" s="35"/>
      <c r="AQ56" s="35">
        <v>0</v>
      </c>
      <c r="AR56" s="35"/>
      <c r="AS56" s="45">
        <f t="shared" si="12"/>
        <v>836589</v>
      </c>
      <c r="AT56" s="45"/>
      <c r="AU56" s="35">
        <v>0</v>
      </c>
      <c r="AV56" s="35"/>
      <c r="AW56" s="35">
        <v>0</v>
      </c>
      <c r="AX56" s="35"/>
      <c r="AY56" s="35">
        <f t="shared" si="13"/>
        <v>2527900</v>
      </c>
      <c r="AZ56" s="35"/>
      <c r="BA56" s="35" t="str">
        <f>+Y56</f>
        <v>Columbiana</v>
      </c>
      <c r="BB56" s="55"/>
      <c r="BC56" s="35" t="s">
        <v>94</v>
      </c>
      <c r="BD56" s="35"/>
      <c r="BE56" s="35">
        <v>0</v>
      </c>
      <c r="BF56" s="35"/>
      <c r="BG56" s="35">
        <v>0</v>
      </c>
      <c r="BH56" s="35"/>
      <c r="BI56" s="35">
        <v>0</v>
      </c>
      <c r="BJ56" s="35"/>
      <c r="BK56" s="35">
        <v>9792</v>
      </c>
      <c r="BL56" s="35"/>
      <c r="BM56" s="35">
        <f t="shared" si="10"/>
        <v>9792</v>
      </c>
      <c r="BN56" s="54" t="s">
        <v>347</v>
      </c>
    </row>
    <row r="57" spans="1:67" ht="12.75" customHeight="1">
      <c r="A57" s="35" t="s">
        <v>77</v>
      </c>
      <c r="C57" s="35" t="s">
        <v>43</v>
      </c>
      <c r="D57" s="35"/>
      <c r="E57" s="35">
        <f t="shared" si="0"/>
        <v>30489000</v>
      </c>
      <c r="F57" s="35"/>
      <c r="G57" s="35">
        <v>91885000</v>
      </c>
      <c r="H57" s="35"/>
      <c r="I57" s="35">
        <v>122374000</v>
      </c>
      <c r="J57" s="35"/>
      <c r="K57" s="35">
        <f t="shared" si="1"/>
        <v>15448000</v>
      </c>
      <c r="L57" s="35"/>
      <c r="M57" s="35">
        <v>32509000</v>
      </c>
      <c r="N57" s="35"/>
      <c r="O57" s="35">
        <v>47957000</v>
      </c>
      <c r="P57" s="35"/>
      <c r="Q57" s="35">
        <v>62687000</v>
      </c>
      <c r="R57" s="35"/>
      <c r="S57" s="35">
        <v>0</v>
      </c>
      <c r="T57" s="35"/>
      <c r="U57" s="35">
        <v>11730000</v>
      </c>
      <c r="V57" s="35"/>
      <c r="W57" s="35">
        <f t="shared" si="11"/>
        <v>74417000</v>
      </c>
      <c r="X57" s="35"/>
      <c r="Y57" s="35" t="s">
        <v>77</v>
      </c>
      <c r="Z57" s="55"/>
      <c r="AA57" s="35" t="s">
        <v>43</v>
      </c>
      <c r="AB57" s="35"/>
      <c r="AC57" s="35">
        <v>84625000</v>
      </c>
      <c r="AD57" s="35"/>
      <c r="AE57" s="35">
        <f>75131000-3515000</f>
        <v>71616000</v>
      </c>
      <c r="AF57" s="35"/>
      <c r="AG57" s="35">
        <v>3515000</v>
      </c>
      <c r="AH57" s="35"/>
      <c r="AI57" s="45">
        <f t="shared" si="14"/>
        <v>9494000</v>
      </c>
      <c r="AJ57" s="45"/>
      <c r="AK57" s="35">
        <v>1801000</v>
      </c>
      <c r="AL57" s="35"/>
      <c r="AM57" s="35">
        <v>339000</v>
      </c>
      <c r="AN57" s="35"/>
      <c r="AO57" s="35">
        <v>0</v>
      </c>
      <c r="AP57" s="35"/>
      <c r="AQ57" s="35">
        <v>0</v>
      </c>
      <c r="AR57" s="35"/>
      <c r="AS57" s="45">
        <f t="shared" si="12"/>
        <v>11634000</v>
      </c>
      <c r="AT57" s="45"/>
      <c r="AU57" s="35">
        <v>0</v>
      </c>
      <c r="AV57" s="35"/>
      <c r="AW57" s="35">
        <v>0</v>
      </c>
      <c r="AX57" s="35"/>
      <c r="AY57" s="35">
        <f t="shared" si="13"/>
        <v>15041000</v>
      </c>
      <c r="AZ57" s="35"/>
      <c r="BA57" s="35" t="s">
        <v>77</v>
      </c>
      <c r="BB57" s="55"/>
      <c r="BC57" s="35" t="s">
        <v>43</v>
      </c>
      <c r="BD57" s="35"/>
      <c r="BE57" s="35">
        <v>0</v>
      </c>
      <c r="BF57" s="35"/>
      <c r="BG57" s="35">
        <v>0</v>
      </c>
      <c r="BH57" s="35"/>
      <c r="BI57" s="35">
        <v>32509000</v>
      </c>
      <c r="BJ57" s="35"/>
      <c r="BK57" s="35">
        <v>0</v>
      </c>
      <c r="BL57" s="35"/>
      <c r="BM57" s="35">
        <f t="shared" si="10"/>
        <v>32509000</v>
      </c>
      <c r="BN57" s="54" t="s">
        <v>347</v>
      </c>
    </row>
    <row r="58" spans="1:67" ht="12.75" hidden="1" customHeight="1">
      <c r="A58" s="35" t="s">
        <v>78</v>
      </c>
      <c r="C58" s="35" t="s">
        <v>19</v>
      </c>
      <c r="D58" s="35"/>
      <c r="E58" s="35">
        <f t="shared" si="0"/>
        <v>0</v>
      </c>
      <c r="F58" s="35"/>
      <c r="G58" s="35">
        <v>0</v>
      </c>
      <c r="H58" s="35"/>
      <c r="I58" s="35">
        <v>0</v>
      </c>
      <c r="J58" s="35"/>
      <c r="K58" s="35">
        <f t="shared" si="1"/>
        <v>0</v>
      </c>
      <c r="L58" s="35"/>
      <c r="M58" s="35">
        <v>0</v>
      </c>
      <c r="N58" s="35"/>
      <c r="O58" s="35">
        <v>0</v>
      </c>
      <c r="P58" s="35"/>
      <c r="Q58" s="35">
        <v>0</v>
      </c>
      <c r="R58" s="35"/>
      <c r="S58" s="35">
        <v>0</v>
      </c>
      <c r="T58" s="35"/>
      <c r="U58" s="35">
        <v>0</v>
      </c>
      <c r="V58" s="35"/>
      <c r="W58" s="35">
        <f t="shared" si="11"/>
        <v>0</v>
      </c>
      <c r="X58" s="35"/>
      <c r="Y58" s="35" t="s">
        <v>78</v>
      </c>
      <c r="Z58" s="55"/>
      <c r="AA58" s="35" t="s">
        <v>19</v>
      </c>
      <c r="AB58" s="35"/>
      <c r="AC58" s="35">
        <v>0</v>
      </c>
      <c r="AD58" s="35"/>
      <c r="AE58" s="35">
        <v>0</v>
      </c>
      <c r="AF58" s="35"/>
      <c r="AG58" s="35">
        <v>0</v>
      </c>
      <c r="AH58" s="35"/>
      <c r="AI58" s="45">
        <f t="shared" si="14"/>
        <v>0</v>
      </c>
      <c r="AJ58" s="45"/>
      <c r="AK58" s="35">
        <v>0</v>
      </c>
      <c r="AL58" s="35"/>
      <c r="AM58" s="35">
        <v>0</v>
      </c>
      <c r="AN58" s="35"/>
      <c r="AO58" s="35">
        <v>0</v>
      </c>
      <c r="AP58" s="35"/>
      <c r="AQ58" s="35">
        <v>0</v>
      </c>
      <c r="AR58" s="35"/>
      <c r="AS58" s="45">
        <f t="shared" si="12"/>
        <v>0</v>
      </c>
      <c r="AT58" s="45"/>
      <c r="AU58" s="35">
        <v>0</v>
      </c>
      <c r="AV58" s="35"/>
      <c r="AW58" s="35">
        <v>0</v>
      </c>
      <c r="AX58" s="35"/>
      <c r="AY58" s="35">
        <f t="shared" si="13"/>
        <v>0</v>
      </c>
      <c r="AZ58" s="35"/>
      <c r="BA58" s="35" t="s">
        <v>78</v>
      </c>
      <c r="BB58" s="55"/>
      <c r="BC58" s="35" t="s">
        <v>19</v>
      </c>
      <c r="BD58" s="35"/>
      <c r="BE58" s="35">
        <v>0</v>
      </c>
      <c r="BF58" s="35"/>
      <c r="BG58" s="35">
        <v>0</v>
      </c>
      <c r="BH58" s="35"/>
      <c r="BI58" s="35">
        <v>0</v>
      </c>
      <c r="BJ58" s="35"/>
      <c r="BK58" s="35">
        <v>0</v>
      </c>
      <c r="BL58" s="35"/>
      <c r="BM58" s="35">
        <f t="shared" si="10"/>
        <v>0</v>
      </c>
      <c r="BN58" s="54" t="s">
        <v>347</v>
      </c>
    </row>
    <row r="59" spans="1:67" ht="12.75" hidden="1" customHeight="1">
      <c r="A59" s="35" t="s">
        <v>79</v>
      </c>
      <c r="C59" s="35" t="s">
        <v>80</v>
      </c>
      <c r="D59" s="35"/>
      <c r="E59" s="35">
        <f t="shared" si="0"/>
        <v>0</v>
      </c>
      <c r="F59" s="35"/>
      <c r="G59" s="35">
        <v>0</v>
      </c>
      <c r="H59" s="35"/>
      <c r="I59" s="35">
        <v>0</v>
      </c>
      <c r="J59" s="35"/>
      <c r="K59" s="35">
        <f t="shared" si="1"/>
        <v>0</v>
      </c>
      <c r="L59" s="35"/>
      <c r="M59" s="35">
        <v>0</v>
      </c>
      <c r="N59" s="35"/>
      <c r="O59" s="35">
        <v>0</v>
      </c>
      <c r="P59" s="35"/>
      <c r="Q59" s="35">
        <v>0</v>
      </c>
      <c r="R59" s="35"/>
      <c r="S59" s="35">
        <v>0</v>
      </c>
      <c r="T59" s="35"/>
      <c r="U59" s="35">
        <v>0</v>
      </c>
      <c r="V59" s="35"/>
      <c r="W59" s="35">
        <f t="shared" si="11"/>
        <v>0</v>
      </c>
      <c r="X59" s="35"/>
      <c r="Y59" s="35" t="s">
        <v>79</v>
      </c>
      <c r="Z59" s="55"/>
      <c r="AA59" s="35" t="s">
        <v>80</v>
      </c>
      <c r="AB59" s="35"/>
      <c r="AC59" s="35">
        <v>0</v>
      </c>
      <c r="AD59" s="35"/>
      <c r="AE59" s="35">
        <v>0</v>
      </c>
      <c r="AF59" s="35"/>
      <c r="AG59" s="35">
        <v>0</v>
      </c>
      <c r="AH59" s="35"/>
      <c r="AI59" s="45">
        <f t="shared" si="14"/>
        <v>0</v>
      </c>
      <c r="AJ59" s="45"/>
      <c r="AK59" s="35">
        <v>0</v>
      </c>
      <c r="AL59" s="35"/>
      <c r="AM59" s="35">
        <v>0</v>
      </c>
      <c r="AN59" s="35"/>
      <c r="AO59" s="35">
        <v>0</v>
      </c>
      <c r="AP59" s="35"/>
      <c r="AQ59" s="35">
        <v>0</v>
      </c>
      <c r="AR59" s="35"/>
      <c r="AS59" s="45">
        <f t="shared" si="12"/>
        <v>0</v>
      </c>
      <c r="AT59" s="45"/>
      <c r="AU59" s="35">
        <v>0</v>
      </c>
      <c r="AV59" s="35"/>
      <c r="AW59" s="35">
        <v>0</v>
      </c>
      <c r="AX59" s="35"/>
      <c r="AY59" s="35">
        <f t="shared" si="13"/>
        <v>0</v>
      </c>
      <c r="AZ59" s="35"/>
      <c r="BA59" s="35" t="s">
        <v>79</v>
      </c>
      <c r="BB59" s="55"/>
      <c r="BC59" s="35" t="s">
        <v>80</v>
      </c>
      <c r="BD59" s="35"/>
      <c r="BE59" s="35">
        <v>0</v>
      </c>
      <c r="BF59" s="35"/>
      <c r="BG59" s="35">
        <v>0</v>
      </c>
      <c r="BH59" s="35"/>
      <c r="BI59" s="35">
        <v>0</v>
      </c>
      <c r="BJ59" s="35"/>
      <c r="BK59" s="35">
        <v>0</v>
      </c>
      <c r="BL59" s="35"/>
      <c r="BM59" s="35">
        <f t="shared" si="10"/>
        <v>0</v>
      </c>
      <c r="BN59" s="54" t="s">
        <v>347</v>
      </c>
    </row>
    <row r="60" spans="1:67" ht="12.75" hidden="1" customHeight="1">
      <c r="A60" s="35" t="s">
        <v>81</v>
      </c>
      <c r="C60" s="35" t="s">
        <v>81</v>
      </c>
      <c r="D60" s="35"/>
      <c r="E60" s="35">
        <f t="shared" si="0"/>
        <v>0</v>
      </c>
      <c r="F60" s="35"/>
      <c r="G60" s="35">
        <v>0</v>
      </c>
      <c r="H60" s="35"/>
      <c r="I60" s="35">
        <v>0</v>
      </c>
      <c r="J60" s="35"/>
      <c r="K60" s="35">
        <f t="shared" si="1"/>
        <v>0</v>
      </c>
      <c r="L60" s="35"/>
      <c r="M60" s="35">
        <v>0</v>
      </c>
      <c r="N60" s="35"/>
      <c r="O60" s="35">
        <v>0</v>
      </c>
      <c r="P60" s="35"/>
      <c r="Q60" s="35">
        <v>0</v>
      </c>
      <c r="R60" s="35"/>
      <c r="S60" s="35">
        <v>0</v>
      </c>
      <c r="T60" s="35"/>
      <c r="U60" s="35">
        <v>0</v>
      </c>
      <c r="V60" s="35"/>
      <c r="W60" s="35">
        <f t="shared" si="11"/>
        <v>0</v>
      </c>
      <c r="X60" s="35"/>
      <c r="Y60" s="35" t="s">
        <v>81</v>
      </c>
      <c r="Z60" s="55"/>
      <c r="AA60" s="35" t="s">
        <v>81</v>
      </c>
      <c r="AB60" s="35"/>
      <c r="AC60" s="35">
        <v>0</v>
      </c>
      <c r="AD60" s="35"/>
      <c r="AE60" s="35">
        <v>0</v>
      </c>
      <c r="AF60" s="35"/>
      <c r="AG60" s="35">
        <v>0</v>
      </c>
      <c r="AH60" s="35"/>
      <c r="AI60" s="45">
        <f t="shared" si="14"/>
        <v>0</v>
      </c>
      <c r="AJ60" s="45"/>
      <c r="AK60" s="35">
        <v>0</v>
      </c>
      <c r="AL60" s="35"/>
      <c r="AM60" s="35">
        <v>0</v>
      </c>
      <c r="AN60" s="35"/>
      <c r="AO60" s="35">
        <v>0</v>
      </c>
      <c r="AP60" s="35"/>
      <c r="AQ60" s="35">
        <v>0</v>
      </c>
      <c r="AR60" s="35"/>
      <c r="AS60" s="45">
        <f t="shared" si="12"/>
        <v>0</v>
      </c>
      <c r="AT60" s="45"/>
      <c r="AU60" s="35">
        <v>0</v>
      </c>
      <c r="AV60" s="35"/>
      <c r="AW60" s="35">
        <v>0</v>
      </c>
      <c r="AX60" s="35"/>
      <c r="AY60" s="35">
        <f t="shared" si="13"/>
        <v>0</v>
      </c>
      <c r="AZ60" s="35"/>
      <c r="BA60" s="35" t="s">
        <v>81</v>
      </c>
      <c r="BB60" s="55"/>
      <c r="BC60" s="35" t="s">
        <v>81</v>
      </c>
      <c r="BD60" s="35"/>
      <c r="BE60" s="35">
        <v>0</v>
      </c>
      <c r="BF60" s="35"/>
      <c r="BG60" s="35">
        <v>0</v>
      </c>
      <c r="BH60" s="35"/>
      <c r="BI60" s="35">
        <v>0</v>
      </c>
      <c r="BJ60" s="35"/>
      <c r="BK60" s="35">
        <v>0</v>
      </c>
      <c r="BL60" s="35"/>
      <c r="BM60" s="35">
        <f t="shared" si="10"/>
        <v>0</v>
      </c>
      <c r="BN60" s="54" t="s">
        <v>347</v>
      </c>
    </row>
    <row r="61" spans="1:67" ht="12.75" customHeight="1">
      <c r="A61" s="35" t="s">
        <v>82</v>
      </c>
      <c r="C61" s="35" t="s">
        <v>13</v>
      </c>
      <c r="D61" s="35"/>
      <c r="E61" s="35">
        <f t="shared" si="0"/>
        <v>28285396</v>
      </c>
      <c r="F61" s="35"/>
      <c r="G61" s="35">
        <v>16313759</v>
      </c>
      <c r="H61" s="35"/>
      <c r="I61" s="35">
        <v>44599155</v>
      </c>
      <c r="J61" s="35"/>
      <c r="K61" s="35">
        <f t="shared" si="1"/>
        <v>3423402</v>
      </c>
      <c r="L61" s="35"/>
      <c r="M61" s="35">
        <v>6138285</v>
      </c>
      <c r="N61" s="35"/>
      <c r="O61" s="35">
        <v>9561687</v>
      </c>
      <c r="P61" s="35"/>
      <c r="Q61" s="35">
        <v>15308312</v>
      </c>
      <c r="R61" s="35"/>
      <c r="S61" s="35">
        <v>0</v>
      </c>
      <c r="T61" s="35"/>
      <c r="U61" s="35">
        <v>19729156</v>
      </c>
      <c r="V61" s="35"/>
      <c r="W61" s="35">
        <f t="shared" si="11"/>
        <v>35037468</v>
      </c>
      <c r="X61" s="35"/>
      <c r="Y61" s="35" t="s">
        <v>82</v>
      </c>
      <c r="Z61" s="55"/>
      <c r="AA61" s="35" t="s">
        <v>13</v>
      </c>
      <c r="AB61" s="35"/>
      <c r="AC61" s="35">
        <v>36012851</v>
      </c>
      <c r="AD61" s="35"/>
      <c r="AE61" s="35">
        <f>32629764-867076</f>
        <v>31762688</v>
      </c>
      <c r="AF61" s="35"/>
      <c r="AG61" s="35">
        <v>867076</v>
      </c>
      <c r="AH61" s="35"/>
      <c r="AI61" s="45">
        <f t="shared" si="14"/>
        <v>3383087</v>
      </c>
      <c r="AJ61" s="45"/>
      <c r="AK61" s="35">
        <v>0</v>
      </c>
      <c r="AL61" s="35"/>
      <c r="AM61" s="35">
        <v>0</v>
      </c>
      <c r="AN61" s="35"/>
      <c r="AO61" s="35">
        <v>0</v>
      </c>
      <c r="AP61" s="35"/>
      <c r="AQ61" s="35">
        <v>0</v>
      </c>
      <c r="AR61" s="35"/>
      <c r="AS61" s="45">
        <f t="shared" si="12"/>
        <v>3383087</v>
      </c>
      <c r="AT61" s="45"/>
      <c r="AU61" s="35">
        <v>0</v>
      </c>
      <c r="AV61" s="35"/>
      <c r="AW61" s="35">
        <v>0</v>
      </c>
      <c r="AX61" s="35"/>
      <c r="AY61" s="35">
        <f t="shared" si="13"/>
        <v>24861994</v>
      </c>
      <c r="AZ61" s="35"/>
      <c r="BA61" s="35" t="s">
        <v>82</v>
      </c>
      <c r="BB61" s="55"/>
      <c r="BC61" s="35" t="s">
        <v>13</v>
      </c>
      <c r="BD61" s="35"/>
      <c r="BE61" s="35">
        <v>1005447</v>
      </c>
      <c r="BF61" s="35"/>
      <c r="BG61" s="35">
        <v>0</v>
      </c>
      <c r="BH61" s="35"/>
      <c r="BI61" s="35">
        <v>0</v>
      </c>
      <c r="BJ61" s="35"/>
      <c r="BK61" s="35">
        <v>0</v>
      </c>
      <c r="BL61" s="35"/>
      <c r="BM61" s="35">
        <f t="shared" si="10"/>
        <v>1005447</v>
      </c>
      <c r="BN61" s="54" t="s">
        <v>347</v>
      </c>
    </row>
    <row r="62" spans="1:67" ht="12.75" hidden="1" customHeight="1">
      <c r="A62" s="35" t="s">
        <v>83</v>
      </c>
      <c r="C62" s="35" t="s">
        <v>66</v>
      </c>
      <c r="D62" s="35"/>
      <c r="E62" s="35">
        <f t="shared" si="0"/>
        <v>0</v>
      </c>
      <c r="F62" s="35"/>
      <c r="G62" s="35">
        <v>0</v>
      </c>
      <c r="H62" s="35"/>
      <c r="I62" s="35">
        <v>0</v>
      </c>
      <c r="J62" s="35"/>
      <c r="K62" s="35">
        <f t="shared" si="1"/>
        <v>0</v>
      </c>
      <c r="L62" s="35"/>
      <c r="M62" s="35">
        <v>0</v>
      </c>
      <c r="N62" s="35"/>
      <c r="O62" s="35">
        <v>0</v>
      </c>
      <c r="P62" s="35"/>
      <c r="Q62" s="35">
        <v>0</v>
      </c>
      <c r="R62" s="35"/>
      <c r="S62" s="35">
        <v>0</v>
      </c>
      <c r="T62" s="35"/>
      <c r="U62" s="35">
        <v>0</v>
      </c>
      <c r="V62" s="35"/>
      <c r="W62" s="35">
        <f t="shared" si="11"/>
        <v>0</v>
      </c>
      <c r="X62" s="35"/>
      <c r="Y62" s="35" t="s">
        <v>83</v>
      </c>
      <c r="Z62" s="55"/>
      <c r="AA62" s="35" t="s">
        <v>66</v>
      </c>
      <c r="AB62" s="35"/>
      <c r="AC62" s="35">
        <v>0</v>
      </c>
      <c r="AD62" s="35"/>
      <c r="AE62" s="35">
        <v>0</v>
      </c>
      <c r="AF62" s="35"/>
      <c r="AG62" s="35">
        <v>0</v>
      </c>
      <c r="AH62" s="35"/>
      <c r="AI62" s="45">
        <f t="shared" si="14"/>
        <v>0</v>
      </c>
      <c r="AJ62" s="45"/>
      <c r="AK62" s="35">
        <v>0</v>
      </c>
      <c r="AL62" s="35"/>
      <c r="AM62" s="35">
        <v>0</v>
      </c>
      <c r="AN62" s="35"/>
      <c r="AO62" s="35">
        <v>0</v>
      </c>
      <c r="AP62" s="35"/>
      <c r="AQ62" s="35">
        <v>0</v>
      </c>
      <c r="AR62" s="35"/>
      <c r="AS62" s="45">
        <f t="shared" si="12"/>
        <v>0</v>
      </c>
      <c r="AT62" s="45"/>
      <c r="AU62" s="35">
        <v>0</v>
      </c>
      <c r="AV62" s="35"/>
      <c r="AW62" s="35">
        <v>0</v>
      </c>
      <c r="AX62" s="35"/>
      <c r="AY62" s="35">
        <f t="shared" si="13"/>
        <v>0</v>
      </c>
      <c r="AZ62" s="35"/>
      <c r="BA62" s="35" t="s">
        <v>83</v>
      </c>
      <c r="BB62" s="55"/>
      <c r="BC62" s="35" t="s">
        <v>66</v>
      </c>
      <c r="BD62" s="35"/>
      <c r="BE62" s="35">
        <v>0</v>
      </c>
      <c r="BF62" s="35"/>
      <c r="BG62" s="35">
        <v>0</v>
      </c>
      <c r="BH62" s="35"/>
      <c r="BI62" s="35">
        <v>0</v>
      </c>
      <c r="BJ62" s="35"/>
      <c r="BK62" s="35">
        <v>0</v>
      </c>
      <c r="BL62" s="35"/>
      <c r="BM62" s="35">
        <f t="shared" si="10"/>
        <v>0</v>
      </c>
      <c r="BN62" s="54" t="s">
        <v>347</v>
      </c>
    </row>
    <row r="63" spans="1:67" ht="12.75" hidden="1" customHeight="1">
      <c r="A63" s="35" t="s">
        <v>84</v>
      </c>
      <c r="C63" s="35" t="s">
        <v>45</v>
      </c>
      <c r="D63" s="35"/>
      <c r="E63" s="35">
        <f t="shared" si="0"/>
        <v>0</v>
      </c>
      <c r="F63" s="35"/>
      <c r="G63" s="35"/>
      <c r="H63" s="35"/>
      <c r="I63" s="35"/>
      <c r="J63" s="35"/>
      <c r="K63" s="35">
        <f t="shared" si="1"/>
        <v>0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>
        <f t="shared" si="11"/>
        <v>0</v>
      </c>
      <c r="X63" s="35"/>
      <c r="Y63" s="35" t="s">
        <v>84</v>
      </c>
      <c r="Z63" s="55"/>
      <c r="AA63" s="35" t="s">
        <v>45</v>
      </c>
      <c r="AB63" s="35"/>
      <c r="AC63" s="35"/>
      <c r="AD63" s="35"/>
      <c r="AE63" s="35"/>
      <c r="AF63" s="35"/>
      <c r="AG63" s="35"/>
      <c r="AH63" s="35"/>
      <c r="AI63" s="45">
        <f t="shared" si="14"/>
        <v>0</v>
      </c>
      <c r="AJ63" s="45"/>
      <c r="AK63" s="35"/>
      <c r="AL63" s="35"/>
      <c r="AM63" s="35"/>
      <c r="AN63" s="35"/>
      <c r="AO63" s="35"/>
      <c r="AP63" s="35"/>
      <c r="AQ63" s="35"/>
      <c r="AR63" s="35"/>
      <c r="AS63" s="45">
        <f t="shared" si="12"/>
        <v>0</v>
      </c>
      <c r="AT63" s="45"/>
      <c r="AU63" s="35">
        <v>0</v>
      </c>
      <c r="AV63" s="35"/>
      <c r="AW63" s="35">
        <v>0</v>
      </c>
      <c r="AX63" s="35"/>
      <c r="AY63" s="35">
        <f t="shared" si="13"/>
        <v>0</v>
      </c>
      <c r="AZ63" s="35"/>
      <c r="BA63" s="35" t="s">
        <v>84</v>
      </c>
      <c r="BB63" s="55"/>
      <c r="BC63" s="35" t="s">
        <v>45</v>
      </c>
      <c r="BD63" s="35"/>
      <c r="BE63" s="35"/>
      <c r="BF63" s="35"/>
      <c r="BG63" s="35"/>
      <c r="BH63" s="35"/>
      <c r="BI63" s="35"/>
      <c r="BJ63" s="35"/>
      <c r="BK63" s="35"/>
      <c r="BL63" s="35"/>
      <c r="BM63" s="35">
        <f t="shared" si="10"/>
        <v>0</v>
      </c>
      <c r="BN63" s="54" t="s">
        <v>347</v>
      </c>
      <c r="BO63" s="55" t="s">
        <v>371</v>
      </c>
    </row>
    <row r="64" spans="1:67" ht="12.75" hidden="1" customHeight="1">
      <c r="A64" s="35" t="s">
        <v>85</v>
      </c>
      <c r="C64" s="35" t="s">
        <v>85</v>
      </c>
      <c r="D64" s="35"/>
      <c r="E64" s="35">
        <f t="shared" si="0"/>
        <v>0</v>
      </c>
      <c r="F64" s="35"/>
      <c r="G64" s="35">
        <v>0</v>
      </c>
      <c r="H64" s="35"/>
      <c r="I64" s="35">
        <v>0</v>
      </c>
      <c r="J64" s="35"/>
      <c r="K64" s="35">
        <f t="shared" si="1"/>
        <v>0</v>
      </c>
      <c r="L64" s="35"/>
      <c r="M64" s="35">
        <v>0</v>
      </c>
      <c r="N64" s="35"/>
      <c r="O64" s="35">
        <v>0</v>
      </c>
      <c r="P64" s="35"/>
      <c r="Q64" s="35">
        <v>0</v>
      </c>
      <c r="R64" s="35"/>
      <c r="S64" s="35">
        <v>0</v>
      </c>
      <c r="T64" s="35"/>
      <c r="U64" s="35">
        <v>0</v>
      </c>
      <c r="V64" s="35"/>
      <c r="W64" s="35">
        <f t="shared" si="11"/>
        <v>0</v>
      </c>
      <c r="X64" s="35"/>
      <c r="Y64" s="35" t="s">
        <v>85</v>
      </c>
      <c r="Z64" s="55"/>
      <c r="AA64" s="35" t="s">
        <v>85</v>
      </c>
      <c r="AB64" s="35"/>
      <c r="AC64" s="35">
        <v>0</v>
      </c>
      <c r="AD64" s="35"/>
      <c r="AE64" s="35">
        <v>0</v>
      </c>
      <c r="AF64" s="35"/>
      <c r="AG64" s="35">
        <v>0</v>
      </c>
      <c r="AH64" s="35"/>
      <c r="AI64" s="45">
        <f t="shared" si="14"/>
        <v>0</v>
      </c>
      <c r="AJ64" s="45"/>
      <c r="AK64" s="35">
        <v>0</v>
      </c>
      <c r="AL64" s="35"/>
      <c r="AM64" s="35">
        <v>0</v>
      </c>
      <c r="AN64" s="35"/>
      <c r="AO64" s="35">
        <v>0</v>
      </c>
      <c r="AP64" s="35"/>
      <c r="AQ64" s="35">
        <v>0</v>
      </c>
      <c r="AR64" s="35"/>
      <c r="AS64" s="45">
        <f t="shared" si="12"/>
        <v>0</v>
      </c>
      <c r="AT64" s="45"/>
      <c r="AU64" s="35">
        <v>0</v>
      </c>
      <c r="AV64" s="35"/>
      <c r="AW64" s="35">
        <v>0</v>
      </c>
      <c r="AX64" s="35"/>
      <c r="AY64" s="35">
        <f t="shared" si="13"/>
        <v>0</v>
      </c>
      <c r="AZ64" s="35"/>
      <c r="BA64" s="35" t="s">
        <v>85</v>
      </c>
      <c r="BB64" s="55"/>
      <c r="BC64" s="35" t="s">
        <v>85</v>
      </c>
      <c r="BD64" s="35"/>
      <c r="BE64" s="35">
        <v>0</v>
      </c>
      <c r="BF64" s="35"/>
      <c r="BG64" s="35">
        <v>0</v>
      </c>
      <c r="BH64" s="35"/>
      <c r="BI64" s="35">
        <v>0</v>
      </c>
      <c r="BJ64" s="35"/>
      <c r="BK64" s="35">
        <v>0</v>
      </c>
      <c r="BL64" s="35"/>
      <c r="BM64" s="35">
        <f t="shared" si="10"/>
        <v>0</v>
      </c>
      <c r="BN64" s="54" t="s">
        <v>347</v>
      </c>
    </row>
    <row r="65" spans="1:67" ht="12.75" hidden="1" customHeight="1">
      <c r="A65" s="35" t="s">
        <v>86</v>
      </c>
      <c r="C65" s="35" t="s">
        <v>86</v>
      </c>
      <c r="D65" s="35"/>
      <c r="E65" s="35">
        <f t="shared" si="0"/>
        <v>0</v>
      </c>
      <c r="F65" s="35"/>
      <c r="G65" s="35">
        <v>0</v>
      </c>
      <c r="H65" s="35"/>
      <c r="I65" s="35">
        <v>0</v>
      </c>
      <c r="J65" s="35"/>
      <c r="K65" s="35">
        <f t="shared" si="1"/>
        <v>0</v>
      </c>
      <c r="L65" s="35"/>
      <c r="M65" s="35">
        <v>0</v>
      </c>
      <c r="N65" s="35"/>
      <c r="O65" s="35">
        <v>0</v>
      </c>
      <c r="P65" s="35"/>
      <c r="Q65" s="35">
        <v>0</v>
      </c>
      <c r="R65" s="35"/>
      <c r="S65" s="35">
        <v>0</v>
      </c>
      <c r="T65" s="35"/>
      <c r="U65" s="35">
        <v>0</v>
      </c>
      <c r="V65" s="35"/>
      <c r="W65" s="35">
        <f t="shared" si="11"/>
        <v>0</v>
      </c>
      <c r="X65" s="35"/>
      <c r="Y65" s="35" t="s">
        <v>86</v>
      </c>
      <c r="Z65" s="55"/>
      <c r="AA65" s="35" t="s">
        <v>86</v>
      </c>
      <c r="AB65" s="35"/>
      <c r="AC65" s="35">
        <v>0</v>
      </c>
      <c r="AD65" s="35"/>
      <c r="AE65" s="35">
        <v>0</v>
      </c>
      <c r="AF65" s="35"/>
      <c r="AG65" s="35">
        <v>0</v>
      </c>
      <c r="AH65" s="35"/>
      <c r="AI65" s="45">
        <v>0</v>
      </c>
      <c r="AJ65" s="45"/>
      <c r="AK65" s="35">
        <v>0</v>
      </c>
      <c r="AL65" s="35"/>
      <c r="AM65" s="35">
        <v>0</v>
      </c>
      <c r="AN65" s="35"/>
      <c r="AO65" s="35">
        <v>0</v>
      </c>
      <c r="AP65" s="35"/>
      <c r="AQ65" s="35">
        <v>0</v>
      </c>
      <c r="AR65" s="35"/>
      <c r="AS65" s="45">
        <f t="shared" si="12"/>
        <v>0</v>
      </c>
      <c r="AT65" s="45"/>
      <c r="AU65" s="35">
        <v>0</v>
      </c>
      <c r="AV65" s="35"/>
      <c r="AW65" s="35">
        <v>0</v>
      </c>
      <c r="AX65" s="35"/>
      <c r="AY65" s="35">
        <f t="shared" si="13"/>
        <v>0</v>
      </c>
      <c r="AZ65" s="35"/>
      <c r="BA65" s="35" t="s">
        <v>86</v>
      </c>
      <c r="BB65" s="55"/>
      <c r="BC65" s="35" t="s">
        <v>86</v>
      </c>
      <c r="BD65" s="35"/>
      <c r="BE65" s="35">
        <v>0</v>
      </c>
      <c r="BF65" s="35"/>
      <c r="BG65" s="35">
        <v>0</v>
      </c>
      <c r="BH65" s="35"/>
      <c r="BI65" s="35">
        <v>0</v>
      </c>
      <c r="BJ65" s="35"/>
      <c r="BK65" s="35">
        <v>0</v>
      </c>
      <c r="BL65" s="35"/>
      <c r="BM65" s="35">
        <f t="shared" ref="BM65:BM97" si="15">SUM(BE65:BK65)</f>
        <v>0</v>
      </c>
      <c r="BN65" s="54" t="s">
        <v>347</v>
      </c>
    </row>
    <row r="66" spans="1:67" s="90" customFormat="1" ht="12.75" hidden="1" customHeight="1">
      <c r="A66" s="64" t="s">
        <v>87</v>
      </c>
      <c r="C66" s="64" t="s">
        <v>88</v>
      </c>
      <c r="D66" s="64"/>
      <c r="E66" s="64">
        <f t="shared" si="0"/>
        <v>0</v>
      </c>
      <c r="F66" s="64"/>
      <c r="G66" s="64"/>
      <c r="H66" s="64"/>
      <c r="I66" s="64"/>
      <c r="J66" s="64"/>
      <c r="K66" s="64">
        <f t="shared" si="1"/>
        <v>0</v>
      </c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>
        <f t="shared" si="11"/>
        <v>0</v>
      </c>
      <c r="X66" s="64"/>
      <c r="Y66" s="64" t="s">
        <v>87</v>
      </c>
      <c r="AA66" s="64" t="s">
        <v>88</v>
      </c>
      <c r="AB66" s="64"/>
      <c r="AC66" s="64"/>
      <c r="AD66" s="64"/>
      <c r="AE66" s="64"/>
      <c r="AF66" s="64"/>
      <c r="AG66" s="64"/>
      <c r="AH66" s="64"/>
      <c r="AI66" s="94">
        <f t="shared" ref="AI66:AI76" si="16">+AC66-AE66-AG66</f>
        <v>0</v>
      </c>
      <c r="AJ66" s="94"/>
      <c r="AK66" s="64"/>
      <c r="AL66" s="64"/>
      <c r="AM66" s="64"/>
      <c r="AN66" s="64"/>
      <c r="AO66" s="64"/>
      <c r="AP66" s="64"/>
      <c r="AQ66" s="64"/>
      <c r="AR66" s="64"/>
      <c r="AS66" s="94">
        <f t="shared" si="12"/>
        <v>0</v>
      </c>
      <c r="AT66" s="94"/>
      <c r="AU66" s="64">
        <v>0</v>
      </c>
      <c r="AV66" s="64"/>
      <c r="AW66" s="64">
        <v>0</v>
      </c>
      <c r="AX66" s="64"/>
      <c r="AY66" s="64">
        <f t="shared" si="13"/>
        <v>0</v>
      </c>
      <c r="AZ66" s="64"/>
      <c r="BA66" s="64" t="s">
        <v>87</v>
      </c>
      <c r="BC66" s="64" t="s">
        <v>88</v>
      </c>
      <c r="BD66" s="64"/>
      <c r="BE66" s="64"/>
      <c r="BF66" s="64"/>
      <c r="BG66" s="64"/>
      <c r="BH66" s="64"/>
      <c r="BI66" s="64"/>
      <c r="BJ66" s="64"/>
      <c r="BK66" s="64"/>
      <c r="BL66" s="64"/>
      <c r="BM66" s="64">
        <f t="shared" si="15"/>
        <v>0</v>
      </c>
      <c r="BN66" s="91" t="s">
        <v>347</v>
      </c>
    </row>
    <row r="67" spans="1:67" ht="12.75" customHeight="1">
      <c r="A67" s="35" t="s">
        <v>394</v>
      </c>
      <c r="C67" s="35" t="s">
        <v>89</v>
      </c>
      <c r="D67" s="35"/>
      <c r="E67" s="35">
        <f t="shared" si="0"/>
        <v>5728173</v>
      </c>
      <c r="F67" s="35"/>
      <c r="G67" s="35">
        <v>30123255</v>
      </c>
      <c r="H67" s="35"/>
      <c r="I67" s="35">
        <v>35851428</v>
      </c>
      <c r="J67" s="35"/>
      <c r="K67" s="35">
        <f t="shared" si="1"/>
        <v>4862879</v>
      </c>
      <c r="L67" s="35"/>
      <c r="M67" s="35">
        <v>16203131</v>
      </c>
      <c r="N67" s="35"/>
      <c r="O67" s="35">
        <v>21066010</v>
      </c>
      <c r="P67" s="35"/>
      <c r="Q67" s="35">
        <v>6021504</v>
      </c>
      <c r="R67" s="35"/>
      <c r="S67" s="35">
        <f>1048087+2196016</f>
        <v>3244103</v>
      </c>
      <c r="T67" s="35"/>
      <c r="U67" s="35">
        <v>5519811</v>
      </c>
      <c r="V67" s="35"/>
      <c r="W67" s="35">
        <f t="shared" si="11"/>
        <v>14785418</v>
      </c>
      <c r="X67" s="35"/>
      <c r="Y67" s="35" t="s">
        <v>394</v>
      </c>
      <c r="Z67" s="55"/>
      <c r="AA67" s="35" t="s">
        <v>89</v>
      </c>
      <c r="AB67" s="35"/>
      <c r="AC67" s="35">
        <v>20344518</v>
      </c>
      <c r="AD67" s="35"/>
      <c r="AE67" s="35">
        <f>20433230-672084</f>
        <v>19761146</v>
      </c>
      <c r="AF67" s="35"/>
      <c r="AG67" s="35">
        <v>672084</v>
      </c>
      <c r="AH67" s="35"/>
      <c r="AI67" s="45">
        <f t="shared" si="16"/>
        <v>-88712</v>
      </c>
      <c r="AJ67" s="45"/>
      <c r="AK67" s="35">
        <v>-553773</v>
      </c>
      <c r="AL67" s="35"/>
      <c r="AM67" s="35">
        <v>0</v>
      </c>
      <c r="AN67" s="35"/>
      <c r="AO67" s="35">
        <v>0</v>
      </c>
      <c r="AP67" s="35"/>
      <c r="AQ67" s="35">
        <v>0</v>
      </c>
      <c r="AR67" s="35"/>
      <c r="AS67" s="45">
        <f t="shared" si="12"/>
        <v>-642485</v>
      </c>
      <c r="AT67" s="45"/>
      <c r="AU67" s="35">
        <v>0</v>
      </c>
      <c r="AV67" s="35"/>
      <c r="AW67" s="35">
        <v>0</v>
      </c>
      <c r="AX67" s="35"/>
      <c r="AY67" s="35">
        <f t="shared" si="13"/>
        <v>865294</v>
      </c>
      <c r="AZ67" s="35"/>
      <c r="BA67" s="35" t="s">
        <v>394</v>
      </c>
      <c r="BB67" s="55"/>
      <c r="BC67" s="35" t="s">
        <v>89</v>
      </c>
      <c r="BD67" s="35"/>
      <c r="BE67" s="35">
        <v>0</v>
      </c>
      <c r="BF67" s="35"/>
      <c r="BG67" s="35">
        <v>8323518</v>
      </c>
      <c r="BH67" s="35"/>
      <c r="BI67" s="35">
        <v>0</v>
      </c>
      <c r="BJ67" s="35"/>
      <c r="BK67" s="35">
        <f>79613+7800000</f>
        <v>7879613</v>
      </c>
      <c r="BL67" s="35"/>
      <c r="BM67" s="35">
        <f t="shared" si="15"/>
        <v>16203131</v>
      </c>
      <c r="BN67" s="54" t="s">
        <v>347</v>
      </c>
      <c r="BO67" s="55" t="s">
        <v>315</v>
      </c>
    </row>
    <row r="68" spans="1:67" ht="12.75" hidden="1" customHeight="1">
      <c r="A68" s="35" t="s">
        <v>90</v>
      </c>
      <c r="C68" s="35" t="s">
        <v>43</v>
      </c>
      <c r="D68" s="35"/>
      <c r="E68" s="35">
        <f t="shared" si="0"/>
        <v>0</v>
      </c>
      <c r="F68" s="35"/>
      <c r="G68" s="35">
        <v>0</v>
      </c>
      <c r="H68" s="35"/>
      <c r="I68" s="35">
        <v>0</v>
      </c>
      <c r="J68" s="35"/>
      <c r="K68" s="35">
        <f t="shared" si="1"/>
        <v>0</v>
      </c>
      <c r="L68" s="35"/>
      <c r="M68" s="35">
        <v>0</v>
      </c>
      <c r="N68" s="35"/>
      <c r="O68" s="35">
        <v>0</v>
      </c>
      <c r="P68" s="35"/>
      <c r="Q68" s="35">
        <v>0</v>
      </c>
      <c r="R68" s="35"/>
      <c r="S68" s="35">
        <v>0</v>
      </c>
      <c r="T68" s="35"/>
      <c r="U68" s="35">
        <v>0</v>
      </c>
      <c r="V68" s="35"/>
      <c r="W68" s="35">
        <f t="shared" si="11"/>
        <v>0</v>
      </c>
      <c r="X68" s="35"/>
      <c r="Y68" s="35" t="s">
        <v>90</v>
      </c>
      <c r="Z68" s="55"/>
      <c r="AA68" s="35" t="s">
        <v>43</v>
      </c>
      <c r="AB68" s="35"/>
      <c r="AC68" s="35">
        <v>0</v>
      </c>
      <c r="AD68" s="35"/>
      <c r="AE68" s="35">
        <v>0</v>
      </c>
      <c r="AF68" s="35"/>
      <c r="AG68" s="35">
        <v>0</v>
      </c>
      <c r="AH68" s="35"/>
      <c r="AI68" s="45">
        <f t="shared" si="16"/>
        <v>0</v>
      </c>
      <c r="AJ68" s="45"/>
      <c r="AK68" s="35">
        <v>0</v>
      </c>
      <c r="AL68" s="35"/>
      <c r="AM68" s="35">
        <v>0</v>
      </c>
      <c r="AN68" s="35"/>
      <c r="AO68" s="35">
        <v>0</v>
      </c>
      <c r="AP68" s="35"/>
      <c r="AQ68" s="35">
        <v>0</v>
      </c>
      <c r="AR68" s="35"/>
      <c r="AS68" s="45">
        <f t="shared" si="12"/>
        <v>0</v>
      </c>
      <c r="AT68" s="45"/>
      <c r="AU68" s="35">
        <v>0</v>
      </c>
      <c r="AV68" s="35"/>
      <c r="AW68" s="35">
        <v>0</v>
      </c>
      <c r="AX68" s="35"/>
      <c r="AY68" s="35">
        <f t="shared" si="13"/>
        <v>0</v>
      </c>
      <c r="AZ68" s="35"/>
      <c r="BA68" s="35" t="s">
        <v>90</v>
      </c>
      <c r="BB68" s="55"/>
      <c r="BC68" s="35" t="s">
        <v>43</v>
      </c>
      <c r="BD68" s="35"/>
      <c r="BE68" s="35">
        <v>0</v>
      </c>
      <c r="BF68" s="35"/>
      <c r="BG68" s="35">
        <v>0</v>
      </c>
      <c r="BH68" s="35"/>
      <c r="BI68" s="35">
        <v>0</v>
      </c>
      <c r="BJ68" s="35"/>
      <c r="BK68" s="35">
        <v>0</v>
      </c>
      <c r="BL68" s="35"/>
      <c r="BM68" s="35">
        <f t="shared" si="15"/>
        <v>0</v>
      </c>
      <c r="BN68" s="54" t="s">
        <v>347</v>
      </c>
    </row>
    <row r="69" spans="1:67" ht="12.75" hidden="1" customHeight="1">
      <c r="A69" s="35" t="s">
        <v>93</v>
      </c>
      <c r="C69" s="35" t="s">
        <v>94</v>
      </c>
      <c r="D69" s="35"/>
      <c r="E69" s="35">
        <f t="shared" si="0"/>
        <v>0</v>
      </c>
      <c r="F69" s="35"/>
      <c r="G69" s="35"/>
      <c r="H69" s="35"/>
      <c r="I69" s="35"/>
      <c r="J69" s="35"/>
      <c r="K69" s="35">
        <f t="shared" si="1"/>
        <v>0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>
        <f t="shared" si="11"/>
        <v>0</v>
      </c>
      <c r="X69" s="35"/>
      <c r="Y69" s="35" t="s">
        <v>93</v>
      </c>
      <c r="Z69" s="55"/>
      <c r="AA69" s="35" t="s">
        <v>94</v>
      </c>
      <c r="AB69" s="35"/>
      <c r="AC69" s="35"/>
      <c r="AD69" s="35"/>
      <c r="AE69" s="35"/>
      <c r="AF69" s="35"/>
      <c r="AG69" s="35"/>
      <c r="AH69" s="35"/>
      <c r="AI69" s="45">
        <f t="shared" si="16"/>
        <v>0</v>
      </c>
      <c r="AJ69" s="45"/>
      <c r="AK69" s="35"/>
      <c r="AL69" s="35"/>
      <c r="AM69" s="35"/>
      <c r="AN69" s="35"/>
      <c r="AO69" s="35"/>
      <c r="AP69" s="35"/>
      <c r="AQ69" s="35"/>
      <c r="AR69" s="35"/>
      <c r="AS69" s="45">
        <f t="shared" si="12"/>
        <v>0</v>
      </c>
      <c r="AT69" s="45"/>
      <c r="AU69" s="35">
        <v>0</v>
      </c>
      <c r="AV69" s="35"/>
      <c r="AW69" s="35">
        <v>0</v>
      </c>
      <c r="AX69" s="35"/>
      <c r="AY69" s="35">
        <f t="shared" si="13"/>
        <v>0</v>
      </c>
      <c r="AZ69" s="35"/>
      <c r="BA69" s="35" t="s">
        <v>93</v>
      </c>
      <c r="BB69" s="55"/>
      <c r="BC69" s="35" t="s">
        <v>94</v>
      </c>
      <c r="BD69" s="35"/>
      <c r="BE69" s="35"/>
      <c r="BF69" s="35"/>
      <c r="BG69" s="35"/>
      <c r="BH69" s="35"/>
      <c r="BI69" s="35"/>
      <c r="BJ69" s="35"/>
      <c r="BK69" s="35"/>
      <c r="BL69" s="35"/>
      <c r="BM69" s="35">
        <f t="shared" si="15"/>
        <v>0</v>
      </c>
      <c r="BN69" s="54" t="s">
        <v>347</v>
      </c>
    </row>
    <row r="70" spans="1:67" ht="12.75" hidden="1" customHeight="1">
      <c r="A70" s="35" t="s">
        <v>95</v>
      </c>
      <c r="C70" s="35" t="s">
        <v>94</v>
      </c>
      <c r="D70" s="35"/>
      <c r="E70" s="35">
        <f t="shared" si="0"/>
        <v>0</v>
      </c>
      <c r="F70" s="35"/>
      <c r="G70" s="35">
        <v>0</v>
      </c>
      <c r="H70" s="35"/>
      <c r="I70" s="35">
        <v>0</v>
      </c>
      <c r="J70" s="35"/>
      <c r="K70" s="35">
        <f t="shared" si="1"/>
        <v>0</v>
      </c>
      <c r="L70" s="35"/>
      <c r="M70" s="35">
        <v>0</v>
      </c>
      <c r="N70" s="35"/>
      <c r="O70" s="35">
        <v>0</v>
      </c>
      <c r="P70" s="35"/>
      <c r="Q70" s="35">
        <v>0</v>
      </c>
      <c r="R70" s="35"/>
      <c r="S70" s="35">
        <v>0</v>
      </c>
      <c r="T70" s="35"/>
      <c r="U70" s="35">
        <v>0</v>
      </c>
      <c r="V70" s="35"/>
      <c r="W70" s="35">
        <f t="shared" si="11"/>
        <v>0</v>
      </c>
      <c r="X70" s="35"/>
      <c r="Y70" s="35" t="s">
        <v>95</v>
      </c>
      <c r="Z70" s="55"/>
      <c r="AA70" s="35" t="s">
        <v>94</v>
      </c>
      <c r="AB70" s="35"/>
      <c r="AC70" s="35">
        <v>0</v>
      </c>
      <c r="AD70" s="35"/>
      <c r="AE70" s="35">
        <v>0</v>
      </c>
      <c r="AF70" s="35"/>
      <c r="AG70" s="35">
        <v>0</v>
      </c>
      <c r="AH70" s="35"/>
      <c r="AI70" s="45">
        <f t="shared" si="16"/>
        <v>0</v>
      </c>
      <c r="AJ70" s="45"/>
      <c r="AK70" s="35">
        <v>0</v>
      </c>
      <c r="AL70" s="35"/>
      <c r="AM70" s="35">
        <v>0</v>
      </c>
      <c r="AN70" s="35"/>
      <c r="AO70" s="35">
        <v>0</v>
      </c>
      <c r="AP70" s="35"/>
      <c r="AQ70" s="35">
        <v>0</v>
      </c>
      <c r="AR70" s="35"/>
      <c r="AS70" s="45">
        <f t="shared" ref="AS70:AS102" si="17">+AI70+AK70+AM70-AO70+AQ70</f>
        <v>0</v>
      </c>
      <c r="AT70" s="45"/>
      <c r="AU70" s="35">
        <v>0</v>
      </c>
      <c r="AV70" s="35"/>
      <c r="AW70" s="35">
        <v>0</v>
      </c>
      <c r="AX70" s="35"/>
      <c r="AY70" s="35">
        <f t="shared" si="13"/>
        <v>0</v>
      </c>
      <c r="AZ70" s="35"/>
      <c r="BA70" s="35" t="s">
        <v>95</v>
      </c>
      <c r="BB70" s="55"/>
      <c r="BC70" s="35" t="s">
        <v>94</v>
      </c>
      <c r="BD70" s="35"/>
      <c r="BE70" s="35">
        <v>0</v>
      </c>
      <c r="BF70" s="35"/>
      <c r="BG70" s="35">
        <v>0</v>
      </c>
      <c r="BH70" s="35"/>
      <c r="BI70" s="35">
        <v>0</v>
      </c>
      <c r="BJ70" s="35"/>
      <c r="BK70" s="35">
        <v>0</v>
      </c>
      <c r="BL70" s="35"/>
      <c r="BM70" s="35">
        <f t="shared" si="15"/>
        <v>0</v>
      </c>
      <c r="BN70" s="54" t="s">
        <v>347</v>
      </c>
    </row>
    <row r="71" spans="1:67" ht="12.75" hidden="1" customHeight="1">
      <c r="A71" s="35" t="s">
        <v>91</v>
      </c>
      <c r="C71" s="35" t="s">
        <v>92</v>
      </c>
      <c r="D71" s="35"/>
      <c r="E71" s="35">
        <f t="shared" si="0"/>
        <v>0</v>
      </c>
      <c r="F71" s="35"/>
      <c r="G71" s="35">
        <v>0</v>
      </c>
      <c r="H71" s="35"/>
      <c r="I71" s="35">
        <v>0</v>
      </c>
      <c r="J71" s="35"/>
      <c r="K71" s="35">
        <f t="shared" si="1"/>
        <v>0</v>
      </c>
      <c r="L71" s="35"/>
      <c r="M71" s="35">
        <v>0</v>
      </c>
      <c r="N71" s="35"/>
      <c r="O71" s="35">
        <v>0</v>
      </c>
      <c r="P71" s="35"/>
      <c r="Q71" s="35">
        <v>0</v>
      </c>
      <c r="R71" s="35"/>
      <c r="S71" s="35">
        <v>0</v>
      </c>
      <c r="T71" s="35"/>
      <c r="U71" s="35">
        <v>0</v>
      </c>
      <c r="V71" s="35"/>
      <c r="W71" s="35">
        <f t="shared" si="11"/>
        <v>0</v>
      </c>
      <c r="X71" s="35"/>
      <c r="Y71" s="35" t="s">
        <v>91</v>
      </c>
      <c r="Z71" s="55"/>
      <c r="AA71" s="35" t="s">
        <v>92</v>
      </c>
      <c r="AB71" s="35"/>
      <c r="AC71" s="35">
        <v>0</v>
      </c>
      <c r="AD71" s="35"/>
      <c r="AE71" s="35">
        <v>0</v>
      </c>
      <c r="AF71" s="35"/>
      <c r="AG71" s="35">
        <v>0</v>
      </c>
      <c r="AH71" s="35"/>
      <c r="AI71" s="45">
        <f t="shared" si="16"/>
        <v>0</v>
      </c>
      <c r="AJ71" s="45"/>
      <c r="AK71" s="35">
        <v>0</v>
      </c>
      <c r="AL71" s="35"/>
      <c r="AM71" s="35">
        <v>0</v>
      </c>
      <c r="AN71" s="35"/>
      <c r="AO71" s="35">
        <v>0</v>
      </c>
      <c r="AP71" s="35"/>
      <c r="AQ71" s="35">
        <v>0</v>
      </c>
      <c r="AR71" s="35"/>
      <c r="AS71" s="45">
        <f t="shared" si="17"/>
        <v>0</v>
      </c>
      <c r="AT71" s="45"/>
      <c r="AU71" s="35">
        <v>0</v>
      </c>
      <c r="AV71" s="35"/>
      <c r="AW71" s="35">
        <v>0</v>
      </c>
      <c r="AX71" s="35"/>
      <c r="AY71" s="35">
        <f t="shared" si="13"/>
        <v>0</v>
      </c>
      <c r="AZ71" s="35"/>
      <c r="BA71" s="35" t="s">
        <v>91</v>
      </c>
      <c r="BB71" s="55"/>
      <c r="BC71" s="35" t="s">
        <v>92</v>
      </c>
      <c r="BD71" s="35"/>
      <c r="BE71" s="35">
        <v>0</v>
      </c>
      <c r="BF71" s="35"/>
      <c r="BG71" s="35">
        <v>0</v>
      </c>
      <c r="BH71" s="35"/>
      <c r="BI71" s="35">
        <v>0</v>
      </c>
      <c r="BJ71" s="35"/>
      <c r="BK71" s="35">
        <v>0</v>
      </c>
      <c r="BL71" s="35"/>
      <c r="BM71" s="35">
        <f t="shared" si="15"/>
        <v>0</v>
      </c>
      <c r="BN71" s="54" t="s">
        <v>347</v>
      </c>
    </row>
    <row r="72" spans="1:67" ht="12.75" hidden="1" customHeight="1">
      <c r="A72" s="35" t="s">
        <v>96</v>
      </c>
      <c r="C72" s="35" t="s">
        <v>97</v>
      </c>
      <c r="D72" s="35"/>
      <c r="E72" s="35">
        <f t="shared" si="0"/>
        <v>0</v>
      </c>
      <c r="F72" s="35"/>
      <c r="G72" s="35">
        <v>0</v>
      </c>
      <c r="H72" s="35"/>
      <c r="I72" s="35">
        <v>0</v>
      </c>
      <c r="J72" s="35"/>
      <c r="K72" s="35">
        <f t="shared" si="1"/>
        <v>0</v>
      </c>
      <c r="L72" s="35"/>
      <c r="M72" s="35">
        <v>0</v>
      </c>
      <c r="N72" s="35"/>
      <c r="O72" s="35">
        <v>0</v>
      </c>
      <c r="P72" s="35"/>
      <c r="Q72" s="35">
        <v>0</v>
      </c>
      <c r="R72" s="35"/>
      <c r="S72" s="35">
        <v>0</v>
      </c>
      <c r="T72" s="35"/>
      <c r="U72" s="35">
        <v>0</v>
      </c>
      <c r="V72" s="35"/>
      <c r="W72" s="35">
        <f t="shared" si="11"/>
        <v>0</v>
      </c>
      <c r="X72" s="35"/>
      <c r="Y72" s="35" t="s">
        <v>96</v>
      </c>
      <c r="Z72" s="55"/>
      <c r="AA72" s="35" t="s">
        <v>97</v>
      </c>
      <c r="AB72" s="35"/>
      <c r="AC72" s="35">
        <v>0</v>
      </c>
      <c r="AD72" s="35"/>
      <c r="AE72" s="35">
        <v>0</v>
      </c>
      <c r="AF72" s="35"/>
      <c r="AG72" s="35">
        <v>0</v>
      </c>
      <c r="AH72" s="35"/>
      <c r="AI72" s="45">
        <f t="shared" si="16"/>
        <v>0</v>
      </c>
      <c r="AJ72" s="45"/>
      <c r="AK72" s="35">
        <v>0</v>
      </c>
      <c r="AL72" s="35"/>
      <c r="AM72" s="35">
        <v>0</v>
      </c>
      <c r="AN72" s="35"/>
      <c r="AO72" s="35">
        <v>0</v>
      </c>
      <c r="AP72" s="35"/>
      <c r="AQ72" s="35">
        <v>0</v>
      </c>
      <c r="AR72" s="35"/>
      <c r="AS72" s="45">
        <f t="shared" si="17"/>
        <v>0</v>
      </c>
      <c r="AT72" s="45"/>
      <c r="AU72" s="35">
        <v>0</v>
      </c>
      <c r="AV72" s="35"/>
      <c r="AW72" s="35">
        <v>0</v>
      </c>
      <c r="AX72" s="35"/>
      <c r="AY72" s="35">
        <f t="shared" si="13"/>
        <v>0</v>
      </c>
      <c r="AZ72" s="35"/>
      <c r="BA72" s="35" t="s">
        <v>96</v>
      </c>
      <c r="BB72" s="55"/>
      <c r="BC72" s="35" t="s">
        <v>97</v>
      </c>
      <c r="BD72" s="35"/>
      <c r="BE72" s="35">
        <v>0</v>
      </c>
      <c r="BF72" s="35"/>
      <c r="BG72" s="35">
        <v>0</v>
      </c>
      <c r="BH72" s="35"/>
      <c r="BI72" s="35">
        <v>0</v>
      </c>
      <c r="BJ72" s="35"/>
      <c r="BK72" s="35">
        <v>0</v>
      </c>
      <c r="BL72" s="35"/>
      <c r="BM72" s="35">
        <f t="shared" si="15"/>
        <v>0</v>
      </c>
      <c r="BN72" s="54" t="s">
        <v>347</v>
      </c>
    </row>
    <row r="73" spans="1:67" ht="12.75" hidden="1" customHeight="1">
      <c r="A73" s="35" t="s">
        <v>98</v>
      </c>
      <c r="C73" s="35" t="s">
        <v>17</v>
      </c>
      <c r="D73" s="35"/>
      <c r="E73" s="35">
        <f t="shared" si="0"/>
        <v>0</v>
      </c>
      <c r="F73" s="35"/>
      <c r="G73" s="35">
        <v>0</v>
      </c>
      <c r="H73" s="35"/>
      <c r="I73" s="35">
        <v>0</v>
      </c>
      <c r="J73" s="35"/>
      <c r="K73" s="35">
        <f t="shared" si="1"/>
        <v>0</v>
      </c>
      <c r="L73" s="35"/>
      <c r="M73" s="35">
        <v>0</v>
      </c>
      <c r="N73" s="35"/>
      <c r="O73" s="35">
        <v>0</v>
      </c>
      <c r="P73" s="35"/>
      <c r="Q73" s="35">
        <v>0</v>
      </c>
      <c r="R73" s="35"/>
      <c r="S73" s="35">
        <v>0</v>
      </c>
      <c r="T73" s="35"/>
      <c r="U73" s="35">
        <v>0</v>
      </c>
      <c r="V73" s="35"/>
      <c r="W73" s="35">
        <v>0</v>
      </c>
      <c r="X73" s="35"/>
      <c r="Y73" s="35" t="s">
        <v>98</v>
      </c>
      <c r="Z73" s="55"/>
      <c r="AA73" s="35" t="s">
        <v>17</v>
      </c>
      <c r="AB73" s="35"/>
      <c r="AC73" s="35">
        <v>0</v>
      </c>
      <c r="AD73" s="35"/>
      <c r="AE73" s="35">
        <v>0</v>
      </c>
      <c r="AF73" s="35"/>
      <c r="AG73" s="35">
        <v>0</v>
      </c>
      <c r="AH73" s="35"/>
      <c r="AI73" s="45">
        <f t="shared" si="16"/>
        <v>0</v>
      </c>
      <c r="AJ73" s="45"/>
      <c r="AK73" s="35">
        <v>0</v>
      </c>
      <c r="AL73" s="35"/>
      <c r="AM73" s="35">
        <v>0</v>
      </c>
      <c r="AN73" s="35"/>
      <c r="AO73" s="35">
        <v>0</v>
      </c>
      <c r="AP73" s="35"/>
      <c r="AQ73" s="35">
        <v>0</v>
      </c>
      <c r="AR73" s="35"/>
      <c r="AS73" s="45">
        <f t="shared" si="17"/>
        <v>0</v>
      </c>
      <c r="AT73" s="45"/>
      <c r="AU73" s="35">
        <v>0</v>
      </c>
      <c r="AV73" s="35"/>
      <c r="AW73" s="35">
        <v>0</v>
      </c>
      <c r="AX73" s="35"/>
      <c r="AY73" s="35">
        <f t="shared" si="13"/>
        <v>0</v>
      </c>
      <c r="AZ73" s="35"/>
      <c r="BA73" s="35" t="s">
        <v>98</v>
      </c>
      <c r="BB73" s="55"/>
      <c r="BC73" s="35" t="s">
        <v>17</v>
      </c>
      <c r="BD73" s="35"/>
      <c r="BE73" s="35">
        <v>0</v>
      </c>
      <c r="BF73" s="35"/>
      <c r="BG73" s="35">
        <v>0</v>
      </c>
      <c r="BH73" s="35"/>
      <c r="BI73" s="35">
        <v>0</v>
      </c>
      <c r="BJ73" s="35"/>
      <c r="BK73" s="35">
        <v>0</v>
      </c>
      <c r="BL73" s="35"/>
      <c r="BM73" s="35">
        <f t="shared" si="15"/>
        <v>0</v>
      </c>
      <c r="BN73" s="54" t="s">
        <v>347</v>
      </c>
    </row>
    <row r="74" spans="1:67" ht="12.75" hidden="1" customHeight="1">
      <c r="A74" s="35" t="s">
        <v>99</v>
      </c>
      <c r="C74" s="35" t="s">
        <v>66</v>
      </c>
      <c r="D74" s="35"/>
      <c r="E74" s="35">
        <f t="shared" si="0"/>
        <v>0</v>
      </c>
      <c r="F74" s="35"/>
      <c r="G74" s="35">
        <v>0</v>
      </c>
      <c r="H74" s="35"/>
      <c r="I74" s="35">
        <v>0</v>
      </c>
      <c r="J74" s="35"/>
      <c r="K74" s="35">
        <f t="shared" si="1"/>
        <v>0</v>
      </c>
      <c r="L74" s="35"/>
      <c r="M74" s="35">
        <v>0</v>
      </c>
      <c r="N74" s="35"/>
      <c r="O74" s="35">
        <v>0</v>
      </c>
      <c r="P74" s="35"/>
      <c r="Q74" s="35">
        <v>0</v>
      </c>
      <c r="R74" s="35"/>
      <c r="S74" s="35">
        <v>0</v>
      </c>
      <c r="T74" s="35"/>
      <c r="U74" s="35">
        <v>0</v>
      </c>
      <c r="V74" s="35"/>
      <c r="W74" s="35">
        <f t="shared" ref="W74:W106" si="18">SUM(Q74:U74)</f>
        <v>0</v>
      </c>
      <c r="X74" s="35"/>
      <c r="Y74" s="35" t="s">
        <v>99</v>
      </c>
      <c r="Z74" s="55"/>
      <c r="AA74" s="35" t="s">
        <v>66</v>
      </c>
      <c r="AB74" s="35"/>
      <c r="AC74" s="35">
        <v>0</v>
      </c>
      <c r="AD74" s="35"/>
      <c r="AE74" s="35">
        <v>0</v>
      </c>
      <c r="AF74" s="35"/>
      <c r="AG74" s="35">
        <v>0</v>
      </c>
      <c r="AH74" s="35"/>
      <c r="AI74" s="45">
        <f t="shared" si="16"/>
        <v>0</v>
      </c>
      <c r="AJ74" s="45"/>
      <c r="AK74" s="35">
        <v>0</v>
      </c>
      <c r="AL74" s="35"/>
      <c r="AM74" s="35">
        <v>0</v>
      </c>
      <c r="AN74" s="35"/>
      <c r="AO74" s="35">
        <v>0</v>
      </c>
      <c r="AP74" s="35"/>
      <c r="AQ74" s="35">
        <v>0</v>
      </c>
      <c r="AR74" s="35"/>
      <c r="AS74" s="45">
        <f t="shared" si="17"/>
        <v>0</v>
      </c>
      <c r="AT74" s="45"/>
      <c r="AU74" s="35">
        <v>0</v>
      </c>
      <c r="AV74" s="35"/>
      <c r="AW74" s="35">
        <v>0</v>
      </c>
      <c r="AX74" s="35"/>
      <c r="AY74" s="35">
        <f t="shared" si="13"/>
        <v>0</v>
      </c>
      <c r="AZ74" s="35"/>
      <c r="BA74" s="35" t="s">
        <v>99</v>
      </c>
      <c r="BB74" s="55"/>
      <c r="BC74" s="35" t="s">
        <v>66</v>
      </c>
      <c r="BD74" s="35"/>
      <c r="BE74" s="35">
        <v>0</v>
      </c>
      <c r="BF74" s="35"/>
      <c r="BG74" s="35">
        <v>0</v>
      </c>
      <c r="BH74" s="35"/>
      <c r="BI74" s="35">
        <v>0</v>
      </c>
      <c r="BJ74" s="35"/>
      <c r="BK74" s="35">
        <v>0</v>
      </c>
      <c r="BL74" s="35"/>
      <c r="BM74" s="35">
        <f t="shared" si="15"/>
        <v>0</v>
      </c>
      <c r="BN74" s="54" t="s">
        <v>347</v>
      </c>
    </row>
    <row r="75" spans="1:67" ht="12.75" hidden="1" customHeight="1">
      <c r="A75" s="35" t="s">
        <v>100</v>
      </c>
      <c r="C75" s="35" t="s">
        <v>27</v>
      </c>
      <c r="D75" s="35"/>
      <c r="E75" s="35">
        <f t="shared" ref="E75:E139" si="19">I75-G75</f>
        <v>0</v>
      </c>
      <c r="F75" s="35"/>
      <c r="G75" s="35"/>
      <c r="H75" s="35"/>
      <c r="I75" s="35"/>
      <c r="J75" s="35"/>
      <c r="K75" s="35">
        <f t="shared" ref="K75:K139" si="20">O75-M75</f>
        <v>0</v>
      </c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>
        <f t="shared" si="18"/>
        <v>0</v>
      </c>
      <c r="X75" s="35"/>
      <c r="Y75" s="35" t="s">
        <v>100</v>
      </c>
      <c r="Z75" s="55"/>
      <c r="AA75" s="35" t="s">
        <v>27</v>
      </c>
      <c r="AB75" s="35"/>
      <c r="AC75" s="35"/>
      <c r="AD75" s="35"/>
      <c r="AE75" s="35"/>
      <c r="AF75" s="35"/>
      <c r="AG75" s="35"/>
      <c r="AH75" s="35"/>
      <c r="AI75" s="45">
        <f t="shared" si="16"/>
        <v>0</v>
      </c>
      <c r="AJ75" s="45"/>
      <c r="AK75" s="35"/>
      <c r="AL75" s="35"/>
      <c r="AM75" s="35"/>
      <c r="AN75" s="35"/>
      <c r="AO75" s="35"/>
      <c r="AP75" s="35"/>
      <c r="AQ75" s="35"/>
      <c r="AR75" s="35"/>
      <c r="AS75" s="45">
        <f t="shared" si="17"/>
        <v>0</v>
      </c>
      <c r="AT75" s="45"/>
      <c r="AU75" s="35">
        <v>0</v>
      </c>
      <c r="AV75" s="35"/>
      <c r="AW75" s="35">
        <v>0</v>
      </c>
      <c r="AX75" s="35"/>
      <c r="AY75" s="35">
        <f t="shared" ref="AY75:AY108" si="21">+E75-K75</f>
        <v>0</v>
      </c>
      <c r="AZ75" s="35"/>
      <c r="BA75" s="35" t="s">
        <v>100</v>
      </c>
      <c r="BB75" s="55"/>
      <c r="BC75" s="35" t="s">
        <v>27</v>
      </c>
      <c r="BD75" s="35"/>
      <c r="BE75" s="35"/>
      <c r="BF75" s="35"/>
      <c r="BG75" s="35"/>
      <c r="BH75" s="35"/>
      <c r="BI75" s="35"/>
      <c r="BJ75" s="35"/>
      <c r="BK75" s="35"/>
      <c r="BL75" s="35"/>
      <c r="BM75" s="35">
        <f t="shared" si="15"/>
        <v>0</v>
      </c>
      <c r="BN75" s="54" t="s">
        <v>347</v>
      </c>
    </row>
    <row r="76" spans="1:67" ht="12.75" hidden="1" customHeight="1">
      <c r="A76" s="35" t="s">
        <v>101</v>
      </c>
      <c r="C76" s="35" t="s">
        <v>30</v>
      </c>
      <c r="D76" s="35"/>
      <c r="E76" s="35">
        <f t="shared" si="19"/>
        <v>0</v>
      </c>
      <c r="F76" s="35"/>
      <c r="G76" s="35">
        <v>0</v>
      </c>
      <c r="H76" s="35"/>
      <c r="I76" s="35">
        <v>0</v>
      </c>
      <c r="J76" s="35"/>
      <c r="K76" s="35">
        <f t="shared" si="20"/>
        <v>0</v>
      </c>
      <c r="L76" s="35"/>
      <c r="M76" s="35">
        <v>0</v>
      </c>
      <c r="N76" s="35"/>
      <c r="O76" s="35">
        <v>0</v>
      </c>
      <c r="P76" s="35"/>
      <c r="Q76" s="35">
        <v>0</v>
      </c>
      <c r="R76" s="35"/>
      <c r="S76" s="35">
        <v>0</v>
      </c>
      <c r="T76" s="35"/>
      <c r="U76" s="35">
        <v>0</v>
      </c>
      <c r="V76" s="35"/>
      <c r="W76" s="35">
        <f t="shared" si="18"/>
        <v>0</v>
      </c>
      <c r="X76" s="35"/>
      <c r="Y76" s="35" t="s">
        <v>101</v>
      </c>
      <c r="Z76" s="55"/>
      <c r="AA76" s="35" t="s">
        <v>30</v>
      </c>
      <c r="AB76" s="35"/>
      <c r="AC76" s="35">
        <v>0</v>
      </c>
      <c r="AD76" s="35"/>
      <c r="AE76" s="35">
        <v>0</v>
      </c>
      <c r="AF76" s="35"/>
      <c r="AG76" s="35">
        <v>0</v>
      </c>
      <c r="AH76" s="35"/>
      <c r="AI76" s="45">
        <f t="shared" si="16"/>
        <v>0</v>
      </c>
      <c r="AJ76" s="45"/>
      <c r="AK76" s="35">
        <v>0</v>
      </c>
      <c r="AL76" s="35"/>
      <c r="AM76" s="35">
        <v>0</v>
      </c>
      <c r="AN76" s="35"/>
      <c r="AO76" s="35">
        <v>0</v>
      </c>
      <c r="AP76" s="35"/>
      <c r="AQ76" s="35">
        <v>0</v>
      </c>
      <c r="AR76" s="35"/>
      <c r="AS76" s="45">
        <f t="shared" si="17"/>
        <v>0</v>
      </c>
      <c r="AT76" s="45"/>
      <c r="AU76" s="35">
        <v>0</v>
      </c>
      <c r="AV76" s="35"/>
      <c r="AW76" s="35">
        <v>0</v>
      </c>
      <c r="AX76" s="35"/>
      <c r="AY76" s="35">
        <f t="shared" si="21"/>
        <v>0</v>
      </c>
      <c r="AZ76" s="35"/>
      <c r="BA76" s="35" t="s">
        <v>101</v>
      </c>
      <c r="BB76" s="55"/>
      <c r="BC76" s="35" t="s">
        <v>30</v>
      </c>
      <c r="BD76" s="35"/>
      <c r="BE76" s="35">
        <v>0</v>
      </c>
      <c r="BF76" s="35"/>
      <c r="BG76" s="35">
        <v>0</v>
      </c>
      <c r="BH76" s="35"/>
      <c r="BI76" s="35">
        <v>0</v>
      </c>
      <c r="BJ76" s="35"/>
      <c r="BK76" s="35">
        <v>0</v>
      </c>
      <c r="BL76" s="35"/>
      <c r="BM76" s="35">
        <f t="shared" si="15"/>
        <v>0</v>
      </c>
      <c r="BN76" s="54" t="s">
        <v>347</v>
      </c>
    </row>
    <row r="77" spans="1:67" ht="12.75" hidden="1" customHeight="1">
      <c r="A77" s="35" t="s">
        <v>102</v>
      </c>
      <c r="C77" s="35" t="s">
        <v>103</v>
      </c>
      <c r="D77" s="35"/>
      <c r="E77" s="35">
        <f t="shared" si="19"/>
        <v>0</v>
      </c>
      <c r="F77" s="35"/>
      <c r="G77" s="35">
        <v>0</v>
      </c>
      <c r="H77" s="35"/>
      <c r="I77" s="35">
        <v>0</v>
      </c>
      <c r="J77" s="35"/>
      <c r="K77" s="35">
        <f t="shared" si="20"/>
        <v>0</v>
      </c>
      <c r="L77" s="35"/>
      <c r="M77" s="35">
        <v>0</v>
      </c>
      <c r="N77" s="35"/>
      <c r="O77" s="35">
        <v>0</v>
      </c>
      <c r="P77" s="35"/>
      <c r="Q77" s="35">
        <v>0</v>
      </c>
      <c r="R77" s="35"/>
      <c r="S77" s="35">
        <v>0</v>
      </c>
      <c r="T77" s="35"/>
      <c r="U77" s="35">
        <v>0</v>
      </c>
      <c r="V77" s="35"/>
      <c r="W77" s="35">
        <f t="shared" si="18"/>
        <v>0</v>
      </c>
      <c r="X77" s="35"/>
      <c r="Y77" s="35" t="s">
        <v>102</v>
      </c>
      <c r="Z77" s="55"/>
      <c r="AA77" s="35" t="s">
        <v>103</v>
      </c>
      <c r="AB77" s="35"/>
      <c r="AC77" s="35">
        <v>0</v>
      </c>
      <c r="AD77" s="35"/>
      <c r="AE77" s="35">
        <v>0</v>
      </c>
      <c r="AF77" s="35"/>
      <c r="AG77" s="35">
        <v>0</v>
      </c>
      <c r="AH77" s="35"/>
      <c r="AI77" s="45">
        <v>0</v>
      </c>
      <c r="AJ77" s="45"/>
      <c r="AK77" s="35">
        <v>0</v>
      </c>
      <c r="AL77" s="35"/>
      <c r="AM77" s="35">
        <v>0</v>
      </c>
      <c r="AN77" s="35"/>
      <c r="AO77" s="35">
        <v>0</v>
      </c>
      <c r="AP77" s="35"/>
      <c r="AQ77" s="35">
        <v>0</v>
      </c>
      <c r="AR77" s="35"/>
      <c r="AS77" s="45">
        <f t="shared" si="17"/>
        <v>0</v>
      </c>
      <c r="AT77" s="45"/>
      <c r="AU77" s="35">
        <v>0</v>
      </c>
      <c r="AV77" s="35"/>
      <c r="AW77" s="35">
        <v>0</v>
      </c>
      <c r="AX77" s="35"/>
      <c r="AY77" s="35">
        <f t="shared" si="21"/>
        <v>0</v>
      </c>
      <c r="AZ77" s="35"/>
      <c r="BA77" s="35" t="s">
        <v>102</v>
      </c>
      <c r="BB77" s="55"/>
      <c r="BC77" s="35" t="s">
        <v>103</v>
      </c>
      <c r="BD77" s="35"/>
      <c r="BE77" s="35">
        <v>0</v>
      </c>
      <c r="BF77" s="35"/>
      <c r="BG77" s="35">
        <v>0</v>
      </c>
      <c r="BH77" s="35"/>
      <c r="BI77" s="35">
        <v>0</v>
      </c>
      <c r="BJ77" s="35"/>
      <c r="BK77" s="35">
        <v>0</v>
      </c>
      <c r="BL77" s="35"/>
      <c r="BM77" s="35">
        <f t="shared" si="15"/>
        <v>0</v>
      </c>
      <c r="BN77" s="54" t="s">
        <v>347</v>
      </c>
    </row>
    <row r="78" spans="1:67" ht="12.75" hidden="1" customHeight="1">
      <c r="A78" s="35" t="s">
        <v>104</v>
      </c>
      <c r="C78" s="35" t="s">
        <v>13</v>
      </c>
      <c r="D78" s="35"/>
      <c r="E78" s="35">
        <f t="shared" si="19"/>
        <v>0</v>
      </c>
      <c r="F78" s="35"/>
      <c r="G78" s="35">
        <v>0</v>
      </c>
      <c r="H78" s="35"/>
      <c r="I78" s="35">
        <v>0</v>
      </c>
      <c r="J78" s="35"/>
      <c r="K78" s="35">
        <f t="shared" si="20"/>
        <v>0</v>
      </c>
      <c r="L78" s="35"/>
      <c r="M78" s="35">
        <v>0</v>
      </c>
      <c r="N78" s="35"/>
      <c r="O78" s="35">
        <v>0</v>
      </c>
      <c r="P78" s="35"/>
      <c r="Q78" s="35">
        <v>0</v>
      </c>
      <c r="R78" s="35"/>
      <c r="S78" s="35">
        <v>0</v>
      </c>
      <c r="T78" s="35"/>
      <c r="U78" s="35">
        <v>0</v>
      </c>
      <c r="V78" s="35"/>
      <c r="W78" s="35">
        <f t="shared" si="18"/>
        <v>0</v>
      </c>
      <c r="X78" s="35"/>
      <c r="Y78" s="35" t="s">
        <v>104</v>
      </c>
      <c r="Z78" s="55"/>
      <c r="AA78" s="35" t="s">
        <v>13</v>
      </c>
      <c r="AB78" s="35"/>
      <c r="AC78" s="35">
        <v>0</v>
      </c>
      <c r="AD78" s="35"/>
      <c r="AE78" s="35">
        <v>0</v>
      </c>
      <c r="AF78" s="35"/>
      <c r="AG78" s="35">
        <v>0</v>
      </c>
      <c r="AH78" s="35"/>
      <c r="AI78" s="45">
        <f t="shared" ref="AI78:AI84" si="22">+AC78-AE78-AG78</f>
        <v>0</v>
      </c>
      <c r="AJ78" s="45"/>
      <c r="AK78" s="35">
        <v>0</v>
      </c>
      <c r="AL78" s="35"/>
      <c r="AM78" s="35">
        <v>0</v>
      </c>
      <c r="AN78" s="35"/>
      <c r="AO78" s="35">
        <v>0</v>
      </c>
      <c r="AP78" s="35"/>
      <c r="AQ78" s="35">
        <v>0</v>
      </c>
      <c r="AR78" s="35"/>
      <c r="AS78" s="45">
        <f t="shared" si="17"/>
        <v>0</v>
      </c>
      <c r="AT78" s="45"/>
      <c r="AU78" s="35">
        <v>0</v>
      </c>
      <c r="AV78" s="35"/>
      <c r="AW78" s="35">
        <v>0</v>
      </c>
      <c r="AX78" s="35"/>
      <c r="AY78" s="35">
        <f t="shared" si="21"/>
        <v>0</v>
      </c>
      <c r="AZ78" s="35"/>
      <c r="BA78" s="35" t="s">
        <v>104</v>
      </c>
      <c r="BB78" s="55"/>
      <c r="BC78" s="35" t="s">
        <v>13</v>
      </c>
      <c r="BD78" s="35"/>
      <c r="BE78" s="35">
        <v>0</v>
      </c>
      <c r="BF78" s="35"/>
      <c r="BG78" s="35">
        <v>0</v>
      </c>
      <c r="BH78" s="35"/>
      <c r="BI78" s="35">
        <v>0</v>
      </c>
      <c r="BJ78" s="35"/>
      <c r="BK78" s="35">
        <v>0</v>
      </c>
      <c r="BL78" s="35"/>
      <c r="BM78" s="35">
        <f t="shared" si="15"/>
        <v>0</v>
      </c>
      <c r="BN78" s="54" t="s">
        <v>347</v>
      </c>
    </row>
    <row r="79" spans="1:67" ht="12.75" hidden="1" customHeight="1">
      <c r="A79" s="35" t="s">
        <v>105</v>
      </c>
      <c r="C79" s="35" t="s">
        <v>27</v>
      </c>
      <c r="D79" s="35"/>
      <c r="E79" s="35">
        <f t="shared" si="19"/>
        <v>0</v>
      </c>
      <c r="F79" s="35"/>
      <c r="G79" s="35"/>
      <c r="H79" s="35"/>
      <c r="I79" s="35"/>
      <c r="J79" s="35"/>
      <c r="K79" s="35">
        <f t="shared" si="20"/>
        <v>0</v>
      </c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>
        <f t="shared" si="18"/>
        <v>0</v>
      </c>
      <c r="X79" s="35"/>
      <c r="Y79" s="35" t="s">
        <v>105</v>
      </c>
      <c r="Z79" s="55"/>
      <c r="AA79" s="35" t="s">
        <v>27</v>
      </c>
      <c r="AB79" s="35"/>
      <c r="AC79" s="35"/>
      <c r="AD79" s="35"/>
      <c r="AE79" s="35"/>
      <c r="AF79" s="35"/>
      <c r="AG79" s="35"/>
      <c r="AH79" s="35"/>
      <c r="AI79" s="45">
        <f t="shared" si="22"/>
        <v>0</v>
      </c>
      <c r="AJ79" s="45"/>
      <c r="AK79" s="35"/>
      <c r="AL79" s="35"/>
      <c r="AM79" s="35"/>
      <c r="AN79" s="35"/>
      <c r="AO79" s="35"/>
      <c r="AP79" s="35"/>
      <c r="AQ79" s="35"/>
      <c r="AR79" s="35"/>
      <c r="AS79" s="45">
        <f t="shared" si="17"/>
        <v>0</v>
      </c>
      <c r="AT79" s="45"/>
      <c r="AU79" s="35">
        <v>0</v>
      </c>
      <c r="AV79" s="35"/>
      <c r="AW79" s="35">
        <v>0</v>
      </c>
      <c r="AX79" s="35"/>
      <c r="AY79" s="35">
        <f t="shared" si="21"/>
        <v>0</v>
      </c>
      <c r="AZ79" s="35"/>
      <c r="BA79" s="35" t="s">
        <v>105</v>
      </c>
      <c r="BB79" s="55"/>
      <c r="BC79" s="35" t="s">
        <v>27</v>
      </c>
      <c r="BD79" s="35"/>
      <c r="BE79" s="35"/>
      <c r="BF79" s="35"/>
      <c r="BG79" s="35"/>
      <c r="BH79" s="35"/>
      <c r="BI79" s="35"/>
      <c r="BJ79" s="35"/>
      <c r="BK79" s="35"/>
      <c r="BL79" s="35"/>
      <c r="BM79" s="35">
        <f t="shared" si="15"/>
        <v>0</v>
      </c>
      <c r="BN79" s="54" t="s">
        <v>347</v>
      </c>
    </row>
    <row r="80" spans="1:67" ht="12.75" hidden="1" customHeight="1">
      <c r="A80" s="35" t="s">
        <v>106</v>
      </c>
      <c r="C80" s="35" t="s">
        <v>107</v>
      </c>
      <c r="D80" s="35"/>
      <c r="E80" s="35">
        <f t="shared" si="19"/>
        <v>0</v>
      </c>
      <c r="F80" s="35"/>
      <c r="G80" s="35">
        <v>0</v>
      </c>
      <c r="H80" s="35"/>
      <c r="I80" s="35">
        <v>0</v>
      </c>
      <c r="J80" s="35"/>
      <c r="K80" s="35">
        <f t="shared" si="20"/>
        <v>0</v>
      </c>
      <c r="L80" s="35"/>
      <c r="M80" s="35">
        <v>0</v>
      </c>
      <c r="N80" s="35"/>
      <c r="O80" s="35">
        <v>0</v>
      </c>
      <c r="P80" s="35"/>
      <c r="Q80" s="35">
        <v>0</v>
      </c>
      <c r="R80" s="35"/>
      <c r="S80" s="35">
        <v>0</v>
      </c>
      <c r="T80" s="35"/>
      <c r="U80" s="35">
        <v>0</v>
      </c>
      <c r="V80" s="35"/>
      <c r="W80" s="35">
        <f t="shared" si="18"/>
        <v>0</v>
      </c>
      <c r="X80" s="35"/>
      <c r="Y80" s="35" t="s">
        <v>106</v>
      </c>
      <c r="Z80" s="55"/>
      <c r="AA80" s="35" t="s">
        <v>107</v>
      </c>
      <c r="AB80" s="35"/>
      <c r="AC80" s="35">
        <v>0</v>
      </c>
      <c r="AD80" s="35"/>
      <c r="AE80" s="35">
        <v>0</v>
      </c>
      <c r="AF80" s="35"/>
      <c r="AG80" s="35">
        <v>0</v>
      </c>
      <c r="AH80" s="35"/>
      <c r="AI80" s="45">
        <f t="shared" si="22"/>
        <v>0</v>
      </c>
      <c r="AJ80" s="45"/>
      <c r="AK80" s="35">
        <v>0</v>
      </c>
      <c r="AL80" s="35"/>
      <c r="AM80" s="35">
        <v>0</v>
      </c>
      <c r="AN80" s="35"/>
      <c r="AO80" s="35">
        <v>0</v>
      </c>
      <c r="AP80" s="35"/>
      <c r="AQ80" s="35">
        <v>0</v>
      </c>
      <c r="AR80" s="35"/>
      <c r="AS80" s="45">
        <f t="shared" si="17"/>
        <v>0</v>
      </c>
      <c r="AT80" s="45"/>
      <c r="AU80" s="35">
        <v>0</v>
      </c>
      <c r="AV80" s="35"/>
      <c r="AW80" s="35">
        <v>0</v>
      </c>
      <c r="AX80" s="35"/>
      <c r="AY80" s="35">
        <f t="shared" si="21"/>
        <v>0</v>
      </c>
      <c r="AZ80" s="35"/>
      <c r="BA80" s="35" t="s">
        <v>106</v>
      </c>
      <c r="BB80" s="55"/>
      <c r="BC80" s="35" t="s">
        <v>107</v>
      </c>
      <c r="BD80" s="35"/>
      <c r="BE80" s="35">
        <v>0</v>
      </c>
      <c r="BF80" s="35"/>
      <c r="BG80" s="35">
        <v>0</v>
      </c>
      <c r="BH80" s="35"/>
      <c r="BI80" s="35">
        <v>0</v>
      </c>
      <c r="BJ80" s="35"/>
      <c r="BK80" s="35">
        <v>0</v>
      </c>
      <c r="BL80" s="35"/>
      <c r="BM80" s="35">
        <f t="shared" si="15"/>
        <v>0</v>
      </c>
      <c r="BN80" s="54" t="s">
        <v>347</v>
      </c>
    </row>
    <row r="81" spans="1:67" ht="12.75" hidden="1" customHeight="1">
      <c r="A81" s="35" t="s">
        <v>108</v>
      </c>
      <c r="C81" s="35" t="s">
        <v>45</v>
      </c>
      <c r="D81" s="35"/>
      <c r="E81" s="35">
        <f t="shared" si="19"/>
        <v>0</v>
      </c>
      <c r="F81" s="35"/>
      <c r="G81" s="35"/>
      <c r="H81" s="35"/>
      <c r="I81" s="35"/>
      <c r="J81" s="35"/>
      <c r="K81" s="35">
        <f t="shared" si="20"/>
        <v>0</v>
      </c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>
        <f t="shared" si="18"/>
        <v>0</v>
      </c>
      <c r="X81" s="35"/>
      <c r="Y81" s="35" t="s">
        <v>108</v>
      </c>
      <c r="Z81" s="55"/>
      <c r="AA81" s="35" t="s">
        <v>45</v>
      </c>
      <c r="AB81" s="35"/>
      <c r="AC81" s="35"/>
      <c r="AD81" s="35"/>
      <c r="AE81" s="35"/>
      <c r="AF81" s="35"/>
      <c r="AG81" s="35"/>
      <c r="AH81" s="35"/>
      <c r="AI81" s="45">
        <f t="shared" si="22"/>
        <v>0</v>
      </c>
      <c r="AJ81" s="45"/>
      <c r="AK81" s="35"/>
      <c r="AL81" s="35"/>
      <c r="AM81" s="35"/>
      <c r="AN81" s="35"/>
      <c r="AO81" s="35"/>
      <c r="AP81" s="35"/>
      <c r="AQ81" s="35"/>
      <c r="AR81" s="35"/>
      <c r="AS81" s="45">
        <f t="shared" si="17"/>
        <v>0</v>
      </c>
      <c r="AT81" s="45"/>
      <c r="AU81" s="35">
        <v>0</v>
      </c>
      <c r="AV81" s="35"/>
      <c r="AW81" s="35">
        <v>0</v>
      </c>
      <c r="AX81" s="35"/>
      <c r="AY81" s="35">
        <f t="shared" si="21"/>
        <v>0</v>
      </c>
      <c r="AZ81" s="35"/>
      <c r="BA81" s="35" t="s">
        <v>108</v>
      </c>
      <c r="BB81" s="55"/>
      <c r="BC81" s="35" t="s">
        <v>45</v>
      </c>
      <c r="BD81" s="35"/>
      <c r="BE81" s="35"/>
      <c r="BF81" s="35"/>
      <c r="BG81" s="35"/>
      <c r="BH81" s="35"/>
      <c r="BI81" s="35"/>
      <c r="BJ81" s="35"/>
      <c r="BK81" s="35"/>
      <c r="BL81" s="35"/>
      <c r="BM81" s="35">
        <f t="shared" si="15"/>
        <v>0</v>
      </c>
      <c r="BN81" s="54" t="s">
        <v>347</v>
      </c>
    </row>
    <row r="82" spans="1:67" ht="12.75" hidden="1" customHeight="1">
      <c r="A82" s="35" t="s">
        <v>109</v>
      </c>
      <c r="C82" s="35" t="s">
        <v>110</v>
      </c>
      <c r="D82" s="35"/>
      <c r="E82" s="35">
        <f t="shared" si="19"/>
        <v>0</v>
      </c>
      <c r="F82" s="35"/>
      <c r="G82" s="35">
        <v>0</v>
      </c>
      <c r="H82" s="35"/>
      <c r="I82" s="35">
        <v>0</v>
      </c>
      <c r="J82" s="35"/>
      <c r="K82" s="35">
        <f t="shared" si="20"/>
        <v>0</v>
      </c>
      <c r="L82" s="35"/>
      <c r="M82" s="35">
        <v>0</v>
      </c>
      <c r="N82" s="35"/>
      <c r="O82" s="35">
        <v>0</v>
      </c>
      <c r="P82" s="35"/>
      <c r="Q82" s="35">
        <v>0</v>
      </c>
      <c r="R82" s="35"/>
      <c r="S82" s="35">
        <v>0</v>
      </c>
      <c r="T82" s="35"/>
      <c r="U82" s="35">
        <v>0</v>
      </c>
      <c r="V82" s="35"/>
      <c r="W82" s="35">
        <f t="shared" si="18"/>
        <v>0</v>
      </c>
      <c r="X82" s="35"/>
      <c r="Y82" s="35" t="s">
        <v>109</v>
      </c>
      <c r="Z82" s="55"/>
      <c r="AA82" s="35" t="s">
        <v>110</v>
      </c>
      <c r="AB82" s="35"/>
      <c r="AC82" s="35">
        <v>0</v>
      </c>
      <c r="AD82" s="35"/>
      <c r="AE82" s="35">
        <v>0</v>
      </c>
      <c r="AF82" s="35"/>
      <c r="AG82" s="35">
        <v>0</v>
      </c>
      <c r="AH82" s="35"/>
      <c r="AI82" s="45">
        <f t="shared" si="22"/>
        <v>0</v>
      </c>
      <c r="AJ82" s="45"/>
      <c r="AK82" s="35">
        <v>0</v>
      </c>
      <c r="AL82" s="35"/>
      <c r="AM82" s="35">
        <v>0</v>
      </c>
      <c r="AN82" s="35"/>
      <c r="AO82" s="35">
        <v>0</v>
      </c>
      <c r="AP82" s="35"/>
      <c r="AQ82" s="35">
        <v>0</v>
      </c>
      <c r="AR82" s="35"/>
      <c r="AS82" s="45">
        <f t="shared" si="17"/>
        <v>0</v>
      </c>
      <c r="AT82" s="45"/>
      <c r="AU82" s="35">
        <v>0</v>
      </c>
      <c r="AV82" s="35"/>
      <c r="AW82" s="35">
        <v>0</v>
      </c>
      <c r="AX82" s="35"/>
      <c r="AY82" s="35">
        <f t="shared" si="21"/>
        <v>0</v>
      </c>
      <c r="AZ82" s="35"/>
      <c r="BA82" s="35" t="s">
        <v>109</v>
      </c>
      <c r="BB82" s="55"/>
      <c r="BC82" s="35" t="s">
        <v>110</v>
      </c>
      <c r="BD82" s="35"/>
      <c r="BE82" s="35">
        <v>0</v>
      </c>
      <c r="BF82" s="35"/>
      <c r="BG82" s="35">
        <v>0</v>
      </c>
      <c r="BH82" s="35"/>
      <c r="BI82" s="35">
        <v>0</v>
      </c>
      <c r="BJ82" s="35"/>
      <c r="BK82" s="35">
        <v>0</v>
      </c>
      <c r="BL82" s="35"/>
      <c r="BM82" s="35">
        <f t="shared" si="15"/>
        <v>0</v>
      </c>
      <c r="BN82" s="54" t="s">
        <v>347</v>
      </c>
    </row>
    <row r="83" spans="1:67" ht="12.75" hidden="1" customHeight="1">
      <c r="A83" s="35" t="s">
        <v>43</v>
      </c>
      <c r="C83" s="35" t="s">
        <v>111</v>
      </c>
      <c r="D83" s="35"/>
      <c r="E83" s="35">
        <f t="shared" si="19"/>
        <v>0</v>
      </c>
      <c r="F83" s="35"/>
      <c r="G83" s="35">
        <v>0</v>
      </c>
      <c r="H83" s="35"/>
      <c r="I83" s="35">
        <v>0</v>
      </c>
      <c r="J83" s="35"/>
      <c r="K83" s="35">
        <f t="shared" si="20"/>
        <v>0</v>
      </c>
      <c r="L83" s="35"/>
      <c r="M83" s="35">
        <v>0</v>
      </c>
      <c r="N83" s="35"/>
      <c r="O83" s="35">
        <v>0</v>
      </c>
      <c r="P83" s="35"/>
      <c r="Q83" s="35">
        <v>0</v>
      </c>
      <c r="R83" s="35"/>
      <c r="S83" s="35">
        <v>0</v>
      </c>
      <c r="T83" s="35"/>
      <c r="U83" s="35">
        <v>0</v>
      </c>
      <c r="V83" s="35"/>
      <c r="W83" s="35">
        <f t="shared" si="18"/>
        <v>0</v>
      </c>
      <c r="X83" s="35"/>
      <c r="Y83" s="35" t="s">
        <v>43</v>
      </c>
      <c r="Z83" s="55"/>
      <c r="AA83" s="35" t="s">
        <v>111</v>
      </c>
      <c r="AB83" s="35"/>
      <c r="AC83" s="35">
        <v>0</v>
      </c>
      <c r="AD83" s="35"/>
      <c r="AE83" s="35">
        <v>0</v>
      </c>
      <c r="AF83" s="35"/>
      <c r="AG83" s="35">
        <v>0</v>
      </c>
      <c r="AH83" s="35"/>
      <c r="AI83" s="45">
        <f t="shared" si="22"/>
        <v>0</v>
      </c>
      <c r="AJ83" s="45"/>
      <c r="AK83" s="35">
        <v>0</v>
      </c>
      <c r="AL83" s="35"/>
      <c r="AM83" s="35">
        <v>0</v>
      </c>
      <c r="AN83" s="35"/>
      <c r="AO83" s="35">
        <v>0</v>
      </c>
      <c r="AP83" s="35"/>
      <c r="AQ83" s="35">
        <v>0</v>
      </c>
      <c r="AR83" s="35"/>
      <c r="AS83" s="45">
        <f t="shared" si="17"/>
        <v>0</v>
      </c>
      <c r="AT83" s="45"/>
      <c r="AU83" s="35">
        <v>0</v>
      </c>
      <c r="AV83" s="35"/>
      <c r="AW83" s="35">
        <v>0</v>
      </c>
      <c r="AX83" s="35"/>
      <c r="AY83" s="35">
        <f t="shared" si="21"/>
        <v>0</v>
      </c>
      <c r="AZ83" s="35"/>
      <c r="BA83" s="35" t="s">
        <v>43</v>
      </c>
      <c r="BB83" s="55"/>
      <c r="BC83" s="35" t="s">
        <v>111</v>
      </c>
      <c r="BD83" s="35"/>
      <c r="BE83" s="35">
        <v>0</v>
      </c>
      <c r="BF83" s="35"/>
      <c r="BG83" s="35">
        <v>0</v>
      </c>
      <c r="BH83" s="35"/>
      <c r="BI83" s="35">
        <v>0</v>
      </c>
      <c r="BJ83" s="35"/>
      <c r="BK83" s="35">
        <v>0</v>
      </c>
      <c r="BL83" s="35"/>
      <c r="BM83" s="35">
        <f t="shared" si="15"/>
        <v>0</v>
      </c>
      <c r="BN83" s="54" t="s">
        <v>347</v>
      </c>
    </row>
    <row r="84" spans="1:67" ht="12.75" hidden="1" customHeight="1">
      <c r="A84" s="35" t="s">
        <v>112</v>
      </c>
      <c r="C84" s="35" t="s">
        <v>76</v>
      </c>
      <c r="D84" s="35"/>
      <c r="E84" s="35">
        <f t="shared" si="19"/>
        <v>0</v>
      </c>
      <c r="F84" s="35"/>
      <c r="G84" s="35">
        <v>0</v>
      </c>
      <c r="H84" s="35"/>
      <c r="I84" s="35">
        <v>0</v>
      </c>
      <c r="J84" s="35"/>
      <c r="K84" s="35">
        <f t="shared" si="20"/>
        <v>0</v>
      </c>
      <c r="L84" s="35"/>
      <c r="M84" s="35">
        <v>0</v>
      </c>
      <c r="N84" s="35"/>
      <c r="O84" s="35">
        <v>0</v>
      </c>
      <c r="P84" s="35"/>
      <c r="Q84" s="35">
        <v>0</v>
      </c>
      <c r="R84" s="35"/>
      <c r="S84" s="35">
        <v>0</v>
      </c>
      <c r="T84" s="35"/>
      <c r="U84" s="35">
        <v>0</v>
      </c>
      <c r="V84" s="35"/>
      <c r="W84" s="35">
        <f t="shared" si="18"/>
        <v>0</v>
      </c>
      <c r="X84" s="35"/>
      <c r="Y84" s="35" t="s">
        <v>112</v>
      </c>
      <c r="Z84" s="55"/>
      <c r="AA84" s="35" t="s">
        <v>76</v>
      </c>
      <c r="AB84" s="35"/>
      <c r="AC84" s="35">
        <v>0</v>
      </c>
      <c r="AD84" s="35"/>
      <c r="AE84" s="35">
        <v>0</v>
      </c>
      <c r="AF84" s="35"/>
      <c r="AG84" s="35">
        <v>0</v>
      </c>
      <c r="AH84" s="35"/>
      <c r="AI84" s="45">
        <f t="shared" si="22"/>
        <v>0</v>
      </c>
      <c r="AJ84" s="45"/>
      <c r="AK84" s="35">
        <v>0</v>
      </c>
      <c r="AL84" s="35"/>
      <c r="AM84" s="35">
        <v>0</v>
      </c>
      <c r="AN84" s="35"/>
      <c r="AO84" s="35">
        <v>0</v>
      </c>
      <c r="AP84" s="35"/>
      <c r="AQ84" s="35">
        <v>0</v>
      </c>
      <c r="AR84" s="35"/>
      <c r="AS84" s="45">
        <f t="shared" si="17"/>
        <v>0</v>
      </c>
      <c r="AT84" s="45"/>
      <c r="AU84" s="35">
        <v>0</v>
      </c>
      <c r="AV84" s="35"/>
      <c r="AW84" s="35">
        <v>0</v>
      </c>
      <c r="AX84" s="35"/>
      <c r="AY84" s="35">
        <f t="shared" si="21"/>
        <v>0</v>
      </c>
      <c r="AZ84" s="35"/>
      <c r="BA84" s="35" t="s">
        <v>112</v>
      </c>
      <c r="BB84" s="55"/>
      <c r="BC84" s="35" t="s">
        <v>76</v>
      </c>
      <c r="BD84" s="35"/>
      <c r="BE84" s="35">
        <v>0</v>
      </c>
      <c r="BF84" s="35"/>
      <c r="BG84" s="35">
        <v>0</v>
      </c>
      <c r="BH84" s="35"/>
      <c r="BI84" s="35">
        <v>0</v>
      </c>
      <c r="BJ84" s="35"/>
      <c r="BK84" s="35">
        <v>0</v>
      </c>
      <c r="BL84" s="35"/>
      <c r="BM84" s="35">
        <f t="shared" si="15"/>
        <v>0</v>
      </c>
      <c r="BN84" s="54" t="s">
        <v>347</v>
      </c>
    </row>
    <row r="85" spans="1:67" ht="12.75" hidden="1" customHeight="1">
      <c r="A85" s="35" t="s">
        <v>113</v>
      </c>
      <c r="C85" s="35" t="s">
        <v>43</v>
      </c>
      <c r="D85" s="35"/>
      <c r="E85" s="35">
        <f t="shared" si="19"/>
        <v>0</v>
      </c>
      <c r="F85" s="35"/>
      <c r="G85" s="35">
        <v>0</v>
      </c>
      <c r="H85" s="35"/>
      <c r="I85" s="35">
        <v>0</v>
      </c>
      <c r="J85" s="35"/>
      <c r="K85" s="35">
        <f t="shared" si="20"/>
        <v>0</v>
      </c>
      <c r="L85" s="35"/>
      <c r="M85" s="35">
        <v>0</v>
      </c>
      <c r="N85" s="35"/>
      <c r="O85" s="35">
        <v>0</v>
      </c>
      <c r="P85" s="35"/>
      <c r="Q85" s="35">
        <v>0</v>
      </c>
      <c r="R85" s="35"/>
      <c r="S85" s="35">
        <v>0</v>
      </c>
      <c r="T85" s="35"/>
      <c r="U85" s="35">
        <v>0</v>
      </c>
      <c r="V85" s="35"/>
      <c r="W85" s="35">
        <f t="shared" si="18"/>
        <v>0</v>
      </c>
      <c r="X85" s="35"/>
      <c r="Y85" s="35" t="s">
        <v>113</v>
      </c>
      <c r="Z85" s="55"/>
      <c r="AA85" s="35" t="s">
        <v>43</v>
      </c>
      <c r="AB85" s="35"/>
      <c r="AC85" s="35">
        <v>0</v>
      </c>
      <c r="AD85" s="35"/>
      <c r="AE85" s="35">
        <v>0</v>
      </c>
      <c r="AF85" s="35"/>
      <c r="AG85" s="35">
        <v>0</v>
      </c>
      <c r="AH85" s="35"/>
      <c r="AI85" s="45">
        <v>0</v>
      </c>
      <c r="AJ85" s="45"/>
      <c r="AK85" s="35">
        <v>0</v>
      </c>
      <c r="AL85" s="35"/>
      <c r="AM85" s="35">
        <v>0</v>
      </c>
      <c r="AN85" s="35"/>
      <c r="AO85" s="35">
        <v>0</v>
      </c>
      <c r="AP85" s="35"/>
      <c r="AQ85" s="35">
        <v>0</v>
      </c>
      <c r="AR85" s="35"/>
      <c r="AS85" s="45">
        <f t="shared" si="17"/>
        <v>0</v>
      </c>
      <c r="AT85" s="45"/>
      <c r="AU85" s="35">
        <v>0</v>
      </c>
      <c r="AV85" s="35"/>
      <c r="AW85" s="35">
        <v>0</v>
      </c>
      <c r="AX85" s="35"/>
      <c r="AY85" s="35">
        <f t="shared" si="21"/>
        <v>0</v>
      </c>
      <c r="AZ85" s="35"/>
      <c r="BA85" s="35" t="s">
        <v>113</v>
      </c>
      <c r="BB85" s="55"/>
      <c r="BC85" s="35" t="s">
        <v>43</v>
      </c>
      <c r="BD85" s="35"/>
      <c r="BE85" s="35">
        <v>0</v>
      </c>
      <c r="BF85" s="35"/>
      <c r="BG85" s="35">
        <v>0</v>
      </c>
      <c r="BH85" s="35"/>
      <c r="BI85" s="35">
        <v>0</v>
      </c>
      <c r="BJ85" s="35"/>
      <c r="BK85" s="35">
        <v>0</v>
      </c>
      <c r="BL85" s="35"/>
      <c r="BM85" s="35">
        <f t="shared" si="15"/>
        <v>0</v>
      </c>
      <c r="BN85" s="54" t="s">
        <v>347</v>
      </c>
    </row>
    <row r="86" spans="1:67" ht="12.75" customHeight="1">
      <c r="A86" s="44" t="s">
        <v>493</v>
      </c>
      <c r="C86" s="35" t="s">
        <v>57</v>
      </c>
      <c r="D86" s="35"/>
      <c r="E86" s="35">
        <f>I86-G86</f>
        <v>9848484</v>
      </c>
      <c r="F86" s="35"/>
      <c r="G86" s="35">
        <v>7021070</v>
      </c>
      <c r="H86" s="35"/>
      <c r="I86" s="35">
        <v>16869554</v>
      </c>
      <c r="J86" s="35"/>
      <c r="K86" s="35">
        <f>O86-M86</f>
        <v>1319907</v>
      </c>
      <c r="L86" s="35"/>
      <c r="M86" s="35">
        <v>10880687</v>
      </c>
      <c r="N86" s="35"/>
      <c r="O86" s="35">
        <v>12200594</v>
      </c>
      <c r="P86" s="35"/>
      <c r="Q86" s="35">
        <v>366891</v>
      </c>
      <c r="R86" s="35"/>
      <c r="S86" s="35">
        <v>0</v>
      </c>
      <c r="T86" s="35"/>
      <c r="U86" s="35">
        <v>4302069</v>
      </c>
      <c r="V86" s="35"/>
      <c r="W86" s="35">
        <f>SUM(Q86:U86)</f>
        <v>4668960</v>
      </c>
      <c r="X86" s="35"/>
      <c r="Y86" s="44" t="s">
        <v>493</v>
      </c>
      <c r="Z86" s="55"/>
      <c r="AA86" s="35" t="s">
        <v>57</v>
      </c>
      <c r="AB86" s="35"/>
      <c r="AC86" s="35">
        <v>11439624</v>
      </c>
      <c r="AD86" s="35"/>
      <c r="AE86" s="35">
        <f>8579236-183874</f>
        <v>8395362</v>
      </c>
      <c r="AF86" s="35"/>
      <c r="AG86" s="35">
        <v>183874</v>
      </c>
      <c r="AH86" s="35"/>
      <c r="AI86" s="45">
        <f>+AC86-AE86-AG86</f>
        <v>2860388</v>
      </c>
      <c r="AJ86" s="45"/>
      <c r="AK86" s="35">
        <v>-435462</v>
      </c>
      <c r="AL86" s="35"/>
      <c r="AM86" s="35">
        <v>0</v>
      </c>
      <c r="AN86" s="35"/>
      <c r="AO86" s="35">
        <v>0</v>
      </c>
      <c r="AP86" s="35"/>
      <c r="AQ86" s="35">
        <v>0</v>
      </c>
      <c r="AR86" s="35"/>
      <c r="AS86" s="45">
        <f>+AI86+AK86+AM86-AO86+AQ86</f>
        <v>2424926</v>
      </c>
      <c r="AT86" s="45"/>
      <c r="AU86" s="35">
        <v>0</v>
      </c>
      <c r="AV86" s="35"/>
      <c r="AW86" s="35">
        <v>0</v>
      </c>
      <c r="AX86" s="35"/>
      <c r="AY86" s="35">
        <f>+E86-K86</f>
        <v>8528577</v>
      </c>
      <c r="AZ86" s="35"/>
      <c r="BA86" s="44" t="s">
        <v>493</v>
      </c>
      <c r="BB86" s="55"/>
      <c r="BC86" s="35" t="s">
        <v>57</v>
      </c>
      <c r="BD86" s="35"/>
      <c r="BE86" s="35">
        <v>8651000</v>
      </c>
      <c r="BF86" s="35"/>
      <c r="BG86" s="35">
        <v>0</v>
      </c>
      <c r="BH86" s="35"/>
      <c r="BI86" s="35">
        <v>0</v>
      </c>
      <c r="BJ86" s="35"/>
      <c r="BK86" s="35">
        <f>1952776+169473+107438</f>
        <v>2229687</v>
      </c>
      <c r="BL86" s="35"/>
      <c r="BM86" s="35">
        <f>SUM(BE86:BK86)</f>
        <v>10880687</v>
      </c>
      <c r="BN86" s="54" t="s">
        <v>347</v>
      </c>
      <c r="BO86" s="55" t="s">
        <v>315</v>
      </c>
    </row>
    <row r="87" spans="1:67" ht="12.75" hidden="1" customHeight="1">
      <c r="A87" s="35" t="s">
        <v>114</v>
      </c>
      <c r="C87" s="35" t="s">
        <v>27</v>
      </c>
      <c r="D87" s="35"/>
      <c r="E87" s="35">
        <f t="shared" si="19"/>
        <v>0</v>
      </c>
      <c r="F87" s="35"/>
      <c r="G87" s="35"/>
      <c r="H87" s="35"/>
      <c r="I87" s="35"/>
      <c r="J87" s="35"/>
      <c r="K87" s="35">
        <f t="shared" si="20"/>
        <v>0</v>
      </c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>
        <f t="shared" si="18"/>
        <v>0</v>
      </c>
      <c r="X87" s="35"/>
      <c r="Y87" s="35" t="s">
        <v>114</v>
      </c>
      <c r="Z87" s="55"/>
      <c r="AA87" s="35" t="s">
        <v>27</v>
      </c>
      <c r="AB87" s="35"/>
      <c r="AC87" s="35"/>
      <c r="AD87" s="35"/>
      <c r="AE87" s="35"/>
      <c r="AF87" s="35"/>
      <c r="AG87" s="35"/>
      <c r="AH87" s="35"/>
      <c r="AI87" s="45">
        <f t="shared" ref="AI87:AI103" si="23">+AC87-AE87-AG87</f>
        <v>0</v>
      </c>
      <c r="AJ87" s="45"/>
      <c r="AK87" s="35"/>
      <c r="AL87" s="35"/>
      <c r="AM87" s="35"/>
      <c r="AN87" s="35"/>
      <c r="AO87" s="35"/>
      <c r="AP87" s="35"/>
      <c r="AQ87" s="35"/>
      <c r="AR87" s="35"/>
      <c r="AS87" s="45">
        <f t="shared" si="17"/>
        <v>0</v>
      </c>
      <c r="AT87" s="45"/>
      <c r="AU87" s="35">
        <v>0</v>
      </c>
      <c r="AV87" s="35"/>
      <c r="AW87" s="35">
        <v>0</v>
      </c>
      <c r="AX87" s="35"/>
      <c r="AY87" s="35">
        <f t="shared" si="21"/>
        <v>0</v>
      </c>
      <c r="AZ87" s="35"/>
      <c r="BA87" s="35" t="s">
        <v>114</v>
      </c>
      <c r="BB87" s="55"/>
      <c r="BC87" s="35" t="s">
        <v>27</v>
      </c>
      <c r="BD87" s="35"/>
      <c r="BE87" s="35"/>
      <c r="BF87" s="35"/>
      <c r="BG87" s="35"/>
      <c r="BH87" s="35"/>
      <c r="BI87" s="35"/>
      <c r="BJ87" s="35"/>
      <c r="BK87" s="35"/>
      <c r="BL87" s="35"/>
      <c r="BM87" s="35">
        <f t="shared" si="15"/>
        <v>0</v>
      </c>
      <c r="BN87" s="54" t="s">
        <v>347</v>
      </c>
    </row>
    <row r="88" spans="1:67" ht="12.75" hidden="1" customHeight="1">
      <c r="A88" s="35" t="s">
        <v>115</v>
      </c>
      <c r="C88" s="35" t="s">
        <v>19</v>
      </c>
      <c r="D88" s="35"/>
      <c r="E88" s="35">
        <f t="shared" si="19"/>
        <v>0</v>
      </c>
      <c r="F88" s="35"/>
      <c r="G88" s="35"/>
      <c r="H88" s="35"/>
      <c r="I88" s="35"/>
      <c r="J88" s="35"/>
      <c r="K88" s="35">
        <f t="shared" si="20"/>
        <v>0</v>
      </c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>
        <f t="shared" si="18"/>
        <v>0</v>
      </c>
      <c r="X88" s="35"/>
      <c r="Y88" s="35" t="s">
        <v>115</v>
      </c>
      <c r="Z88" s="55"/>
      <c r="AA88" s="35" t="s">
        <v>19</v>
      </c>
      <c r="AB88" s="35"/>
      <c r="AC88" s="35"/>
      <c r="AD88" s="35"/>
      <c r="AE88" s="35"/>
      <c r="AF88" s="35"/>
      <c r="AG88" s="35"/>
      <c r="AH88" s="35"/>
      <c r="AI88" s="45">
        <f t="shared" si="23"/>
        <v>0</v>
      </c>
      <c r="AJ88" s="45"/>
      <c r="AK88" s="35"/>
      <c r="AL88" s="35"/>
      <c r="AM88" s="35"/>
      <c r="AN88" s="35"/>
      <c r="AO88" s="35"/>
      <c r="AP88" s="35"/>
      <c r="AQ88" s="35"/>
      <c r="AR88" s="35"/>
      <c r="AS88" s="45">
        <f t="shared" si="17"/>
        <v>0</v>
      </c>
      <c r="AT88" s="45"/>
      <c r="AU88" s="35">
        <v>0</v>
      </c>
      <c r="AV88" s="35"/>
      <c r="AW88" s="35">
        <v>0</v>
      </c>
      <c r="AX88" s="35"/>
      <c r="AY88" s="35">
        <f t="shared" si="21"/>
        <v>0</v>
      </c>
      <c r="AZ88" s="35"/>
      <c r="BA88" s="35" t="s">
        <v>115</v>
      </c>
      <c r="BB88" s="55"/>
      <c r="BC88" s="35" t="s">
        <v>19</v>
      </c>
      <c r="BD88" s="35"/>
      <c r="BE88" s="35"/>
      <c r="BF88" s="35"/>
      <c r="BG88" s="35"/>
      <c r="BH88" s="35"/>
      <c r="BI88" s="35"/>
      <c r="BJ88" s="35"/>
      <c r="BK88" s="35"/>
      <c r="BL88" s="35"/>
      <c r="BM88" s="35">
        <f t="shared" si="15"/>
        <v>0</v>
      </c>
      <c r="BN88" s="54" t="s">
        <v>347</v>
      </c>
    </row>
    <row r="89" spans="1:67" ht="12.75" hidden="1" customHeight="1">
      <c r="A89" s="35" t="s">
        <v>116</v>
      </c>
      <c r="C89" s="35" t="s">
        <v>80</v>
      </c>
      <c r="D89" s="35"/>
      <c r="E89" s="35">
        <f t="shared" si="19"/>
        <v>0</v>
      </c>
      <c r="F89" s="35"/>
      <c r="G89" s="35">
        <v>0</v>
      </c>
      <c r="H89" s="35"/>
      <c r="I89" s="35">
        <v>0</v>
      </c>
      <c r="J89" s="35"/>
      <c r="K89" s="35">
        <f t="shared" si="20"/>
        <v>0</v>
      </c>
      <c r="L89" s="35"/>
      <c r="M89" s="35">
        <v>0</v>
      </c>
      <c r="N89" s="35"/>
      <c r="O89" s="35">
        <v>0</v>
      </c>
      <c r="P89" s="35"/>
      <c r="Q89" s="35">
        <v>0</v>
      </c>
      <c r="R89" s="35"/>
      <c r="S89" s="35">
        <v>0</v>
      </c>
      <c r="T89" s="35"/>
      <c r="U89" s="35">
        <v>0</v>
      </c>
      <c r="V89" s="35"/>
      <c r="W89" s="35">
        <f t="shared" si="18"/>
        <v>0</v>
      </c>
      <c r="X89" s="35"/>
      <c r="Y89" s="35" t="s">
        <v>116</v>
      </c>
      <c r="Z89" s="55"/>
      <c r="AA89" s="35" t="s">
        <v>80</v>
      </c>
      <c r="AB89" s="35"/>
      <c r="AC89" s="35">
        <v>0</v>
      </c>
      <c r="AD89" s="35"/>
      <c r="AE89" s="35">
        <v>0</v>
      </c>
      <c r="AF89" s="35"/>
      <c r="AG89" s="35">
        <v>0</v>
      </c>
      <c r="AH89" s="35"/>
      <c r="AI89" s="45">
        <f t="shared" si="23"/>
        <v>0</v>
      </c>
      <c r="AJ89" s="45"/>
      <c r="AK89" s="35">
        <v>0</v>
      </c>
      <c r="AL89" s="35"/>
      <c r="AM89" s="35">
        <v>0</v>
      </c>
      <c r="AN89" s="35"/>
      <c r="AO89" s="35">
        <v>0</v>
      </c>
      <c r="AP89" s="35"/>
      <c r="AQ89" s="35">
        <v>0</v>
      </c>
      <c r="AR89" s="35"/>
      <c r="AS89" s="45">
        <f t="shared" si="17"/>
        <v>0</v>
      </c>
      <c r="AT89" s="45"/>
      <c r="AU89" s="35">
        <v>0</v>
      </c>
      <c r="AV89" s="35"/>
      <c r="AW89" s="35">
        <v>0</v>
      </c>
      <c r="AX89" s="35"/>
      <c r="AY89" s="35">
        <f t="shared" si="21"/>
        <v>0</v>
      </c>
      <c r="AZ89" s="35"/>
      <c r="BA89" s="35" t="s">
        <v>116</v>
      </c>
      <c r="BB89" s="55"/>
      <c r="BC89" s="35" t="s">
        <v>80</v>
      </c>
      <c r="BD89" s="35"/>
      <c r="BE89" s="35">
        <v>0</v>
      </c>
      <c r="BF89" s="35"/>
      <c r="BG89" s="35">
        <v>0</v>
      </c>
      <c r="BH89" s="35"/>
      <c r="BI89" s="35">
        <v>0</v>
      </c>
      <c r="BJ89" s="35"/>
      <c r="BK89" s="35">
        <v>0</v>
      </c>
      <c r="BL89" s="35"/>
      <c r="BM89" s="35">
        <f t="shared" si="15"/>
        <v>0</v>
      </c>
      <c r="BN89" s="54" t="s">
        <v>347</v>
      </c>
    </row>
    <row r="90" spans="1:67" ht="12.75" hidden="1" customHeight="1">
      <c r="A90" s="44" t="s">
        <v>117</v>
      </c>
      <c r="C90" s="35" t="s">
        <v>43</v>
      </c>
      <c r="D90" s="35"/>
      <c r="E90" s="35">
        <f t="shared" si="19"/>
        <v>0</v>
      </c>
      <c r="F90" s="35"/>
      <c r="G90" s="35">
        <v>0</v>
      </c>
      <c r="H90" s="35"/>
      <c r="I90" s="35">
        <v>0</v>
      </c>
      <c r="J90" s="35"/>
      <c r="K90" s="35">
        <f t="shared" si="20"/>
        <v>0</v>
      </c>
      <c r="L90" s="35"/>
      <c r="M90" s="35">
        <v>0</v>
      </c>
      <c r="N90" s="35"/>
      <c r="O90" s="35">
        <v>0</v>
      </c>
      <c r="P90" s="35"/>
      <c r="Q90" s="35">
        <v>0</v>
      </c>
      <c r="R90" s="35"/>
      <c r="S90" s="35">
        <v>0</v>
      </c>
      <c r="T90" s="35"/>
      <c r="U90" s="35">
        <v>0</v>
      </c>
      <c r="V90" s="35"/>
      <c r="W90" s="35">
        <f t="shared" si="18"/>
        <v>0</v>
      </c>
      <c r="X90" s="35"/>
      <c r="Y90" s="44" t="s">
        <v>117</v>
      </c>
      <c r="Z90" s="55"/>
      <c r="AA90" s="35" t="s">
        <v>43</v>
      </c>
      <c r="AB90" s="35"/>
      <c r="AC90" s="35">
        <v>0</v>
      </c>
      <c r="AD90" s="35"/>
      <c r="AE90" s="35">
        <v>0</v>
      </c>
      <c r="AF90" s="35"/>
      <c r="AG90" s="35">
        <v>0</v>
      </c>
      <c r="AH90" s="35"/>
      <c r="AI90" s="45">
        <f t="shared" si="23"/>
        <v>0</v>
      </c>
      <c r="AJ90" s="45"/>
      <c r="AK90" s="35">
        <v>0</v>
      </c>
      <c r="AL90" s="35"/>
      <c r="AM90" s="35">
        <v>0</v>
      </c>
      <c r="AN90" s="35"/>
      <c r="AO90" s="35">
        <v>0</v>
      </c>
      <c r="AP90" s="35"/>
      <c r="AQ90" s="35">
        <v>0</v>
      </c>
      <c r="AR90" s="35"/>
      <c r="AS90" s="45">
        <f t="shared" si="17"/>
        <v>0</v>
      </c>
      <c r="AT90" s="45"/>
      <c r="AU90" s="35">
        <v>0</v>
      </c>
      <c r="AV90" s="35"/>
      <c r="AW90" s="35">
        <v>0</v>
      </c>
      <c r="AX90" s="35"/>
      <c r="AY90" s="35">
        <f t="shared" si="21"/>
        <v>0</v>
      </c>
      <c r="AZ90" s="35"/>
      <c r="BA90" s="44" t="s">
        <v>117</v>
      </c>
      <c r="BB90" s="55"/>
      <c r="BC90" s="35" t="s">
        <v>43</v>
      </c>
      <c r="BD90" s="35"/>
      <c r="BE90" s="35">
        <v>0</v>
      </c>
      <c r="BF90" s="35"/>
      <c r="BG90" s="35">
        <v>0</v>
      </c>
      <c r="BH90" s="35"/>
      <c r="BI90" s="35">
        <v>0</v>
      </c>
      <c r="BJ90" s="35"/>
      <c r="BK90" s="35">
        <v>0</v>
      </c>
      <c r="BL90" s="35"/>
      <c r="BM90" s="35">
        <f t="shared" si="15"/>
        <v>0</v>
      </c>
      <c r="BN90" s="54" t="s">
        <v>347</v>
      </c>
    </row>
    <row r="91" spans="1:67" ht="12.75" hidden="1" customHeight="1">
      <c r="A91" s="35" t="s">
        <v>118</v>
      </c>
      <c r="C91" s="35" t="s">
        <v>13</v>
      </c>
      <c r="D91" s="35"/>
      <c r="E91" s="35">
        <f t="shared" si="19"/>
        <v>0</v>
      </c>
      <c r="F91" s="35"/>
      <c r="G91" s="35"/>
      <c r="H91" s="35"/>
      <c r="I91" s="35"/>
      <c r="J91" s="35"/>
      <c r="K91" s="35">
        <f t="shared" si="20"/>
        <v>0</v>
      </c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>
        <f t="shared" si="18"/>
        <v>0</v>
      </c>
      <c r="X91" s="35"/>
      <c r="Y91" s="35" t="s">
        <v>118</v>
      </c>
      <c r="Z91" s="55"/>
      <c r="AA91" s="35" t="s">
        <v>13</v>
      </c>
      <c r="AB91" s="35"/>
      <c r="AC91" s="35"/>
      <c r="AD91" s="35"/>
      <c r="AE91" s="35"/>
      <c r="AF91" s="35"/>
      <c r="AG91" s="35"/>
      <c r="AH91" s="35"/>
      <c r="AI91" s="45">
        <f t="shared" si="23"/>
        <v>0</v>
      </c>
      <c r="AJ91" s="45"/>
      <c r="AK91" s="35"/>
      <c r="AL91" s="35"/>
      <c r="AM91" s="35"/>
      <c r="AN91" s="35"/>
      <c r="AO91" s="35"/>
      <c r="AP91" s="35"/>
      <c r="AQ91" s="35"/>
      <c r="AR91" s="35"/>
      <c r="AS91" s="45">
        <f t="shared" si="17"/>
        <v>0</v>
      </c>
      <c r="AT91" s="45"/>
      <c r="AU91" s="35">
        <v>0</v>
      </c>
      <c r="AV91" s="35"/>
      <c r="AW91" s="35">
        <v>0</v>
      </c>
      <c r="AX91" s="35"/>
      <c r="AY91" s="35">
        <f t="shared" si="21"/>
        <v>0</v>
      </c>
      <c r="AZ91" s="35"/>
      <c r="BA91" s="35" t="s">
        <v>118</v>
      </c>
      <c r="BB91" s="55"/>
      <c r="BC91" s="35" t="s">
        <v>13</v>
      </c>
      <c r="BD91" s="35"/>
      <c r="BE91" s="35"/>
      <c r="BF91" s="35"/>
      <c r="BG91" s="35"/>
      <c r="BH91" s="35"/>
      <c r="BI91" s="35"/>
      <c r="BJ91" s="35"/>
      <c r="BK91" s="35"/>
      <c r="BL91" s="35"/>
      <c r="BM91" s="35">
        <f t="shared" si="15"/>
        <v>0</v>
      </c>
      <c r="BN91" s="54" t="s">
        <v>347</v>
      </c>
    </row>
    <row r="92" spans="1:67" ht="12.75" hidden="1" customHeight="1">
      <c r="A92" s="35" t="s">
        <v>120</v>
      </c>
      <c r="C92" s="35" t="s">
        <v>121</v>
      </c>
      <c r="D92" s="35"/>
      <c r="E92" s="35">
        <f t="shared" si="19"/>
        <v>0</v>
      </c>
      <c r="F92" s="35"/>
      <c r="G92" s="35">
        <v>0</v>
      </c>
      <c r="H92" s="35"/>
      <c r="I92" s="35">
        <v>0</v>
      </c>
      <c r="J92" s="35"/>
      <c r="K92" s="35">
        <f t="shared" si="20"/>
        <v>0</v>
      </c>
      <c r="L92" s="35"/>
      <c r="M92" s="35">
        <v>0</v>
      </c>
      <c r="N92" s="35"/>
      <c r="O92" s="35">
        <v>0</v>
      </c>
      <c r="P92" s="35"/>
      <c r="Q92" s="35">
        <v>0</v>
      </c>
      <c r="R92" s="35"/>
      <c r="S92" s="35">
        <v>0</v>
      </c>
      <c r="T92" s="35"/>
      <c r="U92" s="35">
        <v>0</v>
      </c>
      <c r="V92" s="35"/>
      <c r="W92" s="35">
        <f t="shared" si="18"/>
        <v>0</v>
      </c>
      <c r="X92" s="35"/>
      <c r="Y92" s="35" t="s">
        <v>120</v>
      </c>
      <c r="Z92" s="55"/>
      <c r="AA92" s="35" t="s">
        <v>121</v>
      </c>
      <c r="AB92" s="35"/>
      <c r="AC92" s="35">
        <v>0</v>
      </c>
      <c r="AD92" s="35"/>
      <c r="AE92" s="35">
        <v>0</v>
      </c>
      <c r="AF92" s="35"/>
      <c r="AG92" s="35">
        <v>0</v>
      </c>
      <c r="AH92" s="35"/>
      <c r="AI92" s="45">
        <f t="shared" si="23"/>
        <v>0</v>
      </c>
      <c r="AJ92" s="45"/>
      <c r="AK92" s="35">
        <v>0</v>
      </c>
      <c r="AL92" s="35"/>
      <c r="AM92" s="35">
        <v>0</v>
      </c>
      <c r="AN92" s="35"/>
      <c r="AO92" s="35">
        <v>0</v>
      </c>
      <c r="AP92" s="35"/>
      <c r="AQ92" s="35">
        <v>0</v>
      </c>
      <c r="AR92" s="35"/>
      <c r="AS92" s="45">
        <f t="shared" si="17"/>
        <v>0</v>
      </c>
      <c r="AT92" s="45"/>
      <c r="AU92" s="35">
        <v>0</v>
      </c>
      <c r="AV92" s="35"/>
      <c r="AW92" s="35">
        <v>0</v>
      </c>
      <c r="AX92" s="35"/>
      <c r="AY92" s="35">
        <f t="shared" si="21"/>
        <v>0</v>
      </c>
      <c r="AZ92" s="35"/>
      <c r="BA92" s="35" t="s">
        <v>120</v>
      </c>
      <c r="BB92" s="55"/>
      <c r="BC92" s="35" t="s">
        <v>121</v>
      </c>
      <c r="BD92" s="35"/>
      <c r="BE92" s="35">
        <v>0</v>
      </c>
      <c r="BF92" s="35"/>
      <c r="BG92" s="35">
        <v>0</v>
      </c>
      <c r="BH92" s="35"/>
      <c r="BI92" s="35">
        <v>0</v>
      </c>
      <c r="BJ92" s="35"/>
      <c r="BK92" s="35">
        <v>0</v>
      </c>
      <c r="BL92" s="35"/>
      <c r="BM92" s="35">
        <f t="shared" si="15"/>
        <v>0</v>
      </c>
      <c r="BN92" s="54" t="s">
        <v>347</v>
      </c>
      <c r="BO92" s="55" t="s">
        <v>371</v>
      </c>
    </row>
    <row r="93" spans="1:67" ht="12.75" hidden="1" customHeight="1">
      <c r="A93" s="35" t="s">
        <v>122</v>
      </c>
      <c r="C93" s="35" t="s">
        <v>43</v>
      </c>
      <c r="D93" s="35"/>
      <c r="E93" s="35">
        <f t="shared" si="19"/>
        <v>0</v>
      </c>
      <c r="F93" s="35"/>
      <c r="G93" s="35">
        <v>0</v>
      </c>
      <c r="H93" s="35"/>
      <c r="I93" s="35">
        <v>0</v>
      </c>
      <c r="J93" s="35"/>
      <c r="K93" s="35">
        <f t="shared" si="20"/>
        <v>0</v>
      </c>
      <c r="L93" s="35"/>
      <c r="M93" s="35">
        <v>0</v>
      </c>
      <c r="N93" s="35"/>
      <c r="O93" s="35">
        <v>0</v>
      </c>
      <c r="P93" s="35"/>
      <c r="Q93" s="35">
        <v>0</v>
      </c>
      <c r="R93" s="35"/>
      <c r="S93" s="35">
        <v>0</v>
      </c>
      <c r="T93" s="35"/>
      <c r="U93" s="35">
        <v>0</v>
      </c>
      <c r="V93" s="35"/>
      <c r="W93" s="35">
        <f t="shared" si="18"/>
        <v>0</v>
      </c>
      <c r="X93" s="35"/>
      <c r="Y93" s="35" t="s">
        <v>122</v>
      </c>
      <c r="Z93" s="55"/>
      <c r="AA93" s="35" t="s">
        <v>43</v>
      </c>
      <c r="AB93" s="35"/>
      <c r="AC93" s="35">
        <v>0</v>
      </c>
      <c r="AD93" s="35"/>
      <c r="AE93" s="35">
        <v>0</v>
      </c>
      <c r="AF93" s="35"/>
      <c r="AG93" s="35">
        <v>0</v>
      </c>
      <c r="AH93" s="35"/>
      <c r="AI93" s="45">
        <f t="shared" si="23"/>
        <v>0</v>
      </c>
      <c r="AJ93" s="45"/>
      <c r="AK93" s="35">
        <v>0</v>
      </c>
      <c r="AL93" s="35"/>
      <c r="AM93" s="35">
        <v>0</v>
      </c>
      <c r="AN93" s="35"/>
      <c r="AO93" s="35">
        <v>0</v>
      </c>
      <c r="AP93" s="35"/>
      <c r="AQ93" s="35">
        <v>0</v>
      </c>
      <c r="AR93" s="35"/>
      <c r="AS93" s="45">
        <f t="shared" si="17"/>
        <v>0</v>
      </c>
      <c r="AT93" s="45"/>
      <c r="AU93" s="35">
        <v>0</v>
      </c>
      <c r="AV93" s="35"/>
      <c r="AW93" s="35">
        <v>0</v>
      </c>
      <c r="AX93" s="35"/>
      <c r="AY93" s="35">
        <f t="shared" si="21"/>
        <v>0</v>
      </c>
      <c r="AZ93" s="35"/>
      <c r="BA93" s="35" t="s">
        <v>122</v>
      </c>
      <c r="BB93" s="55"/>
      <c r="BC93" s="35" t="s">
        <v>43</v>
      </c>
      <c r="BD93" s="35"/>
      <c r="BE93" s="35">
        <v>0</v>
      </c>
      <c r="BF93" s="35"/>
      <c r="BG93" s="35">
        <v>0</v>
      </c>
      <c r="BH93" s="35"/>
      <c r="BI93" s="35">
        <v>0</v>
      </c>
      <c r="BJ93" s="35"/>
      <c r="BK93" s="35">
        <v>0</v>
      </c>
      <c r="BL93" s="35"/>
      <c r="BM93" s="35">
        <f t="shared" si="15"/>
        <v>0</v>
      </c>
      <c r="BN93" s="54" t="s">
        <v>347</v>
      </c>
    </row>
    <row r="94" spans="1:67" ht="12.75" customHeight="1">
      <c r="A94" s="44" t="s">
        <v>45</v>
      </c>
      <c r="C94" s="35" t="s">
        <v>103</v>
      </c>
      <c r="D94" s="35"/>
      <c r="E94" s="35">
        <f t="shared" si="19"/>
        <v>27134602</v>
      </c>
      <c r="F94" s="35"/>
      <c r="G94" s="35">
        <v>137848549</v>
      </c>
      <c r="H94" s="35"/>
      <c r="I94" s="35">
        <v>164983151</v>
      </c>
      <c r="J94" s="35"/>
      <c r="K94" s="35">
        <f t="shared" si="20"/>
        <v>17729560</v>
      </c>
      <c r="L94" s="35"/>
      <c r="M94" s="35">
        <v>142890129</v>
      </c>
      <c r="N94" s="35"/>
      <c r="O94" s="35">
        <v>160619689</v>
      </c>
      <c r="P94" s="35"/>
      <c r="Q94" s="35">
        <v>-19814636</v>
      </c>
      <c r="R94" s="35"/>
      <c r="S94" s="35">
        <v>7668528</v>
      </c>
      <c r="T94" s="35"/>
      <c r="U94" s="35">
        <v>16509570</v>
      </c>
      <c r="V94" s="35"/>
      <c r="W94" s="35">
        <f t="shared" si="18"/>
        <v>4363462</v>
      </c>
      <c r="X94" s="35"/>
      <c r="Y94" s="44" t="s">
        <v>45</v>
      </c>
      <c r="Z94" s="55"/>
      <c r="AA94" s="35" t="s">
        <v>103</v>
      </c>
      <c r="AB94" s="35"/>
      <c r="AC94" s="35">
        <v>62927311</v>
      </c>
      <c r="AD94" s="35"/>
      <c r="AE94" s="35">
        <v>44479072</v>
      </c>
      <c r="AF94" s="35"/>
      <c r="AG94" s="35">
        <v>9987085</v>
      </c>
      <c r="AH94" s="35"/>
      <c r="AI94" s="45">
        <f t="shared" si="23"/>
        <v>8461154</v>
      </c>
      <c r="AJ94" s="45"/>
      <c r="AK94" s="35">
        <v>-7334207</v>
      </c>
      <c r="AL94" s="35"/>
      <c r="AM94" s="35">
        <v>0</v>
      </c>
      <c r="AN94" s="35"/>
      <c r="AO94" s="35">
        <v>0</v>
      </c>
      <c r="AP94" s="35"/>
      <c r="AQ94" s="35">
        <v>124275</v>
      </c>
      <c r="AR94" s="35"/>
      <c r="AS94" s="45">
        <f t="shared" si="17"/>
        <v>1251222</v>
      </c>
      <c r="AT94" s="45"/>
      <c r="AU94" s="35">
        <v>0</v>
      </c>
      <c r="AV94" s="35"/>
      <c r="AW94" s="35">
        <v>0</v>
      </c>
      <c r="AX94" s="35"/>
      <c r="AY94" s="35">
        <f t="shared" si="21"/>
        <v>9405042</v>
      </c>
      <c r="AZ94" s="35"/>
      <c r="BA94" s="44" t="s">
        <v>45</v>
      </c>
      <c r="BB94" s="55"/>
      <c r="BC94" s="35" t="s">
        <v>103</v>
      </c>
      <c r="BD94" s="35"/>
      <c r="BE94" s="35">
        <v>0</v>
      </c>
      <c r="BF94" s="35"/>
      <c r="BG94" s="35">
        <v>141769195</v>
      </c>
      <c r="BH94" s="35"/>
      <c r="BI94" s="35">
        <v>0</v>
      </c>
      <c r="BJ94" s="35"/>
      <c r="BK94" s="35">
        <v>1120934</v>
      </c>
      <c r="BL94" s="35"/>
      <c r="BM94" s="35">
        <f t="shared" si="15"/>
        <v>142890129</v>
      </c>
      <c r="BN94" s="54" t="s">
        <v>347</v>
      </c>
      <c r="BO94" s="55" t="s">
        <v>315</v>
      </c>
    </row>
    <row r="95" spans="1:67" ht="12.75" hidden="1" customHeight="1">
      <c r="A95" s="44" t="s">
        <v>123</v>
      </c>
      <c r="C95" s="35" t="s">
        <v>45</v>
      </c>
      <c r="D95" s="35"/>
      <c r="E95" s="35">
        <f t="shared" si="19"/>
        <v>0</v>
      </c>
      <c r="F95" s="35"/>
      <c r="G95" s="35"/>
      <c r="H95" s="35"/>
      <c r="I95" s="35"/>
      <c r="J95" s="35"/>
      <c r="K95" s="35">
        <f t="shared" si="20"/>
        <v>0</v>
      </c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>
        <f t="shared" si="18"/>
        <v>0</v>
      </c>
      <c r="X95" s="35"/>
      <c r="Y95" s="44" t="s">
        <v>123</v>
      </c>
      <c r="Z95" s="55"/>
      <c r="AA95" s="35" t="s">
        <v>45</v>
      </c>
      <c r="AB95" s="35"/>
      <c r="AC95" s="35"/>
      <c r="AD95" s="35"/>
      <c r="AE95" s="35"/>
      <c r="AF95" s="35"/>
      <c r="AG95" s="35"/>
      <c r="AH95" s="35"/>
      <c r="AI95" s="45">
        <f t="shared" si="23"/>
        <v>0</v>
      </c>
      <c r="AJ95" s="45"/>
      <c r="AK95" s="35"/>
      <c r="AL95" s="35"/>
      <c r="AM95" s="35"/>
      <c r="AN95" s="35"/>
      <c r="AO95" s="35"/>
      <c r="AP95" s="35"/>
      <c r="AQ95" s="35"/>
      <c r="AR95" s="35"/>
      <c r="AS95" s="45">
        <f t="shared" si="17"/>
        <v>0</v>
      </c>
      <c r="AT95" s="45"/>
      <c r="AU95" s="35">
        <v>0</v>
      </c>
      <c r="AV95" s="35"/>
      <c r="AW95" s="35">
        <v>0</v>
      </c>
      <c r="AX95" s="35"/>
      <c r="AY95" s="35">
        <f t="shared" si="21"/>
        <v>0</v>
      </c>
      <c r="AZ95" s="35"/>
      <c r="BA95" s="44" t="s">
        <v>123</v>
      </c>
      <c r="BB95" s="55"/>
      <c r="BC95" s="35" t="s">
        <v>45</v>
      </c>
      <c r="BD95" s="35"/>
      <c r="BE95" s="35"/>
      <c r="BF95" s="35"/>
      <c r="BG95" s="35"/>
      <c r="BH95" s="35"/>
      <c r="BI95" s="35"/>
      <c r="BJ95" s="35"/>
      <c r="BK95" s="35"/>
      <c r="BL95" s="35"/>
      <c r="BM95" s="35">
        <f t="shared" si="15"/>
        <v>0</v>
      </c>
      <c r="BN95" s="54" t="s">
        <v>347</v>
      </c>
    </row>
    <row r="96" spans="1:67" ht="12.75" hidden="1" customHeight="1">
      <c r="A96" s="35" t="s">
        <v>124</v>
      </c>
      <c r="C96" s="35" t="s">
        <v>125</v>
      </c>
      <c r="D96" s="35"/>
      <c r="E96" s="35">
        <f t="shared" si="19"/>
        <v>0</v>
      </c>
      <c r="F96" s="35"/>
      <c r="G96" s="35">
        <v>0</v>
      </c>
      <c r="H96" s="35"/>
      <c r="I96" s="35">
        <v>0</v>
      </c>
      <c r="J96" s="35"/>
      <c r="K96" s="35">
        <f t="shared" si="20"/>
        <v>0</v>
      </c>
      <c r="L96" s="35"/>
      <c r="M96" s="35">
        <v>0</v>
      </c>
      <c r="N96" s="35"/>
      <c r="O96" s="35">
        <v>0</v>
      </c>
      <c r="P96" s="35"/>
      <c r="Q96" s="35">
        <v>0</v>
      </c>
      <c r="R96" s="35"/>
      <c r="S96" s="35">
        <v>0</v>
      </c>
      <c r="T96" s="35"/>
      <c r="U96" s="35">
        <v>0</v>
      </c>
      <c r="V96" s="35"/>
      <c r="W96" s="35">
        <f t="shared" si="18"/>
        <v>0</v>
      </c>
      <c r="X96" s="35"/>
      <c r="Y96" s="35" t="s">
        <v>124</v>
      </c>
      <c r="Z96" s="55"/>
      <c r="AA96" s="35" t="s">
        <v>125</v>
      </c>
      <c r="AB96" s="35"/>
      <c r="AC96" s="35">
        <v>0</v>
      </c>
      <c r="AD96" s="35"/>
      <c r="AE96" s="35">
        <v>0</v>
      </c>
      <c r="AF96" s="35"/>
      <c r="AG96" s="35">
        <v>0</v>
      </c>
      <c r="AH96" s="35"/>
      <c r="AI96" s="45">
        <f t="shared" si="23"/>
        <v>0</v>
      </c>
      <c r="AJ96" s="45"/>
      <c r="AK96" s="35">
        <v>0</v>
      </c>
      <c r="AL96" s="35"/>
      <c r="AM96" s="35">
        <v>0</v>
      </c>
      <c r="AN96" s="35"/>
      <c r="AO96" s="35">
        <v>0</v>
      </c>
      <c r="AP96" s="35"/>
      <c r="AQ96" s="35">
        <v>0</v>
      </c>
      <c r="AR96" s="35"/>
      <c r="AS96" s="45">
        <f t="shared" si="17"/>
        <v>0</v>
      </c>
      <c r="AT96" s="45"/>
      <c r="AU96" s="35">
        <v>0</v>
      </c>
      <c r="AV96" s="35"/>
      <c r="AW96" s="35">
        <v>0</v>
      </c>
      <c r="AX96" s="35"/>
      <c r="AY96" s="35">
        <f t="shared" si="21"/>
        <v>0</v>
      </c>
      <c r="AZ96" s="35"/>
      <c r="BA96" s="35" t="s">
        <v>124</v>
      </c>
      <c r="BB96" s="55"/>
      <c r="BC96" s="35" t="s">
        <v>125</v>
      </c>
      <c r="BD96" s="35"/>
      <c r="BE96" s="35">
        <v>0</v>
      </c>
      <c r="BF96" s="35"/>
      <c r="BG96" s="35">
        <v>0</v>
      </c>
      <c r="BH96" s="35"/>
      <c r="BI96" s="35">
        <v>0</v>
      </c>
      <c r="BJ96" s="35"/>
      <c r="BK96" s="35">
        <v>0</v>
      </c>
      <c r="BL96" s="35"/>
      <c r="BM96" s="35">
        <f t="shared" si="15"/>
        <v>0</v>
      </c>
      <c r="BN96" s="54" t="s">
        <v>347</v>
      </c>
    </row>
    <row r="97" spans="1:67" ht="12.75" hidden="1" customHeight="1">
      <c r="A97" s="35" t="s">
        <v>126</v>
      </c>
      <c r="C97" s="35" t="s">
        <v>27</v>
      </c>
      <c r="D97" s="35"/>
      <c r="E97" s="35">
        <f t="shared" si="19"/>
        <v>0</v>
      </c>
      <c r="F97" s="35"/>
      <c r="G97" s="35">
        <v>0</v>
      </c>
      <c r="H97" s="35"/>
      <c r="I97" s="35">
        <v>0</v>
      </c>
      <c r="J97" s="35"/>
      <c r="K97" s="35">
        <f t="shared" si="20"/>
        <v>0</v>
      </c>
      <c r="L97" s="35"/>
      <c r="M97" s="35">
        <v>0</v>
      </c>
      <c r="N97" s="35"/>
      <c r="O97" s="35">
        <v>0</v>
      </c>
      <c r="P97" s="35"/>
      <c r="Q97" s="35">
        <v>0</v>
      </c>
      <c r="R97" s="35"/>
      <c r="S97" s="35">
        <v>0</v>
      </c>
      <c r="T97" s="35"/>
      <c r="U97" s="35">
        <v>0</v>
      </c>
      <c r="V97" s="35"/>
      <c r="W97" s="35">
        <f t="shared" si="18"/>
        <v>0</v>
      </c>
      <c r="X97" s="35"/>
      <c r="Y97" s="35" t="s">
        <v>126</v>
      </c>
      <c r="Z97" s="55"/>
      <c r="AA97" s="35" t="s">
        <v>27</v>
      </c>
      <c r="AB97" s="35"/>
      <c r="AC97" s="35">
        <v>0</v>
      </c>
      <c r="AD97" s="35"/>
      <c r="AE97" s="35">
        <v>0</v>
      </c>
      <c r="AF97" s="35"/>
      <c r="AG97" s="35">
        <v>0</v>
      </c>
      <c r="AH97" s="35"/>
      <c r="AI97" s="45">
        <f t="shared" si="23"/>
        <v>0</v>
      </c>
      <c r="AJ97" s="45"/>
      <c r="AK97" s="35">
        <v>0</v>
      </c>
      <c r="AL97" s="35"/>
      <c r="AM97" s="35">
        <v>0</v>
      </c>
      <c r="AN97" s="35"/>
      <c r="AO97" s="35">
        <v>0</v>
      </c>
      <c r="AP97" s="35"/>
      <c r="AQ97" s="35">
        <v>0</v>
      </c>
      <c r="AR97" s="35"/>
      <c r="AS97" s="45">
        <f t="shared" si="17"/>
        <v>0</v>
      </c>
      <c r="AT97" s="45"/>
      <c r="AU97" s="35">
        <v>0</v>
      </c>
      <c r="AV97" s="35"/>
      <c r="AW97" s="35">
        <v>0</v>
      </c>
      <c r="AX97" s="35"/>
      <c r="AY97" s="35">
        <f t="shared" si="21"/>
        <v>0</v>
      </c>
      <c r="AZ97" s="35"/>
      <c r="BA97" s="35" t="s">
        <v>126</v>
      </c>
      <c r="BB97" s="55"/>
      <c r="BC97" s="35" t="s">
        <v>27</v>
      </c>
      <c r="BD97" s="35"/>
      <c r="BE97" s="35">
        <v>0</v>
      </c>
      <c r="BF97" s="35"/>
      <c r="BG97" s="35">
        <v>0</v>
      </c>
      <c r="BH97" s="35"/>
      <c r="BI97" s="35">
        <v>0</v>
      </c>
      <c r="BJ97" s="35"/>
      <c r="BK97" s="35">
        <v>0</v>
      </c>
      <c r="BL97" s="35"/>
      <c r="BM97" s="35">
        <f t="shared" si="15"/>
        <v>0</v>
      </c>
      <c r="BN97" s="54" t="s">
        <v>347</v>
      </c>
    </row>
    <row r="98" spans="1:67" ht="12.75" hidden="1" customHeight="1">
      <c r="A98" s="35" t="s">
        <v>127</v>
      </c>
      <c r="C98" s="35" t="s">
        <v>43</v>
      </c>
      <c r="D98" s="35"/>
      <c r="E98" s="35">
        <f t="shared" si="19"/>
        <v>0</v>
      </c>
      <c r="F98" s="35"/>
      <c r="G98" s="35">
        <v>0</v>
      </c>
      <c r="H98" s="35"/>
      <c r="I98" s="35">
        <v>0</v>
      </c>
      <c r="J98" s="35"/>
      <c r="K98" s="35">
        <f t="shared" si="20"/>
        <v>0</v>
      </c>
      <c r="L98" s="35"/>
      <c r="M98" s="35">
        <v>0</v>
      </c>
      <c r="N98" s="35"/>
      <c r="O98" s="35">
        <v>0</v>
      </c>
      <c r="P98" s="35"/>
      <c r="Q98" s="35">
        <v>0</v>
      </c>
      <c r="R98" s="35"/>
      <c r="S98" s="35">
        <v>0</v>
      </c>
      <c r="T98" s="35"/>
      <c r="U98" s="35">
        <v>0</v>
      </c>
      <c r="V98" s="35"/>
      <c r="W98" s="35">
        <f t="shared" si="18"/>
        <v>0</v>
      </c>
      <c r="X98" s="35"/>
      <c r="Y98" s="35" t="s">
        <v>127</v>
      </c>
      <c r="Z98" s="55"/>
      <c r="AA98" s="35" t="s">
        <v>43</v>
      </c>
      <c r="AB98" s="35"/>
      <c r="AC98" s="35">
        <v>0</v>
      </c>
      <c r="AD98" s="35"/>
      <c r="AE98" s="35">
        <v>0</v>
      </c>
      <c r="AF98" s="35"/>
      <c r="AG98" s="35">
        <v>0</v>
      </c>
      <c r="AH98" s="35"/>
      <c r="AI98" s="45">
        <f t="shared" si="23"/>
        <v>0</v>
      </c>
      <c r="AJ98" s="45"/>
      <c r="AK98" s="35">
        <v>0</v>
      </c>
      <c r="AL98" s="35"/>
      <c r="AM98" s="35">
        <v>0</v>
      </c>
      <c r="AN98" s="35"/>
      <c r="AO98" s="35">
        <v>0</v>
      </c>
      <c r="AP98" s="35"/>
      <c r="AQ98" s="35">
        <v>0</v>
      </c>
      <c r="AR98" s="35"/>
      <c r="AS98" s="45">
        <f t="shared" si="17"/>
        <v>0</v>
      </c>
      <c r="AT98" s="45"/>
      <c r="AU98" s="35">
        <v>0</v>
      </c>
      <c r="AV98" s="35"/>
      <c r="AW98" s="35">
        <v>0</v>
      </c>
      <c r="AX98" s="35"/>
      <c r="AY98" s="35">
        <f t="shared" si="21"/>
        <v>0</v>
      </c>
      <c r="AZ98" s="35"/>
      <c r="BA98" s="35" t="s">
        <v>127</v>
      </c>
      <c r="BB98" s="55"/>
      <c r="BC98" s="35" t="s">
        <v>43</v>
      </c>
      <c r="BD98" s="35"/>
      <c r="BE98" s="35">
        <v>0</v>
      </c>
      <c r="BF98" s="35"/>
      <c r="BG98" s="35">
        <v>0</v>
      </c>
      <c r="BH98" s="35"/>
      <c r="BI98" s="35">
        <v>0</v>
      </c>
      <c r="BJ98" s="35"/>
      <c r="BK98" s="35">
        <v>0</v>
      </c>
      <c r="BL98" s="35"/>
      <c r="BM98" s="35">
        <f t="shared" ref="BM98:BM129" si="24">SUM(BE98:BK98)</f>
        <v>0</v>
      </c>
      <c r="BN98" s="54" t="s">
        <v>347</v>
      </c>
    </row>
    <row r="99" spans="1:67" ht="12.75" hidden="1" customHeight="1">
      <c r="A99" s="35" t="s">
        <v>128</v>
      </c>
      <c r="C99" s="35" t="s">
        <v>119</v>
      </c>
      <c r="D99" s="35"/>
      <c r="E99" s="35">
        <f t="shared" si="19"/>
        <v>0</v>
      </c>
      <c r="F99" s="35"/>
      <c r="G99" s="35">
        <v>0</v>
      </c>
      <c r="H99" s="35"/>
      <c r="I99" s="35">
        <v>0</v>
      </c>
      <c r="J99" s="35"/>
      <c r="K99" s="35">
        <f t="shared" si="20"/>
        <v>0</v>
      </c>
      <c r="L99" s="35"/>
      <c r="M99" s="35">
        <v>0</v>
      </c>
      <c r="N99" s="35"/>
      <c r="O99" s="35">
        <v>0</v>
      </c>
      <c r="P99" s="35"/>
      <c r="Q99" s="35">
        <v>0</v>
      </c>
      <c r="R99" s="35"/>
      <c r="S99" s="35">
        <v>0</v>
      </c>
      <c r="T99" s="35"/>
      <c r="U99" s="35">
        <v>0</v>
      </c>
      <c r="V99" s="35"/>
      <c r="W99" s="35">
        <f t="shared" si="18"/>
        <v>0</v>
      </c>
      <c r="X99" s="35"/>
      <c r="Y99" s="35" t="s">
        <v>128</v>
      </c>
      <c r="Z99" s="55"/>
      <c r="AA99" s="35" t="s">
        <v>119</v>
      </c>
      <c r="AB99" s="35"/>
      <c r="AC99" s="35">
        <v>0</v>
      </c>
      <c r="AD99" s="35"/>
      <c r="AE99" s="35">
        <v>0</v>
      </c>
      <c r="AF99" s="35"/>
      <c r="AG99" s="35">
        <v>0</v>
      </c>
      <c r="AH99" s="35"/>
      <c r="AI99" s="45">
        <f t="shared" si="23"/>
        <v>0</v>
      </c>
      <c r="AJ99" s="45"/>
      <c r="AK99" s="35">
        <v>0</v>
      </c>
      <c r="AL99" s="35"/>
      <c r="AM99" s="35">
        <v>0</v>
      </c>
      <c r="AN99" s="35"/>
      <c r="AO99" s="35">
        <v>0</v>
      </c>
      <c r="AP99" s="35"/>
      <c r="AQ99" s="35">
        <v>0</v>
      </c>
      <c r="AR99" s="35"/>
      <c r="AS99" s="45">
        <f t="shared" si="17"/>
        <v>0</v>
      </c>
      <c r="AT99" s="45"/>
      <c r="AU99" s="35">
        <v>0</v>
      </c>
      <c r="AV99" s="35"/>
      <c r="AW99" s="35">
        <v>0</v>
      </c>
      <c r="AX99" s="35"/>
      <c r="AY99" s="35">
        <f t="shared" si="21"/>
        <v>0</v>
      </c>
      <c r="AZ99" s="35"/>
      <c r="BA99" s="35" t="s">
        <v>128</v>
      </c>
      <c r="BB99" s="55"/>
      <c r="BC99" s="35" t="s">
        <v>119</v>
      </c>
      <c r="BD99" s="35"/>
      <c r="BE99" s="35">
        <v>0</v>
      </c>
      <c r="BF99" s="35"/>
      <c r="BG99" s="35">
        <v>0</v>
      </c>
      <c r="BH99" s="35"/>
      <c r="BI99" s="35">
        <v>0</v>
      </c>
      <c r="BJ99" s="35"/>
      <c r="BK99" s="35">
        <v>0</v>
      </c>
      <c r="BL99" s="35"/>
      <c r="BM99" s="35">
        <f t="shared" si="24"/>
        <v>0</v>
      </c>
      <c r="BN99" s="54" t="s">
        <v>347</v>
      </c>
    </row>
    <row r="100" spans="1:67" ht="12.75" customHeight="1">
      <c r="A100" s="35" t="s">
        <v>129</v>
      </c>
      <c r="B100" s="55"/>
      <c r="C100" s="35" t="s">
        <v>80</v>
      </c>
      <c r="D100" s="35"/>
      <c r="E100" s="35">
        <f t="shared" si="19"/>
        <v>4101094</v>
      </c>
      <c r="F100" s="35"/>
      <c r="G100" s="35">
        <v>3036216</v>
      </c>
      <c r="H100" s="35"/>
      <c r="I100" s="35">
        <v>7137310</v>
      </c>
      <c r="J100" s="35"/>
      <c r="K100" s="35">
        <f t="shared" si="20"/>
        <v>2576092</v>
      </c>
      <c r="L100" s="35"/>
      <c r="M100" s="35">
        <v>16543</v>
      </c>
      <c r="N100" s="35"/>
      <c r="O100" s="35">
        <v>2592635</v>
      </c>
      <c r="P100" s="35"/>
      <c r="Q100" s="35">
        <v>705046</v>
      </c>
      <c r="R100" s="35"/>
      <c r="S100" s="35">
        <v>0</v>
      </c>
      <c r="T100" s="35"/>
      <c r="U100" s="35">
        <v>3839629</v>
      </c>
      <c r="V100" s="35"/>
      <c r="W100" s="35">
        <f t="shared" si="18"/>
        <v>4544675</v>
      </c>
      <c r="X100" s="35"/>
      <c r="Y100" s="35" t="s">
        <v>129</v>
      </c>
      <c r="Z100" s="55"/>
      <c r="AA100" s="35" t="s">
        <v>80</v>
      </c>
      <c r="AB100" s="35"/>
      <c r="AC100" s="35">
        <v>5303784</v>
      </c>
      <c r="AD100" s="35"/>
      <c r="AE100" s="35">
        <v>5327708</v>
      </c>
      <c r="AF100" s="35"/>
      <c r="AG100" s="35">
        <v>295412</v>
      </c>
      <c r="AH100" s="35"/>
      <c r="AI100" s="45">
        <f t="shared" si="23"/>
        <v>-319336</v>
      </c>
      <c r="AJ100" s="45"/>
      <c r="AK100" s="35">
        <v>-222712</v>
      </c>
      <c r="AL100" s="35"/>
      <c r="AM100" s="35">
        <v>0</v>
      </c>
      <c r="AN100" s="35"/>
      <c r="AO100" s="35">
        <v>0</v>
      </c>
      <c r="AP100" s="35"/>
      <c r="AQ100" s="35">
        <v>0</v>
      </c>
      <c r="AR100" s="35"/>
      <c r="AS100" s="45">
        <f t="shared" si="17"/>
        <v>-542048</v>
      </c>
      <c r="AT100" s="45"/>
      <c r="AU100" s="35">
        <v>0</v>
      </c>
      <c r="AV100" s="35"/>
      <c r="AW100" s="35">
        <v>0</v>
      </c>
      <c r="AX100" s="35"/>
      <c r="AY100" s="35">
        <f t="shared" si="21"/>
        <v>1525002</v>
      </c>
      <c r="AZ100" s="35"/>
      <c r="BA100" s="35" t="s">
        <v>129</v>
      </c>
      <c r="BB100" s="55"/>
      <c r="BC100" s="35" t="s">
        <v>80</v>
      </c>
      <c r="BD100" s="35"/>
      <c r="BE100" s="35">
        <v>0</v>
      </c>
      <c r="BF100" s="35"/>
      <c r="BG100" s="35">
        <v>0</v>
      </c>
      <c r="BH100" s="35"/>
      <c r="BI100" s="35">
        <v>0</v>
      </c>
      <c r="BJ100" s="35"/>
      <c r="BK100" s="35">
        <v>16543</v>
      </c>
      <c r="BL100" s="35"/>
      <c r="BM100" s="35">
        <f t="shared" si="24"/>
        <v>16543</v>
      </c>
      <c r="BN100" s="54" t="s">
        <v>347</v>
      </c>
    </row>
    <row r="101" spans="1:67" ht="12.75" hidden="1" customHeight="1">
      <c r="A101" s="35" t="s">
        <v>130</v>
      </c>
      <c r="C101" s="35" t="s">
        <v>66</v>
      </c>
      <c r="D101" s="35"/>
      <c r="E101" s="35">
        <f t="shared" si="19"/>
        <v>0</v>
      </c>
      <c r="F101" s="35"/>
      <c r="G101" s="35">
        <v>0</v>
      </c>
      <c r="H101" s="35"/>
      <c r="I101" s="35">
        <v>0</v>
      </c>
      <c r="J101" s="35"/>
      <c r="K101" s="35">
        <f t="shared" si="20"/>
        <v>0</v>
      </c>
      <c r="L101" s="35"/>
      <c r="M101" s="35">
        <v>0</v>
      </c>
      <c r="N101" s="35"/>
      <c r="O101" s="35">
        <v>0</v>
      </c>
      <c r="P101" s="35"/>
      <c r="Q101" s="35">
        <v>0</v>
      </c>
      <c r="R101" s="35"/>
      <c r="S101" s="35">
        <v>0</v>
      </c>
      <c r="T101" s="35"/>
      <c r="U101" s="35">
        <v>0</v>
      </c>
      <c r="V101" s="35"/>
      <c r="W101" s="35">
        <f t="shared" si="18"/>
        <v>0</v>
      </c>
      <c r="X101" s="35"/>
      <c r="Y101" s="35" t="s">
        <v>130</v>
      </c>
      <c r="Z101" s="55"/>
      <c r="AA101" s="35" t="s">
        <v>66</v>
      </c>
      <c r="AB101" s="35"/>
      <c r="AC101" s="35">
        <v>0</v>
      </c>
      <c r="AD101" s="35"/>
      <c r="AE101" s="35">
        <v>0</v>
      </c>
      <c r="AF101" s="35"/>
      <c r="AG101" s="35">
        <v>0</v>
      </c>
      <c r="AH101" s="35"/>
      <c r="AI101" s="45">
        <f t="shared" si="23"/>
        <v>0</v>
      </c>
      <c r="AJ101" s="45"/>
      <c r="AK101" s="35">
        <v>0</v>
      </c>
      <c r="AL101" s="35"/>
      <c r="AM101" s="35">
        <v>0</v>
      </c>
      <c r="AN101" s="35"/>
      <c r="AO101" s="35">
        <v>0</v>
      </c>
      <c r="AP101" s="35"/>
      <c r="AQ101" s="35">
        <v>0</v>
      </c>
      <c r="AR101" s="35"/>
      <c r="AS101" s="45">
        <f t="shared" si="17"/>
        <v>0</v>
      </c>
      <c r="AT101" s="45"/>
      <c r="AU101" s="35">
        <v>0</v>
      </c>
      <c r="AV101" s="35"/>
      <c r="AW101" s="35">
        <v>0</v>
      </c>
      <c r="AX101" s="35"/>
      <c r="AY101" s="35">
        <f t="shared" si="21"/>
        <v>0</v>
      </c>
      <c r="AZ101" s="35"/>
      <c r="BA101" s="35" t="s">
        <v>130</v>
      </c>
      <c r="BB101" s="55"/>
      <c r="BC101" s="35" t="s">
        <v>66</v>
      </c>
      <c r="BD101" s="35"/>
      <c r="BE101" s="35">
        <v>0</v>
      </c>
      <c r="BF101" s="35"/>
      <c r="BG101" s="35">
        <v>0</v>
      </c>
      <c r="BH101" s="35"/>
      <c r="BI101" s="35">
        <v>0</v>
      </c>
      <c r="BJ101" s="35"/>
      <c r="BK101" s="35">
        <v>0</v>
      </c>
      <c r="BL101" s="35"/>
      <c r="BM101" s="35">
        <f t="shared" si="24"/>
        <v>0</v>
      </c>
      <c r="BN101" s="54" t="s">
        <v>347</v>
      </c>
    </row>
    <row r="102" spans="1:67" ht="12.75" customHeight="1">
      <c r="A102" s="35" t="s">
        <v>131</v>
      </c>
      <c r="C102" s="35" t="s">
        <v>13</v>
      </c>
      <c r="D102" s="35"/>
      <c r="E102" s="35">
        <f t="shared" si="19"/>
        <v>17729420</v>
      </c>
      <c r="F102" s="35"/>
      <c r="G102" s="35">
        <v>7401821</v>
      </c>
      <c r="H102" s="35"/>
      <c r="I102" s="35">
        <v>25131241</v>
      </c>
      <c r="J102" s="35"/>
      <c r="K102" s="35">
        <f t="shared" si="20"/>
        <v>2182876</v>
      </c>
      <c r="L102" s="35"/>
      <c r="M102" s="35">
        <v>3010033</v>
      </c>
      <c r="N102" s="35"/>
      <c r="O102" s="35">
        <v>5192909</v>
      </c>
      <c r="P102" s="35"/>
      <c r="Q102" s="35">
        <v>4042595</v>
      </c>
      <c r="R102" s="35"/>
      <c r="S102" s="35">
        <v>0</v>
      </c>
      <c r="T102" s="35"/>
      <c r="U102" s="35">
        <v>15895737</v>
      </c>
      <c r="V102" s="35"/>
      <c r="W102" s="35">
        <f t="shared" si="18"/>
        <v>19938332</v>
      </c>
      <c r="X102" s="35"/>
      <c r="Y102" s="35" t="s">
        <v>131</v>
      </c>
      <c r="Z102" s="55"/>
      <c r="AA102" s="35" t="s">
        <v>13</v>
      </c>
      <c r="AB102" s="35"/>
      <c r="AC102" s="35">
        <v>16866208</v>
      </c>
      <c r="AD102" s="35"/>
      <c r="AE102" s="35">
        <v>14954181</v>
      </c>
      <c r="AF102" s="35"/>
      <c r="AG102" s="35">
        <v>464669</v>
      </c>
      <c r="AH102" s="35"/>
      <c r="AI102" s="45">
        <f t="shared" si="23"/>
        <v>1447358</v>
      </c>
      <c r="AJ102" s="45"/>
      <c r="AK102" s="35">
        <v>-206315</v>
      </c>
      <c r="AL102" s="35"/>
      <c r="AM102" s="35">
        <v>0</v>
      </c>
      <c r="AN102" s="35"/>
      <c r="AO102" s="35">
        <v>0</v>
      </c>
      <c r="AP102" s="35"/>
      <c r="AQ102" s="35">
        <v>0</v>
      </c>
      <c r="AR102" s="35"/>
      <c r="AS102" s="45">
        <f t="shared" si="17"/>
        <v>1241043</v>
      </c>
      <c r="AT102" s="45"/>
      <c r="AU102" s="35">
        <v>0</v>
      </c>
      <c r="AV102" s="35"/>
      <c r="AW102" s="35">
        <v>0</v>
      </c>
      <c r="AX102" s="35"/>
      <c r="AY102" s="35">
        <f t="shared" si="21"/>
        <v>15546544</v>
      </c>
      <c r="AZ102" s="35"/>
      <c r="BA102" s="35" t="s">
        <v>131</v>
      </c>
      <c r="BB102" s="55"/>
      <c r="BC102" s="35" t="s">
        <v>13</v>
      </c>
      <c r="BD102" s="35"/>
      <c r="BE102" s="35">
        <v>2745000</v>
      </c>
      <c r="BF102" s="35"/>
      <c r="BG102" s="35">
        <v>0</v>
      </c>
      <c r="BH102" s="35"/>
      <c r="BI102" s="35">
        <v>0</v>
      </c>
      <c r="BJ102" s="35"/>
      <c r="BK102" s="35">
        <v>265033</v>
      </c>
      <c r="BL102" s="35"/>
      <c r="BM102" s="35">
        <f t="shared" si="24"/>
        <v>3010033</v>
      </c>
      <c r="BN102" s="54" t="s">
        <v>347</v>
      </c>
    </row>
    <row r="103" spans="1:67" ht="12.75" hidden="1" customHeight="1">
      <c r="A103" s="35" t="s">
        <v>38</v>
      </c>
      <c r="C103" s="35" t="s">
        <v>132</v>
      </c>
      <c r="D103" s="35"/>
      <c r="E103" s="35">
        <f t="shared" si="19"/>
        <v>0</v>
      </c>
      <c r="F103" s="35"/>
      <c r="G103" s="35"/>
      <c r="H103" s="35"/>
      <c r="I103" s="35"/>
      <c r="J103" s="35"/>
      <c r="K103" s="35">
        <f t="shared" si="20"/>
        <v>0</v>
      </c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>
        <f t="shared" si="18"/>
        <v>0</v>
      </c>
      <c r="X103" s="35"/>
      <c r="Y103" s="35" t="s">
        <v>38</v>
      </c>
      <c r="Z103" s="55"/>
      <c r="AA103" s="35" t="s">
        <v>132</v>
      </c>
      <c r="AB103" s="35"/>
      <c r="AC103" s="35"/>
      <c r="AD103" s="35"/>
      <c r="AE103" s="35"/>
      <c r="AF103" s="35"/>
      <c r="AG103" s="35"/>
      <c r="AH103" s="35"/>
      <c r="AI103" s="45">
        <f t="shared" si="23"/>
        <v>0</v>
      </c>
      <c r="AJ103" s="45"/>
      <c r="AK103" s="35"/>
      <c r="AL103" s="35"/>
      <c r="AM103" s="35"/>
      <c r="AN103" s="35"/>
      <c r="AO103" s="35"/>
      <c r="AP103" s="35"/>
      <c r="AQ103" s="35"/>
      <c r="AR103" s="35"/>
      <c r="AS103" s="45">
        <f t="shared" ref="AS103:AS108" si="25">+AI103+AK103+AM103-AO103+AQ103</f>
        <v>0</v>
      </c>
      <c r="AT103" s="45"/>
      <c r="AU103" s="35">
        <v>0</v>
      </c>
      <c r="AV103" s="35"/>
      <c r="AW103" s="35">
        <v>0</v>
      </c>
      <c r="AX103" s="35"/>
      <c r="AY103" s="35">
        <f t="shared" si="21"/>
        <v>0</v>
      </c>
      <c r="AZ103" s="35"/>
      <c r="BA103" s="35" t="s">
        <v>38</v>
      </c>
      <c r="BB103" s="55"/>
      <c r="BC103" s="35" t="s">
        <v>132</v>
      </c>
      <c r="BD103" s="35"/>
      <c r="BE103" s="35"/>
      <c r="BF103" s="35"/>
      <c r="BG103" s="35"/>
      <c r="BH103" s="35"/>
      <c r="BI103" s="35"/>
      <c r="BJ103" s="35"/>
      <c r="BK103" s="35"/>
      <c r="BL103" s="35"/>
      <c r="BM103" s="35">
        <f t="shared" si="24"/>
        <v>0</v>
      </c>
      <c r="BN103" s="54" t="s">
        <v>347</v>
      </c>
    </row>
    <row r="104" spans="1:67" ht="12.75" hidden="1" customHeight="1">
      <c r="A104" s="35" t="s">
        <v>133</v>
      </c>
      <c r="C104" s="35" t="s">
        <v>27</v>
      </c>
      <c r="D104" s="35"/>
      <c r="E104" s="35">
        <f t="shared" si="19"/>
        <v>0</v>
      </c>
      <c r="F104" s="35"/>
      <c r="G104" s="35">
        <v>0</v>
      </c>
      <c r="H104" s="35"/>
      <c r="I104" s="35">
        <v>0</v>
      </c>
      <c r="J104" s="35"/>
      <c r="K104" s="35">
        <f t="shared" si="20"/>
        <v>0</v>
      </c>
      <c r="L104" s="35"/>
      <c r="M104" s="35">
        <v>0</v>
      </c>
      <c r="N104" s="35"/>
      <c r="O104" s="35">
        <v>0</v>
      </c>
      <c r="P104" s="35"/>
      <c r="Q104" s="35">
        <v>0</v>
      </c>
      <c r="R104" s="35"/>
      <c r="S104" s="35">
        <v>0</v>
      </c>
      <c r="T104" s="35"/>
      <c r="U104" s="35">
        <v>0</v>
      </c>
      <c r="V104" s="35"/>
      <c r="W104" s="35">
        <f t="shared" si="18"/>
        <v>0</v>
      </c>
      <c r="X104" s="35"/>
      <c r="Y104" s="35" t="s">
        <v>133</v>
      </c>
      <c r="Z104" s="55"/>
      <c r="AA104" s="35" t="s">
        <v>27</v>
      </c>
      <c r="AB104" s="35"/>
      <c r="AC104" s="35">
        <v>0</v>
      </c>
      <c r="AD104" s="35"/>
      <c r="AE104" s="35">
        <v>0</v>
      </c>
      <c r="AF104" s="35"/>
      <c r="AG104" s="35">
        <v>0</v>
      </c>
      <c r="AH104" s="35"/>
      <c r="AI104" s="45">
        <v>0</v>
      </c>
      <c r="AJ104" s="45"/>
      <c r="AK104" s="35">
        <v>0</v>
      </c>
      <c r="AL104" s="35"/>
      <c r="AM104" s="35">
        <v>0</v>
      </c>
      <c r="AN104" s="35"/>
      <c r="AO104" s="35">
        <v>0</v>
      </c>
      <c r="AP104" s="35"/>
      <c r="AQ104" s="35">
        <v>0</v>
      </c>
      <c r="AR104" s="35"/>
      <c r="AS104" s="45">
        <f t="shared" si="25"/>
        <v>0</v>
      </c>
      <c r="AT104" s="45"/>
      <c r="AU104" s="35">
        <v>0</v>
      </c>
      <c r="AV104" s="35"/>
      <c r="AW104" s="35">
        <v>0</v>
      </c>
      <c r="AX104" s="35"/>
      <c r="AY104" s="35">
        <f t="shared" si="21"/>
        <v>0</v>
      </c>
      <c r="AZ104" s="35"/>
      <c r="BA104" s="35" t="s">
        <v>133</v>
      </c>
      <c r="BB104" s="55"/>
      <c r="BC104" s="35" t="s">
        <v>27</v>
      </c>
      <c r="BD104" s="35"/>
      <c r="BE104" s="35">
        <v>0</v>
      </c>
      <c r="BF104" s="35"/>
      <c r="BG104" s="35">
        <v>0</v>
      </c>
      <c r="BH104" s="35"/>
      <c r="BI104" s="35">
        <v>0</v>
      </c>
      <c r="BJ104" s="35"/>
      <c r="BK104" s="35">
        <v>0</v>
      </c>
      <c r="BL104" s="35"/>
      <c r="BM104" s="35">
        <f t="shared" si="24"/>
        <v>0</v>
      </c>
      <c r="BN104" s="54" t="s">
        <v>347</v>
      </c>
    </row>
    <row r="105" spans="1:67" ht="12.75" hidden="1" customHeight="1">
      <c r="A105" s="35" t="s">
        <v>134</v>
      </c>
      <c r="C105" s="35" t="s">
        <v>135</v>
      </c>
      <c r="D105" s="35"/>
      <c r="E105" s="35">
        <f t="shared" si="19"/>
        <v>0</v>
      </c>
      <c r="F105" s="35"/>
      <c r="G105" s="35"/>
      <c r="H105" s="35"/>
      <c r="I105" s="35"/>
      <c r="J105" s="35"/>
      <c r="K105" s="35">
        <f t="shared" si="20"/>
        <v>0</v>
      </c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>
        <f t="shared" si="18"/>
        <v>0</v>
      </c>
      <c r="X105" s="35"/>
      <c r="Y105" s="35" t="s">
        <v>134</v>
      </c>
      <c r="Z105" s="55"/>
      <c r="AA105" s="35" t="s">
        <v>135</v>
      </c>
      <c r="AB105" s="35"/>
      <c r="AC105" s="35"/>
      <c r="AD105" s="35"/>
      <c r="AE105" s="35"/>
      <c r="AF105" s="35"/>
      <c r="AG105" s="35"/>
      <c r="AH105" s="35"/>
      <c r="AI105" s="45">
        <f>+AC105-AE105-AG105</f>
        <v>0</v>
      </c>
      <c r="AJ105" s="45"/>
      <c r="AK105" s="35"/>
      <c r="AL105" s="35"/>
      <c r="AM105" s="35"/>
      <c r="AN105" s="35"/>
      <c r="AO105" s="35"/>
      <c r="AP105" s="35"/>
      <c r="AQ105" s="35"/>
      <c r="AR105" s="35"/>
      <c r="AS105" s="45">
        <f t="shared" si="25"/>
        <v>0</v>
      </c>
      <c r="AT105" s="45"/>
      <c r="AU105" s="35">
        <v>0</v>
      </c>
      <c r="AV105" s="35"/>
      <c r="AW105" s="35">
        <v>0</v>
      </c>
      <c r="AX105" s="35"/>
      <c r="AY105" s="35">
        <f t="shared" si="21"/>
        <v>0</v>
      </c>
      <c r="AZ105" s="35"/>
      <c r="BA105" s="35" t="s">
        <v>134</v>
      </c>
      <c r="BB105" s="55"/>
      <c r="BC105" s="35" t="s">
        <v>135</v>
      </c>
      <c r="BD105" s="35"/>
      <c r="BE105" s="35"/>
      <c r="BF105" s="35"/>
      <c r="BG105" s="35"/>
      <c r="BH105" s="35"/>
      <c r="BI105" s="35"/>
      <c r="BJ105" s="35"/>
      <c r="BK105" s="35"/>
      <c r="BL105" s="35"/>
      <c r="BM105" s="35">
        <f t="shared" si="24"/>
        <v>0</v>
      </c>
      <c r="BN105" s="54" t="s">
        <v>347</v>
      </c>
    </row>
    <row r="106" spans="1:67" ht="12.75" customHeight="1">
      <c r="A106" s="35" t="s">
        <v>136</v>
      </c>
      <c r="C106" s="35" t="s">
        <v>136</v>
      </c>
      <c r="D106" s="35"/>
      <c r="E106" s="35">
        <f t="shared" si="19"/>
        <v>9328585</v>
      </c>
      <c r="F106" s="35"/>
      <c r="G106" s="35">
        <v>8130583</v>
      </c>
      <c r="H106" s="35"/>
      <c r="I106" s="35">
        <v>17459168</v>
      </c>
      <c r="J106" s="35"/>
      <c r="K106" s="35">
        <f t="shared" si="20"/>
        <v>1562568</v>
      </c>
      <c r="L106" s="35"/>
      <c r="M106" s="35">
        <v>5128003</v>
      </c>
      <c r="N106" s="35"/>
      <c r="O106" s="35">
        <v>6690571</v>
      </c>
      <c r="P106" s="35"/>
      <c r="Q106" s="35">
        <v>2060589</v>
      </c>
      <c r="R106" s="35"/>
      <c r="S106" s="35">
        <v>651191</v>
      </c>
      <c r="T106" s="35"/>
      <c r="U106" s="35">
        <v>8056817</v>
      </c>
      <c r="V106" s="35"/>
      <c r="W106" s="35">
        <f t="shared" si="18"/>
        <v>10768597</v>
      </c>
      <c r="X106" s="35"/>
      <c r="Y106" s="35" t="s">
        <v>136</v>
      </c>
      <c r="Z106" s="55"/>
      <c r="AA106" s="35" t="s">
        <v>136</v>
      </c>
      <c r="AB106" s="35"/>
      <c r="AC106" s="35">
        <v>14969020</v>
      </c>
      <c r="AD106" s="35"/>
      <c r="AE106" s="35">
        <v>12921715</v>
      </c>
      <c r="AF106" s="35"/>
      <c r="AG106" s="35">
        <v>163727</v>
      </c>
      <c r="AH106" s="35"/>
      <c r="AI106" s="45">
        <f>+AC106-AE106-AG106</f>
        <v>1883578</v>
      </c>
      <c r="AJ106" s="45"/>
      <c r="AK106" s="35">
        <v>-395156</v>
      </c>
      <c r="AL106" s="35"/>
      <c r="AM106" s="35">
        <v>0</v>
      </c>
      <c r="AN106" s="35"/>
      <c r="AO106" s="35">
        <v>0</v>
      </c>
      <c r="AP106" s="35"/>
      <c r="AQ106" s="35">
        <v>0</v>
      </c>
      <c r="AR106" s="35"/>
      <c r="AS106" s="45">
        <f t="shared" si="25"/>
        <v>1488422</v>
      </c>
      <c r="AT106" s="45"/>
      <c r="AU106" s="35">
        <v>0</v>
      </c>
      <c r="AV106" s="35"/>
      <c r="AW106" s="35">
        <v>0</v>
      </c>
      <c r="AX106" s="35"/>
      <c r="AY106" s="35">
        <f t="shared" si="21"/>
        <v>7766017</v>
      </c>
      <c r="AZ106" s="35"/>
      <c r="BA106" s="35" t="s">
        <v>136</v>
      </c>
      <c r="BB106" s="55"/>
      <c r="BC106" s="35" t="s">
        <v>136</v>
      </c>
      <c r="BD106" s="35"/>
      <c r="BE106" s="35">
        <v>0</v>
      </c>
      <c r="BF106" s="35"/>
      <c r="BG106" s="35">
        <v>4791000</v>
      </c>
      <c r="BH106" s="35"/>
      <c r="BI106" s="35">
        <v>0</v>
      </c>
      <c r="BJ106" s="35"/>
      <c r="BK106" s="35">
        <v>337003</v>
      </c>
      <c r="BL106" s="35"/>
      <c r="BM106" s="35">
        <f t="shared" si="24"/>
        <v>5128003</v>
      </c>
      <c r="BN106" s="54" t="s">
        <v>347</v>
      </c>
    </row>
    <row r="107" spans="1:67" ht="12.75" hidden="1" customHeight="1">
      <c r="A107" s="35" t="s">
        <v>137</v>
      </c>
      <c r="C107" s="35" t="s">
        <v>22</v>
      </c>
      <c r="D107" s="35"/>
      <c r="E107" s="35">
        <f t="shared" si="19"/>
        <v>0</v>
      </c>
      <c r="F107" s="35"/>
      <c r="G107" s="35">
        <v>0</v>
      </c>
      <c r="H107" s="35"/>
      <c r="I107" s="35">
        <v>0</v>
      </c>
      <c r="J107" s="35"/>
      <c r="K107" s="35">
        <f t="shared" si="20"/>
        <v>0</v>
      </c>
      <c r="L107" s="35"/>
      <c r="M107" s="35">
        <v>0</v>
      </c>
      <c r="N107" s="35"/>
      <c r="O107" s="35">
        <v>0</v>
      </c>
      <c r="P107" s="35"/>
      <c r="Q107" s="35">
        <v>0</v>
      </c>
      <c r="R107" s="35"/>
      <c r="S107" s="35">
        <v>0</v>
      </c>
      <c r="T107" s="35"/>
      <c r="U107" s="35">
        <v>0</v>
      </c>
      <c r="V107" s="35"/>
      <c r="W107" s="35">
        <f t="shared" ref="W107:W138" si="26">SUM(Q107:U107)</f>
        <v>0</v>
      </c>
      <c r="X107" s="35"/>
      <c r="Y107" s="35" t="s">
        <v>137</v>
      </c>
      <c r="Z107" s="55"/>
      <c r="AA107" s="35" t="s">
        <v>22</v>
      </c>
      <c r="AB107" s="35"/>
      <c r="AC107" s="35">
        <v>0</v>
      </c>
      <c r="AD107" s="35"/>
      <c r="AE107" s="35">
        <v>0</v>
      </c>
      <c r="AF107" s="35"/>
      <c r="AG107" s="35">
        <v>0</v>
      </c>
      <c r="AH107" s="35"/>
      <c r="AI107" s="45">
        <v>0</v>
      </c>
      <c r="AJ107" s="45"/>
      <c r="AK107" s="35">
        <v>0</v>
      </c>
      <c r="AL107" s="35"/>
      <c r="AM107" s="35">
        <v>0</v>
      </c>
      <c r="AN107" s="35"/>
      <c r="AO107" s="35">
        <v>0</v>
      </c>
      <c r="AP107" s="35"/>
      <c r="AQ107" s="35">
        <v>0</v>
      </c>
      <c r="AR107" s="35"/>
      <c r="AS107" s="45">
        <f t="shared" si="25"/>
        <v>0</v>
      </c>
      <c r="AT107" s="45"/>
      <c r="AU107" s="35">
        <v>0</v>
      </c>
      <c r="AV107" s="35"/>
      <c r="AW107" s="35">
        <v>0</v>
      </c>
      <c r="AX107" s="35"/>
      <c r="AY107" s="35">
        <f t="shared" si="21"/>
        <v>0</v>
      </c>
      <c r="AZ107" s="35"/>
      <c r="BA107" s="35" t="s">
        <v>137</v>
      </c>
      <c r="BB107" s="55"/>
      <c r="BC107" s="35" t="s">
        <v>22</v>
      </c>
      <c r="BD107" s="35"/>
      <c r="BE107" s="35">
        <v>0</v>
      </c>
      <c r="BF107" s="35"/>
      <c r="BG107" s="35">
        <v>0</v>
      </c>
      <c r="BH107" s="35"/>
      <c r="BI107" s="35">
        <v>0</v>
      </c>
      <c r="BJ107" s="35"/>
      <c r="BK107" s="35">
        <v>0</v>
      </c>
      <c r="BL107" s="35"/>
      <c r="BM107" s="35">
        <f t="shared" si="24"/>
        <v>0</v>
      </c>
      <c r="BN107" s="54" t="s">
        <v>347</v>
      </c>
    </row>
    <row r="108" spans="1:67" ht="12.75" hidden="1" customHeight="1">
      <c r="A108" s="35" t="s">
        <v>138</v>
      </c>
      <c r="C108" s="35" t="s">
        <v>139</v>
      </c>
      <c r="D108" s="35"/>
      <c r="E108" s="35">
        <f t="shared" si="19"/>
        <v>0</v>
      </c>
      <c r="F108" s="35"/>
      <c r="G108" s="35"/>
      <c r="H108" s="35"/>
      <c r="I108" s="35"/>
      <c r="J108" s="35"/>
      <c r="K108" s="35">
        <f t="shared" si="20"/>
        <v>0</v>
      </c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>
        <f t="shared" si="26"/>
        <v>0</v>
      </c>
      <c r="X108" s="35"/>
      <c r="Y108" s="35" t="s">
        <v>138</v>
      </c>
      <c r="Z108" s="55"/>
      <c r="AA108" s="35" t="s">
        <v>139</v>
      </c>
      <c r="AB108" s="35"/>
      <c r="AC108" s="35"/>
      <c r="AD108" s="35"/>
      <c r="AE108" s="35"/>
      <c r="AF108" s="35"/>
      <c r="AG108" s="35"/>
      <c r="AH108" s="35"/>
      <c r="AI108" s="45">
        <f t="shared" ref="AI108:AI117" si="27">+AC108-AE108-AG108</f>
        <v>0</v>
      </c>
      <c r="AJ108" s="45"/>
      <c r="AK108" s="35"/>
      <c r="AL108" s="35"/>
      <c r="AM108" s="35"/>
      <c r="AN108" s="35"/>
      <c r="AO108" s="35"/>
      <c r="AP108" s="35"/>
      <c r="AQ108" s="35"/>
      <c r="AR108" s="35"/>
      <c r="AS108" s="45">
        <f t="shared" si="25"/>
        <v>0</v>
      </c>
      <c r="AT108" s="45"/>
      <c r="AU108" s="35">
        <v>0</v>
      </c>
      <c r="AV108" s="35"/>
      <c r="AW108" s="35">
        <v>0</v>
      </c>
      <c r="AX108" s="35"/>
      <c r="AY108" s="35">
        <f t="shared" si="21"/>
        <v>0</v>
      </c>
      <c r="AZ108" s="35"/>
      <c r="BA108" s="35" t="s">
        <v>138</v>
      </c>
      <c r="BB108" s="55"/>
      <c r="BC108" s="35" t="s">
        <v>139</v>
      </c>
      <c r="BD108" s="35"/>
      <c r="BE108" s="35"/>
      <c r="BF108" s="35"/>
      <c r="BG108" s="35"/>
      <c r="BH108" s="35"/>
      <c r="BI108" s="35"/>
      <c r="BJ108" s="35"/>
      <c r="BK108" s="35"/>
      <c r="BL108" s="35"/>
      <c r="BM108" s="35">
        <f t="shared" si="24"/>
        <v>0</v>
      </c>
      <c r="BN108" s="54" t="s">
        <v>347</v>
      </c>
    </row>
    <row r="109" spans="1:67" ht="12.75" hidden="1" customHeight="1">
      <c r="A109" s="35" t="s">
        <v>140</v>
      </c>
      <c r="C109" s="35" t="s">
        <v>66</v>
      </c>
      <c r="D109" s="35"/>
      <c r="E109" s="35">
        <f t="shared" si="19"/>
        <v>0</v>
      </c>
      <c r="F109" s="35"/>
      <c r="G109" s="35">
        <v>0</v>
      </c>
      <c r="H109" s="35"/>
      <c r="I109" s="35">
        <v>0</v>
      </c>
      <c r="J109" s="35"/>
      <c r="K109" s="35">
        <f t="shared" si="20"/>
        <v>0</v>
      </c>
      <c r="L109" s="35"/>
      <c r="M109" s="35">
        <v>0</v>
      </c>
      <c r="N109" s="35"/>
      <c r="O109" s="35">
        <v>0</v>
      </c>
      <c r="P109" s="35"/>
      <c r="Q109" s="35">
        <v>0</v>
      </c>
      <c r="R109" s="35"/>
      <c r="S109" s="35">
        <v>0</v>
      </c>
      <c r="T109" s="35"/>
      <c r="U109" s="35">
        <v>0</v>
      </c>
      <c r="V109" s="35"/>
      <c r="W109" s="35">
        <f t="shared" si="26"/>
        <v>0</v>
      </c>
      <c r="X109" s="35"/>
      <c r="Y109" s="35" t="s">
        <v>140</v>
      </c>
      <c r="Z109" s="55"/>
      <c r="AA109" s="35" t="s">
        <v>66</v>
      </c>
      <c r="AB109" s="35"/>
      <c r="AC109" s="35">
        <v>0</v>
      </c>
      <c r="AD109" s="35"/>
      <c r="AE109" s="35">
        <v>0</v>
      </c>
      <c r="AF109" s="35"/>
      <c r="AG109" s="35">
        <v>0</v>
      </c>
      <c r="AH109" s="35"/>
      <c r="AI109" s="45">
        <f t="shared" si="27"/>
        <v>0</v>
      </c>
      <c r="AJ109" s="45"/>
      <c r="AK109" s="35">
        <v>0</v>
      </c>
      <c r="AL109" s="35"/>
      <c r="AM109" s="35">
        <v>0</v>
      </c>
      <c r="AN109" s="35"/>
      <c r="AO109" s="35">
        <v>0</v>
      </c>
      <c r="AP109" s="35"/>
      <c r="AQ109" s="35">
        <v>0</v>
      </c>
      <c r="AR109" s="35"/>
      <c r="AS109" s="45">
        <v>0</v>
      </c>
      <c r="AT109" s="45"/>
      <c r="AU109" s="35">
        <v>0</v>
      </c>
      <c r="AV109" s="35"/>
      <c r="AW109" s="35">
        <v>0</v>
      </c>
      <c r="AX109" s="35"/>
      <c r="AY109" s="35">
        <v>0</v>
      </c>
      <c r="AZ109" s="35"/>
      <c r="BA109" s="35" t="s">
        <v>140</v>
      </c>
      <c r="BB109" s="55"/>
      <c r="BC109" s="35" t="s">
        <v>66</v>
      </c>
      <c r="BD109" s="35"/>
      <c r="BE109" s="35">
        <v>0</v>
      </c>
      <c r="BF109" s="35"/>
      <c r="BG109" s="35">
        <v>0</v>
      </c>
      <c r="BH109" s="35"/>
      <c r="BI109" s="35">
        <v>0</v>
      </c>
      <c r="BJ109" s="35"/>
      <c r="BK109" s="35">
        <v>0</v>
      </c>
      <c r="BL109" s="35"/>
      <c r="BM109" s="35">
        <f t="shared" si="24"/>
        <v>0</v>
      </c>
      <c r="BN109" s="54" t="s">
        <v>347</v>
      </c>
    </row>
    <row r="110" spans="1:67" ht="12.75" hidden="1" customHeight="1">
      <c r="A110" s="35" t="s">
        <v>141</v>
      </c>
      <c r="C110" s="35" t="s">
        <v>27</v>
      </c>
      <c r="D110" s="35"/>
      <c r="E110" s="35">
        <f t="shared" si="19"/>
        <v>0</v>
      </c>
      <c r="F110" s="35"/>
      <c r="G110" s="35"/>
      <c r="H110" s="35"/>
      <c r="I110" s="35"/>
      <c r="J110" s="35"/>
      <c r="K110" s="35">
        <f t="shared" si="20"/>
        <v>0</v>
      </c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>
        <f t="shared" si="26"/>
        <v>0</v>
      </c>
      <c r="X110" s="35"/>
      <c r="Y110" s="35" t="s">
        <v>141</v>
      </c>
      <c r="Z110" s="55"/>
      <c r="AA110" s="35" t="s">
        <v>27</v>
      </c>
      <c r="AB110" s="35"/>
      <c r="AC110" s="35"/>
      <c r="AD110" s="35"/>
      <c r="AE110" s="35"/>
      <c r="AF110" s="35"/>
      <c r="AG110" s="35"/>
      <c r="AH110" s="35"/>
      <c r="AI110" s="45">
        <f t="shared" si="27"/>
        <v>0</v>
      </c>
      <c r="AJ110" s="45"/>
      <c r="AK110" s="35"/>
      <c r="AL110" s="35"/>
      <c r="AM110" s="35"/>
      <c r="AN110" s="35"/>
      <c r="AO110" s="35"/>
      <c r="AP110" s="35"/>
      <c r="AQ110" s="35"/>
      <c r="AR110" s="35"/>
      <c r="AS110" s="45">
        <f t="shared" ref="AS110:AS141" si="28">+AI110+AK110+AM110-AO110+AQ110</f>
        <v>0</v>
      </c>
      <c r="AT110" s="45"/>
      <c r="AU110" s="35">
        <v>0</v>
      </c>
      <c r="AV110" s="35"/>
      <c r="AW110" s="35">
        <v>0</v>
      </c>
      <c r="AX110" s="35"/>
      <c r="AY110" s="35">
        <f t="shared" ref="AY110:AY141" si="29">+E110-K110</f>
        <v>0</v>
      </c>
      <c r="AZ110" s="35"/>
      <c r="BA110" s="35" t="s">
        <v>141</v>
      </c>
      <c r="BB110" s="55"/>
      <c r="BC110" s="35" t="s">
        <v>27</v>
      </c>
      <c r="BD110" s="35"/>
      <c r="BE110" s="35"/>
      <c r="BF110" s="35"/>
      <c r="BG110" s="35"/>
      <c r="BH110" s="35"/>
      <c r="BI110" s="35"/>
      <c r="BJ110" s="35"/>
      <c r="BK110" s="35"/>
      <c r="BL110" s="35"/>
      <c r="BM110" s="35">
        <f t="shared" si="24"/>
        <v>0</v>
      </c>
      <c r="BN110" s="54" t="s">
        <v>347</v>
      </c>
      <c r="BO110" s="55" t="s">
        <v>372</v>
      </c>
    </row>
    <row r="111" spans="1:67" ht="12.75" hidden="1" customHeight="1">
      <c r="A111" s="35" t="s">
        <v>142</v>
      </c>
      <c r="C111" s="35" t="s">
        <v>102</v>
      </c>
      <c r="D111" s="35"/>
      <c r="E111" s="35">
        <f t="shared" si="19"/>
        <v>0</v>
      </c>
      <c r="F111" s="35"/>
      <c r="G111" s="35">
        <v>0</v>
      </c>
      <c r="H111" s="35"/>
      <c r="I111" s="35">
        <v>0</v>
      </c>
      <c r="J111" s="35"/>
      <c r="K111" s="35">
        <f t="shared" si="20"/>
        <v>0</v>
      </c>
      <c r="L111" s="35"/>
      <c r="M111" s="35">
        <v>0</v>
      </c>
      <c r="N111" s="35"/>
      <c r="O111" s="35">
        <v>0</v>
      </c>
      <c r="P111" s="35"/>
      <c r="Q111" s="35">
        <v>0</v>
      </c>
      <c r="R111" s="35"/>
      <c r="S111" s="35">
        <v>0</v>
      </c>
      <c r="T111" s="35"/>
      <c r="U111" s="35">
        <v>0</v>
      </c>
      <c r="V111" s="35"/>
      <c r="W111" s="35">
        <f t="shared" si="26"/>
        <v>0</v>
      </c>
      <c r="X111" s="35"/>
      <c r="Y111" s="35" t="s">
        <v>142</v>
      </c>
      <c r="Z111" s="55"/>
      <c r="AA111" s="35" t="s">
        <v>102</v>
      </c>
      <c r="AB111" s="35"/>
      <c r="AC111" s="35">
        <v>0</v>
      </c>
      <c r="AD111" s="35"/>
      <c r="AE111" s="35">
        <v>0</v>
      </c>
      <c r="AF111" s="35"/>
      <c r="AG111" s="35">
        <v>0</v>
      </c>
      <c r="AH111" s="35"/>
      <c r="AI111" s="45">
        <f t="shared" si="27"/>
        <v>0</v>
      </c>
      <c r="AJ111" s="45"/>
      <c r="AK111" s="35">
        <v>0</v>
      </c>
      <c r="AL111" s="35"/>
      <c r="AM111" s="35">
        <v>0</v>
      </c>
      <c r="AN111" s="35"/>
      <c r="AO111" s="35">
        <v>0</v>
      </c>
      <c r="AP111" s="35"/>
      <c r="AQ111" s="35">
        <v>0</v>
      </c>
      <c r="AR111" s="35"/>
      <c r="AS111" s="45">
        <f t="shared" si="28"/>
        <v>0</v>
      </c>
      <c r="AT111" s="45"/>
      <c r="AU111" s="35">
        <v>0</v>
      </c>
      <c r="AV111" s="35"/>
      <c r="AW111" s="35">
        <v>0</v>
      </c>
      <c r="AX111" s="35"/>
      <c r="AY111" s="35">
        <f t="shared" si="29"/>
        <v>0</v>
      </c>
      <c r="AZ111" s="35"/>
      <c r="BA111" s="35" t="s">
        <v>142</v>
      </c>
      <c r="BB111" s="55"/>
      <c r="BC111" s="35" t="s">
        <v>102</v>
      </c>
      <c r="BD111" s="35"/>
      <c r="BE111" s="35">
        <v>0</v>
      </c>
      <c r="BF111" s="35"/>
      <c r="BG111" s="35">
        <v>0</v>
      </c>
      <c r="BH111" s="35"/>
      <c r="BI111" s="35">
        <v>0</v>
      </c>
      <c r="BJ111" s="35"/>
      <c r="BK111" s="35">
        <v>0</v>
      </c>
      <c r="BL111" s="35"/>
      <c r="BM111" s="35">
        <f t="shared" si="24"/>
        <v>0</v>
      </c>
      <c r="BN111" s="54" t="s">
        <v>347</v>
      </c>
      <c r="BO111" s="55" t="s">
        <v>372</v>
      </c>
    </row>
    <row r="112" spans="1:67" ht="12.75" customHeight="1">
      <c r="A112" s="35" t="s">
        <v>143</v>
      </c>
      <c r="C112" s="35" t="s">
        <v>111</v>
      </c>
      <c r="D112" s="35"/>
      <c r="E112" s="35">
        <f t="shared" si="19"/>
        <v>16258091</v>
      </c>
      <c r="F112" s="35"/>
      <c r="G112" s="35">
        <v>23677229</v>
      </c>
      <c r="H112" s="35"/>
      <c r="I112" s="35">
        <v>39935320</v>
      </c>
      <c r="J112" s="35"/>
      <c r="K112" s="35">
        <f t="shared" si="20"/>
        <v>5923603</v>
      </c>
      <c r="L112" s="35"/>
      <c r="M112" s="35">
        <v>14562730</v>
      </c>
      <c r="N112" s="35"/>
      <c r="O112" s="35">
        <v>20486333</v>
      </c>
      <c r="P112" s="35"/>
      <c r="Q112" s="35">
        <v>-4564071</v>
      </c>
      <c r="R112" s="35"/>
      <c r="S112" s="35">
        <v>5779434</v>
      </c>
      <c r="T112" s="35"/>
      <c r="U112" s="35">
        <v>18327195</v>
      </c>
      <c r="V112" s="35"/>
      <c r="W112" s="35">
        <f t="shared" si="26"/>
        <v>19542558</v>
      </c>
      <c r="X112" s="35"/>
      <c r="Y112" s="35" t="s">
        <v>143</v>
      </c>
      <c r="Z112" s="55"/>
      <c r="AA112" s="35" t="s">
        <v>111</v>
      </c>
      <c r="AB112" s="35"/>
      <c r="AC112" s="35">
        <v>31900</v>
      </c>
      <c r="AD112" s="35"/>
      <c r="AE112" s="35">
        <v>24734072</v>
      </c>
      <c r="AF112" s="35"/>
      <c r="AG112" s="35">
        <v>827845</v>
      </c>
      <c r="AH112" s="35"/>
      <c r="AI112" s="45">
        <f t="shared" si="27"/>
        <v>-25530017</v>
      </c>
      <c r="AJ112" s="45"/>
      <c r="AK112" s="35">
        <v>-689484</v>
      </c>
      <c r="AL112" s="35"/>
      <c r="AM112" s="35">
        <v>149032</v>
      </c>
      <c r="AN112" s="35"/>
      <c r="AO112" s="35">
        <v>-61692</v>
      </c>
      <c r="AP112" s="35"/>
      <c r="AQ112" s="35">
        <v>0</v>
      </c>
      <c r="AR112" s="35"/>
      <c r="AS112" s="45">
        <f t="shared" si="28"/>
        <v>-26008777</v>
      </c>
      <c r="AT112" s="45"/>
      <c r="AU112" s="35">
        <v>0</v>
      </c>
      <c r="AV112" s="35"/>
      <c r="AW112" s="35">
        <v>0</v>
      </c>
      <c r="AX112" s="35"/>
      <c r="AY112" s="35">
        <f t="shared" si="29"/>
        <v>10334488</v>
      </c>
      <c r="AZ112" s="35"/>
      <c r="BA112" s="35" t="s">
        <v>143</v>
      </c>
      <c r="BB112" s="55"/>
      <c r="BC112" s="35" t="s">
        <v>111</v>
      </c>
      <c r="BD112" s="35"/>
      <c r="BE112" s="35">
        <v>0</v>
      </c>
      <c r="BF112" s="35"/>
      <c r="BG112" s="35">
        <v>14474635</v>
      </c>
      <c r="BH112" s="35"/>
      <c r="BI112" s="35">
        <v>0</v>
      </c>
      <c r="BJ112" s="35"/>
      <c r="BK112" s="35">
        <v>88095</v>
      </c>
      <c r="BL112" s="35"/>
      <c r="BM112" s="35">
        <f t="shared" si="24"/>
        <v>14562730</v>
      </c>
      <c r="BN112" s="54" t="s">
        <v>347</v>
      </c>
      <c r="BO112" s="55" t="s">
        <v>315</v>
      </c>
    </row>
    <row r="113" spans="1:66" ht="12.75" hidden="1" customHeight="1">
      <c r="A113" s="35" t="s">
        <v>144</v>
      </c>
      <c r="C113" s="35" t="s">
        <v>88</v>
      </c>
      <c r="D113" s="35"/>
      <c r="E113" s="35">
        <f t="shared" si="19"/>
        <v>0</v>
      </c>
      <c r="F113" s="35"/>
      <c r="G113" s="35">
        <v>0</v>
      </c>
      <c r="H113" s="35"/>
      <c r="I113" s="35">
        <v>0</v>
      </c>
      <c r="J113" s="35"/>
      <c r="K113" s="35">
        <f t="shared" si="20"/>
        <v>0</v>
      </c>
      <c r="L113" s="35"/>
      <c r="M113" s="35">
        <v>0</v>
      </c>
      <c r="N113" s="35"/>
      <c r="O113" s="35">
        <v>0</v>
      </c>
      <c r="P113" s="35"/>
      <c r="Q113" s="35">
        <v>0</v>
      </c>
      <c r="R113" s="35"/>
      <c r="S113" s="35">
        <v>0</v>
      </c>
      <c r="T113" s="35"/>
      <c r="U113" s="35">
        <v>0</v>
      </c>
      <c r="V113" s="35"/>
      <c r="W113" s="35">
        <f t="shared" si="26"/>
        <v>0</v>
      </c>
      <c r="X113" s="35"/>
      <c r="Y113" s="35" t="s">
        <v>144</v>
      </c>
      <c r="Z113" s="55"/>
      <c r="AA113" s="35" t="s">
        <v>88</v>
      </c>
      <c r="AB113" s="35"/>
      <c r="AC113" s="35">
        <v>0</v>
      </c>
      <c r="AD113" s="35"/>
      <c r="AE113" s="35">
        <v>0</v>
      </c>
      <c r="AF113" s="35"/>
      <c r="AG113" s="35">
        <v>0</v>
      </c>
      <c r="AH113" s="35"/>
      <c r="AI113" s="45">
        <f t="shared" si="27"/>
        <v>0</v>
      </c>
      <c r="AJ113" s="45"/>
      <c r="AK113" s="35">
        <v>0</v>
      </c>
      <c r="AL113" s="35"/>
      <c r="AM113" s="35">
        <v>0</v>
      </c>
      <c r="AN113" s="35"/>
      <c r="AO113" s="35">
        <v>0</v>
      </c>
      <c r="AP113" s="35"/>
      <c r="AQ113" s="35">
        <v>0</v>
      </c>
      <c r="AR113" s="35"/>
      <c r="AS113" s="45">
        <f t="shared" si="28"/>
        <v>0</v>
      </c>
      <c r="AT113" s="45"/>
      <c r="AU113" s="35">
        <v>0</v>
      </c>
      <c r="AV113" s="35"/>
      <c r="AW113" s="35">
        <v>0</v>
      </c>
      <c r="AX113" s="35"/>
      <c r="AY113" s="35">
        <f t="shared" si="29"/>
        <v>0</v>
      </c>
      <c r="AZ113" s="35"/>
      <c r="BA113" s="35" t="s">
        <v>144</v>
      </c>
      <c r="BB113" s="55"/>
      <c r="BC113" s="35" t="s">
        <v>88</v>
      </c>
      <c r="BD113" s="35"/>
      <c r="BE113" s="35">
        <v>0</v>
      </c>
      <c r="BF113" s="35"/>
      <c r="BG113" s="35">
        <v>0</v>
      </c>
      <c r="BH113" s="35"/>
      <c r="BI113" s="35">
        <v>0</v>
      </c>
      <c r="BJ113" s="35"/>
      <c r="BK113" s="35">
        <v>0</v>
      </c>
      <c r="BL113" s="35"/>
      <c r="BM113" s="35">
        <f t="shared" si="24"/>
        <v>0</v>
      </c>
      <c r="BN113" s="54" t="s">
        <v>347</v>
      </c>
    </row>
    <row r="114" spans="1:66" ht="12.75" hidden="1" customHeight="1">
      <c r="A114" s="35" t="s">
        <v>36</v>
      </c>
      <c r="C114" s="35" t="s">
        <v>145</v>
      </c>
      <c r="D114" s="35"/>
      <c r="E114" s="35">
        <f t="shared" si="19"/>
        <v>0</v>
      </c>
      <c r="F114" s="35"/>
      <c r="G114" s="35">
        <v>0</v>
      </c>
      <c r="H114" s="35"/>
      <c r="I114" s="35">
        <v>0</v>
      </c>
      <c r="J114" s="35"/>
      <c r="K114" s="35">
        <f t="shared" si="20"/>
        <v>0</v>
      </c>
      <c r="L114" s="35"/>
      <c r="M114" s="35">
        <v>0</v>
      </c>
      <c r="N114" s="35"/>
      <c r="O114" s="35">
        <v>0</v>
      </c>
      <c r="P114" s="35"/>
      <c r="Q114" s="35">
        <v>0</v>
      </c>
      <c r="R114" s="35"/>
      <c r="S114" s="35">
        <v>0</v>
      </c>
      <c r="T114" s="35"/>
      <c r="U114" s="35">
        <v>0</v>
      </c>
      <c r="V114" s="35"/>
      <c r="W114" s="35">
        <f t="shared" si="26"/>
        <v>0</v>
      </c>
      <c r="X114" s="35"/>
      <c r="Y114" s="35" t="s">
        <v>36</v>
      </c>
      <c r="Z114" s="55"/>
      <c r="AA114" s="35" t="s">
        <v>145</v>
      </c>
      <c r="AB114" s="35"/>
      <c r="AC114" s="35">
        <v>0</v>
      </c>
      <c r="AD114" s="35"/>
      <c r="AE114" s="35">
        <v>0</v>
      </c>
      <c r="AF114" s="35"/>
      <c r="AG114" s="35">
        <v>0</v>
      </c>
      <c r="AH114" s="35"/>
      <c r="AI114" s="45">
        <f t="shared" si="27"/>
        <v>0</v>
      </c>
      <c r="AJ114" s="45"/>
      <c r="AK114" s="35">
        <v>0</v>
      </c>
      <c r="AL114" s="35"/>
      <c r="AM114" s="35">
        <v>0</v>
      </c>
      <c r="AN114" s="35"/>
      <c r="AO114" s="35">
        <v>0</v>
      </c>
      <c r="AP114" s="35"/>
      <c r="AQ114" s="35">
        <v>0</v>
      </c>
      <c r="AR114" s="35"/>
      <c r="AS114" s="45">
        <f t="shared" si="28"/>
        <v>0</v>
      </c>
      <c r="AT114" s="45"/>
      <c r="AU114" s="35">
        <v>0</v>
      </c>
      <c r="AV114" s="35"/>
      <c r="AW114" s="35">
        <v>0</v>
      </c>
      <c r="AX114" s="35"/>
      <c r="AY114" s="35">
        <f t="shared" si="29"/>
        <v>0</v>
      </c>
      <c r="AZ114" s="35"/>
      <c r="BA114" s="35" t="s">
        <v>36</v>
      </c>
      <c r="BB114" s="55"/>
      <c r="BC114" s="35" t="s">
        <v>145</v>
      </c>
      <c r="BD114" s="35"/>
      <c r="BE114" s="35">
        <v>0</v>
      </c>
      <c r="BF114" s="35"/>
      <c r="BG114" s="35">
        <v>0</v>
      </c>
      <c r="BH114" s="35"/>
      <c r="BI114" s="35">
        <v>0</v>
      </c>
      <c r="BJ114" s="35"/>
      <c r="BK114" s="35">
        <v>0</v>
      </c>
      <c r="BL114" s="35"/>
      <c r="BM114" s="35">
        <f t="shared" si="24"/>
        <v>0</v>
      </c>
      <c r="BN114" s="54" t="s">
        <v>347</v>
      </c>
    </row>
    <row r="115" spans="1:66" ht="12.75" hidden="1" customHeight="1">
      <c r="A115" s="35" t="s">
        <v>146</v>
      </c>
      <c r="C115" s="35" t="s">
        <v>147</v>
      </c>
      <c r="D115" s="35"/>
      <c r="E115" s="35">
        <f t="shared" si="19"/>
        <v>0</v>
      </c>
      <c r="F115" s="35"/>
      <c r="G115" s="35">
        <v>0</v>
      </c>
      <c r="H115" s="35"/>
      <c r="I115" s="35">
        <v>0</v>
      </c>
      <c r="J115" s="35"/>
      <c r="K115" s="35">
        <f t="shared" si="20"/>
        <v>0</v>
      </c>
      <c r="L115" s="35"/>
      <c r="M115" s="35">
        <v>0</v>
      </c>
      <c r="N115" s="35"/>
      <c r="O115" s="35">
        <v>0</v>
      </c>
      <c r="P115" s="35"/>
      <c r="Q115" s="35">
        <v>0</v>
      </c>
      <c r="R115" s="35"/>
      <c r="S115" s="35">
        <v>0</v>
      </c>
      <c r="T115" s="35"/>
      <c r="U115" s="35">
        <v>0</v>
      </c>
      <c r="V115" s="35"/>
      <c r="W115" s="35">
        <f t="shared" si="26"/>
        <v>0</v>
      </c>
      <c r="X115" s="35"/>
      <c r="Y115" s="35" t="s">
        <v>146</v>
      </c>
      <c r="Z115" s="55"/>
      <c r="AA115" s="35" t="s">
        <v>147</v>
      </c>
      <c r="AB115" s="35"/>
      <c r="AC115" s="35">
        <v>0</v>
      </c>
      <c r="AD115" s="35"/>
      <c r="AE115" s="35">
        <v>0</v>
      </c>
      <c r="AF115" s="35"/>
      <c r="AG115" s="35">
        <v>0</v>
      </c>
      <c r="AH115" s="35"/>
      <c r="AI115" s="45">
        <f t="shared" si="27"/>
        <v>0</v>
      </c>
      <c r="AJ115" s="45"/>
      <c r="AK115" s="35">
        <v>0</v>
      </c>
      <c r="AL115" s="35"/>
      <c r="AM115" s="35">
        <v>0</v>
      </c>
      <c r="AN115" s="35"/>
      <c r="AO115" s="35">
        <v>0</v>
      </c>
      <c r="AP115" s="35"/>
      <c r="AQ115" s="35">
        <v>0</v>
      </c>
      <c r="AR115" s="35"/>
      <c r="AS115" s="45">
        <f t="shared" si="28"/>
        <v>0</v>
      </c>
      <c r="AT115" s="45"/>
      <c r="AU115" s="35">
        <v>0</v>
      </c>
      <c r="AV115" s="35"/>
      <c r="AW115" s="35">
        <v>0</v>
      </c>
      <c r="AX115" s="35"/>
      <c r="AY115" s="35">
        <f t="shared" si="29"/>
        <v>0</v>
      </c>
      <c r="AZ115" s="35"/>
      <c r="BA115" s="35" t="s">
        <v>146</v>
      </c>
      <c r="BB115" s="55"/>
      <c r="BC115" s="35" t="s">
        <v>147</v>
      </c>
      <c r="BD115" s="35"/>
      <c r="BE115" s="35">
        <v>0</v>
      </c>
      <c r="BF115" s="35"/>
      <c r="BG115" s="35">
        <v>0</v>
      </c>
      <c r="BH115" s="35"/>
      <c r="BI115" s="35">
        <v>0</v>
      </c>
      <c r="BJ115" s="35"/>
      <c r="BK115" s="35">
        <v>0</v>
      </c>
      <c r="BL115" s="35"/>
      <c r="BM115" s="35">
        <f t="shared" si="24"/>
        <v>0</v>
      </c>
      <c r="BN115" s="54" t="s">
        <v>347</v>
      </c>
    </row>
    <row r="116" spans="1:66" ht="12.75" hidden="1" customHeight="1">
      <c r="A116" s="35" t="s">
        <v>17</v>
      </c>
      <c r="C116" s="35" t="s">
        <v>17</v>
      </c>
      <c r="D116" s="35"/>
      <c r="E116" s="35">
        <f t="shared" si="19"/>
        <v>0</v>
      </c>
      <c r="F116" s="35"/>
      <c r="G116" s="35"/>
      <c r="H116" s="35"/>
      <c r="I116" s="35"/>
      <c r="J116" s="35"/>
      <c r="K116" s="35">
        <f t="shared" si="20"/>
        <v>0</v>
      </c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>
        <f t="shared" si="26"/>
        <v>0</v>
      </c>
      <c r="X116" s="35"/>
      <c r="Y116" s="35" t="s">
        <v>17</v>
      </c>
      <c r="Z116" s="55"/>
      <c r="AA116" s="35" t="s">
        <v>17</v>
      </c>
      <c r="AB116" s="35"/>
      <c r="AC116" s="35"/>
      <c r="AD116" s="35"/>
      <c r="AE116" s="35"/>
      <c r="AF116" s="35"/>
      <c r="AG116" s="35"/>
      <c r="AH116" s="35"/>
      <c r="AI116" s="45">
        <f t="shared" si="27"/>
        <v>0</v>
      </c>
      <c r="AJ116" s="45"/>
      <c r="AK116" s="35"/>
      <c r="AL116" s="35"/>
      <c r="AM116" s="35"/>
      <c r="AN116" s="35"/>
      <c r="AO116" s="35"/>
      <c r="AP116" s="35"/>
      <c r="AQ116" s="35"/>
      <c r="AR116" s="35"/>
      <c r="AS116" s="45">
        <f t="shared" si="28"/>
        <v>0</v>
      </c>
      <c r="AT116" s="45"/>
      <c r="AU116" s="35">
        <v>0</v>
      </c>
      <c r="AV116" s="35"/>
      <c r="AW116" s="35">
        <v>0</v>
      </c>
      <c r="AX116" s="35"/>
      <c r="AY116" s="35">
        <f t="shared" si="29"/>
        <v>0</v>
      </c>
      <c r="AZ116" s="35"/>
      <c r="BA116" s="35" t="s">
        <v>17</v>
      </c>
      <c r="BB116" s="55"/>
      <c r="BC116" s="35" t="s">
        <v>17</v>
      </c>
      <c r="BD116" s="35"/>
      <c r="BE116" s="35"/>
      <c r="BF116" s="35"/>
      <c r="BG116" s="35"/>
      <c r="BH116" s="35"/>
      <c r="BI116" s="35"/>
      <c r="BJ116" s="35"/>
      <c r="BK116" s="35"/>
      <c r="BL116" s="35"/>
      <c r="BM116" s="35">
        <f t="shared" si="24"/>
        <v>0</v>
      </c>
      <c r="BN116" s="54" t="s">
        <v>347</v>
      </c>
    </row>
    <row r="117" spans="1:66" ht="12.75" hidden="1" customHeight="1">
      <c r="A117" s="35" t="s">
        <v>148</v>
      </c>
      <c r="C117" s="35" t="s">
        <v>15</v>
      </c>
      <c r="D117" s="35"/>
      <c r="E117" s="35">
        <f t="shared" si="19"/>
        <v>0</v>
      </c>
      <c r="F117" s="35"/>
      <c r="G117" s="35"/>
      <c r="H117" s="35"/>
      <c r="I117" s="35"/>
      <c r="J117" s="35"/>
      <c r="K117" s="35">
        <f t="shared" si="20"/>
        <v>0</v>
      </c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>
        <f t="shared" si="26"/>
        <v>0</v>
      </c>
      <c r="X117" s="35"/>
      <c r="Y117" s="35" t="s">
        <v>148</v>
      </c>
      <c r="Z117" s="55"/>
      <c r="AA117" s="35" t="s">
        <v>15</v>
      </c>
      <c r="AB117" s="35"/>
      <c r="AC117" s="35"/>
      <c r="AD117" s="35"/>
      <c r="AE117" s="35"/>
      <c r="AF117" s="35"/>
      <c r="AG117" s="35"/>
      <c r="AH117" s="35"/>
      <c r="AI117" s="45">
        <f t="shared" si="27"/>
        <v>0</v>
      </c>
      <c r="AJ117" s="45"/>
      <c r="AK117" s="35"/>
      <c r="AL117" s="35"/>
      <c r="AM117" s="35"/>
      <c r="AN117" s="35"/>
      <c r="AO117" s="35"/>
      <c r="AP117" s="35"/>
      <c r="AQ117" s="35"/>
      <c r="AR117" s="35"/>
      <c r="AS117" s="45">
        <f t="shared" si="28"/>
        <v>0</v>
      </c>
      <c r="AT117" s="45"/>
      <c r="AU117" s="35">
        <v>0</v>
      </c>
      <c r="AV117" s="35"/>
      <c r="AW117" s="35">
        <v>0</v>
      </c>
      <c r="AX117" s="35"/>
      <c r="AY117" s="35">
        <f t="shared" si="29"/>
        <v>0</v>
      </c>
      <c r="AZ117" s="35"/>
      <c r="BA117" s="35" t="s">
        <v>148</v>
      </c>
      <c r="BB117" s="55"/>
      <c r="BC117" s="35" t="s">
        <v>15</v>
      </c>
      <c r="BD117" s="35"/>
      <c r="BE117" s="35"/>
      <c r="BF117" s="35"/>
      <c r="BG117" s="35"/>
      <c r="BH117" s="35"/>
      <c r="BI117" s="35"/>
      <c r="BJ117" s="35"/>
      <c r="BK117" s="35"/>
      <c r="BL117" s="35"/>
      <c r="BM117" s="35">
        <f t="shared" si="24"/>
        <v>0</v>
      </c>
      <c r="BN117" s="54" t="s">
        <v>347</v>
      </c>
    </row>
    <row r="118" spans="1:66" ht="12.75" hidden="1" customHeight="1">
      <c r="A118" s="35" t="s">
        <v>149</v>
      </c>
      <c r="C118" s="35" t="s">
        <v>45</v>
      </c>
      <c r="D118" s="35"/>
      <c r="E118" s="35">
        <f t="shared" si="19"/>
        <v>0</v>
      </c>
      <c r="F118" s="35"/>
      <c r="G118" s="35">
        <v>0</v>
      </c>
      <c r="H118" s="35"/>
      <c r="I118" s="35">
        <v>0</v>
      </c>
      <c r="J118" s="35"/>
      <c r="K118" s="35">
        <f t="shared" si="20"/>
        <v>0</v>
      </c>
      <c r="L118" s="35"/>
      <c r="M118" s="35">
        <v>0</v>
      </c>
      <c r="N118" s="35"/>
      <c r="O118" s="35">
        <v>0</v>
      </c>
      <c r="P118" s="35"/>
      <c r="Q118" s="35">
        <v>0</v>
      </c>
      <c r="R118" s="35"/>
      <c r="S118" s="35">
        <v>0</v>
      </c>
      <c r="T118" s="35"/>
      <c r="U118" s="35">
        <v>0</v>
      </c>
      <c r="V118" s="35"/>
      <c r="W118" s="35">
        <f t="shared" si="26"/>
        <v>0</v>
      </c>
      <c r="X118" s="35"/>
      <c r="Y118" s="35" t="s">
        <v>149</v>
      </c>
      <c r="Z118" s="55"/>
      <c r="AA118" s="35" t="s">
        <v>45</v>
      </c>
      <c r="AB118" s="35"/>
      <c r="AC118" s="35">
        <v>0</v>
      </c>
      <c r="AD118" s="35"/>
      <c r="AE118" s="35">
        <v>0</v>
      </c>
      <c r="AF118" s="35"/>
      <c r="AG118" s="35">
        <v>0</v>
      </c>
      <c r="AH118" s="35"/>
      <c r="AI118" s="45">
        <v>0</v>
      </c>
      <c r="AJ118" s="45"/>
      <c r="AK118" s="35">
        <v>0</v>
      </c>
      <c r="AL118" s="35"/>
      <c r="AM118" s="35">
        <v>0</v>
      </c>
      <c r="AN118" s="35"/>
      <c r="AO118" s="35">
        <v>0</v>
      </c>
      <c r="AP118" s="35"/>
      <c r="AQ118" s="35">
        <v>0</v>
      </c>
      <c r="AR118" s="35"/>
      <c r="AS118" s="45">
        <f t="shared" si="28"/>
        <v>0</v>
      </c>
      <c r="AT118" s="45"/>
      <c r="AU118" s="35">
        <v>0</v>
      </c>
      <c r="AV118" s="35"/>
      <c r="AW118" s="35">
        <v>0</v>
      </c>
      <c r="AX118" s="35"/>
      <c r="AY118" s="35">
        <f t="shared" si="29"/>
        <v>0</v>
      </c>
      <c r="AZ118" s="35"/>
      <c r="BA118" s="35" t="s">
        <v>149</v>
      </c>
      <c r="BB118" s="55"/>
      <c r="BC118" s="35" t="s">
        <v>45</v>
      </c>
      <c r="BD118" s="35"/>
      <c r="BE118" s="35">
        <v>0</v>
      </c>
      <c r="BF118" s="35"/>
      <c r="BG118" s="35">
        <v>0</v>
      </c>
      <c r="BH118" s="35"/>
      <c r="BI118" s="35">
        <v>0</v>
      </c>
      <c r="BJ118" s="35"/>
      <c r="BK118" s="35">
        <v>0</v>
      </c>
      <c r="BL118" s="35"/>
      <c r="BM118" s="35">
        <f t="shared" si="24"/>
        <v>0</v>
      </c>
      <c r="BN118" s="54" t="s">
        <v>347</v>
      </c>
    </row>
    <row r="119" spans="1:66" ht="12.75" hidden="1" customHeight="1">
      <c r="A119" s="35" t="s">
        <v>150</v>
      </c>
      <c r="C119" s="35" t="s">
        <v>27</v>
      </c>
      <c r="D119" s="35"/>
      <c r="E119" s="35">
        <f t="shared" si="19"/>
        <v>0</v>
      </c>
      <c r="F119" s="35"/>
      <c r="G119" s="35">
        <v>0</v>
      </c>
      <c r="H119" s="35"/>
      <c r="I119" s="35">
        <v>0</v>
      </c>
      <c r="J119" s="35"/>
      <c r="K119" s="35">
        <f t="shared" si="20"/>
        <v>0</v>
      </c>
      <c r="L119" s="35"/>
      <c r="M119" s="35">
        <v>0</v>
      </c>
      <c r="N119" s="35"/>
      <c r="O119" s="35">
        <v>0</v>
      </c>
      <c r="P119" s="35"/>
      <c r="Q119" s="35">
        <v>0</v>
      </c>
      <c r="R119" s="35"/>
      <c r="S119" s="35">
        <v>0</v>
      </c>
      <c r="T119" s="35"/>
      <c r="U119" s="35">
        <v>0</v>
      </c>
      <c r="V119" s="35"/>
      <c r="W119" s="35">
        <f t="shared" si="26"/>
        <v>0</v>
      </c>
      <c r="X119" s="35"/>
      <c r="Y119" s="35" t="s">
        <v>150</v>
      </c>
      <c r="Z119" s="55"/>
      <c r="AA119" s="35" t="s">
        <v>27</v>
      </c>
      <c r="AB119" s="35"/>
      <c r="AC119" s="35">
        <v>0</v>
      </c>
      <c r="AD119" s="35"/>
      <c r="AE119" s="35">
        <v>0</v>
      </c>
      <c r="AF119" s="35"/>
      <c r="AG119" s="35">
        <v>0</v>
      </c>
      <c r="AH119" s="35"/>
      <c r="AI119" s="45">
        <f t="shared" ref="AI119:AI129" si="30">+AC119-AE119-AG119</f>
        <v>0</v>
      </c>
      <c r="AJ119" s="45"/>
      <c r="AK119" s="35">
        <v>0</v>
      </c>
      <c r="AL119" s="35"/>
      <c r="AM119" s="35">
        <v>0</v>
      </c>
      <c r="AN119" s="35"/>
      <c r="AO119" s="35">
        <v>0</v>
      </c>
      <c r="AP119" s="35"/>
      <c r="AQ119" s="35">
        <v>0</v>
      </c>
      <c r="AR119" s="35"/>
      <c r="AS119" s="45">
        <f t="shared" si="28"/>
        <v>0</v>
      </c>
      <c r="AT119" s="45"/>
      <c r="AU119" s="35">
        <v>0</v>
      </c>
      <c r="AV119" s="35"/>
      <c r="AW119" s="35">
        <v>0</v>
      </c>
      <c r="AX119" s="35"/>
      <c r="AY119" s="35">
        <f t="shared" si="29"/>
        <v>0</v>
      </c>
      <c r="AZ119" s="35"/>
      <c r="BA119" s="35" t="s">
        <v>150</v>
      </c>
      <c r="BB119" s="55"/>
      <c r="BC119" s="35" t="s">
        <v>27</v>
      </c>
      <c r="BD119" s="35"/>
      <c r="BE119" s="35">
        <v>0</v>
      </c>
      <c r="BF119" s="35"/>
      <c r="BG119" s="35">
        <v>0</v>
      </c>
      <c r="BH119" s="35"/>
      <c r="BI119" s="35">
        <v>0</v>
      </c>
      <c r="BJ119" s="35"/>
      <c r="BK119" s="35">
        <v>0</v>
      </c>
      <c r="BL119" s="35"/>
      <c r="BM119" s="35">
        <f t="shared" si="24"/>
        <v>0</v>
      </c>
      <c r="BN119" s="54" t="s">
        <v>347</v>
      </c>
    </row>
    <row r="120" spans="1:66" ht="13.5" hidden="1" customHeight="1">
      <c r="A120" s="35" t="s">
        <v>151</v>
      </c>
      <c r="C120" s="35" t="s">
        <v>13</v>
      </c>
      <c r="D120" s="35"/>
      <c r="E120" s="35">
        <f t="shared" si="19"/>
        <v>0</v>
      </c>
      <c r="F120" s="35"/>
      <c r="G120" s="35">
        <v>0</v>
      </c>
      <c r="H120" s="35"/>
      <c r="I120" s="35">
        <v>0</v>
      </c>
      <c r="J120" s="35"/>
      <c r="K120" s="35">
        <f t="shared" si="20"/>
        <v>0</v>
      </c>
      <c r="L120" s="35"/>
      <c r="M120" s="35">
        <v>0</v>
      </c>
      <c r="N120" s="35"/>
      <c r="O120" s="35">
        <v>0</v>
      </c>
      <c r="P120" s="35"/>
      <c r="Q120" s="35">
        <v>0</v>
      </c>
      <c r="R120" s="35"/>
      <c r="S120" s="35">
        <v>0</v>
      </c>
      <c r="T120" s="35"/>
      <c r="U120" s="35">
        <v>0</v>
      </c>
      <c r="V120" s="35"/>
      <c r="W120" s="35">
        <f t="shared" si="26"/>
        <v>0</v>
      </c>
      <c r="X120" s="35"/>
      <c r="Y120" s="35" t="s">
        <v>151</v>
      </c>
      <c r="Z120" s="55"/>
      <c r="AA120" s="35" t="s">
        <v>13</v>
      </c>
      <c r="AB120" s="35"/>
      <c r="AC120" s="35">
        <v>0</v>
      </c>
      <c r="AD120" s="35"/>
      <c r="AE120" s="35">
        <v>0</v>
      </c>
      <c r="AF120" s="35"/>
      <c r="AG120" s="35">
        <v>0</v>
      </c>
      <c r="AH120" s="35"/>
      <c r="AI120" s="45">
        <f t="shared" si="30"/>
        <v>0</v>
      </c>
      <c r="AJ120" s="45"/>
      <c r="AK120" s="35">
        <v>0</v>
      </c>
      <c r="AL120" s="35"/>
      <c r="AM120" s="35">
        <v>0</v>
      </c>
      <c r="AN120" s="35"/>
      <c r="AO120" s="35">
        <v>0</v>
      </c>
      <c r="AP120" s="35"/>
      <c r="AQ120" s="35">
        <v>0</v>
      </c>
      <c r="AR120" s="35"/>
      <c r="AS120" s="45">
        <f t="shared" si="28"/>
        <v>0</v>
      </c>
      <c r="AT120" s="45"/>
      <c r="AU120" s="35">
        <v>0</v>
      </c>
      <c r="AV120" s="35"/>
      <c r="AW120" s="35">
        <v>0</v>
      </c>
      <c r="AX120" s="35"/>
      <c r="AY120" s="35">
        <f t="shared" si="29"/>
        <v>0</v>
      </c>
      <c r="AZ120" s="35"/>
      <c r="BA120" s="35" t="s">
        <v>151</v>
      </c>
      <c r="BB120" s="55"/>
      <c r="BC120" s="35" t="s">
        <v>13</v>
      </c>
      <c r="BD120" s="35"/>
      <c r="BE120" s="35">
        <v>0</v>
      </c>
      <c r="BF120" s="35"/>
      <c r="BG120" s="35">
        <v>0</v>
      </c>
      <c r="BH120" s="35"/>
      <c r="BI120" s="35">
        <v>0</v>
      </c>
      <c r="BJ120" s="35"/>
      <c r="BK120" s="35">
        <v>0</v>
      </c>
      <c r="BL120" s="35"/>
      <c r="BM120" s="35">
        <f t="shared" si="24"/>
        <v>0</v>
      </c>
      <c r="BN120" s="54" t="s">
        <v>347</v>
      </c>
    </row>
    <row r="121" spans="1:66" ht="12.75" hidden="1" customHeight="1">
      <c r="A121" s="35" t="s">
        <v>152</v>
      </c>
      <c r="C121" s="35" t="s">
        <v>153</v>
      </c>
      <c r="D121" s="35"/>
      <c r="E121" s="35">
        <f t="shared" si="19"/>
        <v>0</v>
      </c>
      <c r="F121" s="35"/>
      <c r="G121" s="35"/>
      <c r="H121" s="35"/>
      <c r="I121" s="35"/>
      <c r="J121" s="35"/>
      <c r="K121" s="35">
        <f t="shared" si="20"/>
        <v>0</v>
      </c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>
        <f t="shared" si="26"/>
        <v>0</v>
      </c>
      <c r="X121" s="35"/>
      <c r="Y121" s="35" t="s">
        <v>152</v>
      </c>
      <c r="Z121" s="55"/>
      <c r="AA121" s="35" t="s">
        <v>153</v>
      </c>
      <c r="AB121" s="35"/>
      <c r="AC121" s="35"/>
      <c r="AD121" s="35"/>
      <c r="AE121" s="35"/>
      <c r="AF121" s="35"/>
      <c r="AG121" s="35"/>
      <c r="AH121" s="35"/>
      <c r="AI121" s="45">
        <f t="shared" si="30"/>
        <v>0</v>
      </c>
      <c r="AJ121" s="45"/>
      <c r="AK121" s="35"/>
      <c r="AL121" s="35"/>
      <c r="AM121" s="35"/>
      <c r="AN121" s="35"/>
      <c r="AO121" s="35"/>
      <c r="AP121" s="35"/>
      <c r="AQ121" s="35"/>
      <c r="AR121" s="35"/>
      <c r="AS121" s="45">
        <f t="shared" si="28"/>
        <v>0</v>
      </c>
      <c r="AT121" s="45"/>
      <c r="AU121" s="35">
        <v>0</v>
      </c>
      <c r="AV121" s="35"/>
      <c r="AW121" s="35">
        <v>0</v>
      </c>
      <c r="AX121" s="35"/>
      <c r="AY121" s="35">
        <f t="shared" si="29"/>
        <v>0</v>
      </c>
      <c r="AZ121" s="35"/>
      <c r="BA121" s="35" t="s">
        <v>152</v>
      </c>
      <c r="BB121" s="55"/>
      <c r="BC121" s="35" t="s">
        <v>153</v>
      </c>
      <c r="BD121" s="35"/>
      <c r="BE121" s="35"/>
      <c r="BF121" s="35"/>
      <c r="BG121" s="35"/>
      <c r="BH121" s="35"/>
      <c r="BI121" s="35"/>
      <c r="BJ121" s="35"/>
      <c r="BK121" s="35"/>
      <c r="BL121" s="35"/>
      <c r="BM121" s="35">
        <f t="shared" si="24"/>
        <v>0</v>
      </c>
      <c r="BN121" s="54" t="s">
        <v>347</v>
      </c>
    </row>
    <row r="122" spans="1:66" ht="12.75" hidden="1" customHeight="1">
      <c r="A122" s="35" t="s">
        <v>154</v>
      </c>
      <c r="C122" s="35" t="s">
        <v>27</v>
      </c>
      <c r="D122" s="35"/>
      <c r="E122" s="35">
        <f t="shared" si="19"/>
        <v>0</v>
      </c>
      <c r="F122" s="35"/>
      <c r="G122" s="35"/>
      <c r="H122" s="35"/>
      <c r="I122" s="35"/>
      <c r="J122" s="35"/>
      <c r="K122" s="35">
        <f t="shared" si="20"/>
        <v>0</v>
      </c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>
        <f t="shared" si="26"/>
        <v>0</v>
      </c>
      <c r="X122" s="35"/>
      <c r="Y122" s="35" t="s">
        <v>154</v>
      </c>
      <c r="Z122" s="55"/>
      <c r="AA122" s="35" t="s">
        <v>27</v>
      </c>
      <c r="AB122" s="35"/>
      <c r="AC122" s="35"/>
      <c r="AD122" s="35"/>
      <c r="AE122" s="35"/>
      <c r="AF122" s="35"/>
      <c r="AG122" s="35"/>
      <c r="AH122" s="35"/>
      <c r="AI122" s="45">
        <f t="shared" si="30"/>
        <v>0</v>
      </c>
      <c r="AJ122" s="45"/>
      <c r="AK122" s="35"/>
      <c r="AL122" s="35"/>
      <c r="AM122" s="35"/>
      <c r="AN122" s="35"/>
      <c r="AO122" s="35"/>
      <c r="AP122" s="35"/>
      <c r="AQ122" s="35"/>
      <c r="AR122" s="35"/>
      <c r="AS122" s="45">
        <f t="shared" si="28"/>
        <v>0</v>
      </c>
      <c r="AT122" s="45"/>
      <c r="AU122" s="35">
        <v>0</v>
      </c>
      <c r="AV122" s="35"/>
      <c r="AW122" s="35">
        <v>0</v>
      </c>
      <c r="AX122" s="35"/>
      <c r="AY122" s="35">
        <f t="shared" si="29"/>
        <v>0</v>
      </c>
      <c r="AZ122" s="35"/>
      <c r="BA122" s="35" t="s">
        <v>154</v>
      </c>
      <c r="BB122" s="55"/>
      <c r="BC122" s="35" t="s">
        <v>27</v>
      </c>
      <c r="BD122" s="35"/>
      <c r="BE122" s="35"/>
      <c r="BF122" s="35"/>
      <c r="BG122" s="35"/>
      <c r="BH122" s="35"/>
      <c r="BI122" s="35"/>
      <c r="BJ122" s="35"/>
      <c r="BK122" s="35"/>
      <c r="BL122" s="35"/>
      <c r="BM122" s="35">
        <f t="shared" si="24"/>
        <v>0</v>
      </c>
      <c r="BN122" s="54" t="s">
        <v>347</v>
      </c>
    </row>
    <row r="123" spans="1:66" ht="12.75" hidden="1" customHeight="1">
      <c r="A123" s="35" t="s">
        <v>155</v>
      </c>
      <c r="C123" s="35" t="s">
        <v>40</v>
      </c>
      <c r="D123" s="35"/>
      <c r="E123" s="35">
        <f t="shared" si="19"/>
        <v>0</v>
      </c>
      <c r="F123" s="35"/>
      <c r="G123" s="35">
        <v>0</v>
      </c>
      <c r="H123" s="35"/>
      <c r="I123" s="35">
        <v>0</v>
      </c>
      <c r="J123" s="35"/>
      <c r="K123" s="35">
        <f t="shared" si="20"/>
        <v>0</v>
      </c>
      <c r="L123" s="35"/>
      <c r="M123" s="35">
        <v>0</v>
      </c>
      <c r="N123" s="35"/>
      <c r="O123" s="35">
        <v>0</v>
      </c>
      <c r="P123" s="35"/>
      <c r="Q123" s="35">
        <v>0</v>
      </c>
      <c r="R123" s="35"/>
      <c r="S123" s="35">
        <v>0</v>
      </c>
      <c r="T123" s="35"/>
      <c r="U123" s="35">
        <v>0</v>
      </c>
      <c r="V123" s="35"/>
      <c r="W123" s="35">
        <f t="shared" si="26"/>
        <v>0</v>
      </c>
      <c r="X123" s="35"/>
      <c r="Y123" s="35" t="s">
        <v>155</v>
      </c>
      <c r="Z123" s="55"/>
      <c r="AA123" s="35" t="s">
        <v>40</v>
      </c>
      <c r="AB123" s="35"/>
      <c r="AC123" s="35">
        <v>0</v>
      </c>
      <c r="AD123" s="35"/>
      <c r="AE123" s="35">
        <v>0</v>
      </c>
      <c r="AF123" s="35"/>
      <c r="AG123" s="35">
        <v>0</v>
      </c>
      <c r="AH123" s="35"/>
      <c r="AI123" s="45">
        <f t="shared" si="30"/>
        <v>0</v>
      </c>
      <c r="AJ123" s="45"/>
      <c r="AK123" s="35">
        <v>0</v>
      </c>
      <c r="AL123" s="35"/>
      <c r="AM123" s="35">
        <v>0</v>
      </c>
      <c r="AN123" s="35"/>
      <c r="AO123" s="35">
        <v>0</v>
      </c>
      <c r="AP123" s="35"/>
      <c r="AQ123" s="35">
        <v>0</v>
      </c>
      <c r="AR123" s="35"/>
      <c r="AS123" s="45">
        <f t="shared" si="28"/>
        <v>0</v>
      </c>
      <c r="AT123" s="45"/>
      <c r="AU123" s="35">
        <v>0</v>
      </c>
      <c r="AV123" s="35"/>
      <c r="AW123" s="35">
        <v>0</v>
      </c>
      <c r="AX123" s="35"/>
      <c r="AY123" s="35">
        <f t="shared" si="29"/>
        <v>0</v>
      </c>
      <c r="AZ123" s="35"/>
      <c r="BA123" s="35" t="s">
        <v>155</v>
      </c>
      <c r="BB123" s="55"/>
      <c r="BC123" s="35" t="s">
        <v>40</v>
      </c>
      <c r="BD123" s="35"/>
      <c r="BE123" s="35">
        <v>0</v>
      </c>
      <c r="BF123" s="35"/>
      <c r="BG123" s="35">
        <v>0</v>
      </c>
      <c r="BH123" s="35"/>
      <c r="BI123" s="35">
        <v>0</v>
      </c>
      <c r="BJ123" s="35"/>
      <c r="BK123" s="35">
        <v>0</v>
      </c>
      <c r="BL123" s="35"/>
      <c r="BM123" s="35">
        <f t="shared" si="24"/>
        <v>0</v>
      </c>
      <c r="BN123" s="54" t="s">
        <v>347</v>
      </c>
    </row>
    <row r="124" spans="1:66" ht="12.75" hidden="1" customHeight="1">
      <c r="A124" s="35" t="s">
        <v>156</v>
      </c>
      <c r="C124" s="35" t="s">
        <v>156</v>
      </c>
      <c r="D124" s="35"/>
      <c r="E124" s="35">
        <f t="shared" si="19"/>
        <v>0</v>
      </c>
      <c r="F124" s="35"/>
      <c r="G124" s="35">
        <v>0</v>
      </c>
      <c r="H124" s="35"/>
      <c r="I124" s="35">
        <v>0</v>
      </c>
      <c r="J124" s="35"/>
      <c r="K124" s="35">
        <f t="shared" si="20"/>
        <v>0</v>
      </c>
      <c r="L124" s="35"/>
      <c r="M124" s="35">
        <v>0</v>
      </c>
      <c r="N124" s="35"/>
      <c r="O124" s="35">
        <v>0</v>
      </c>
      <c r="P124" s="35"/>
      <c r="Q124" s="35">
        <v>0</v>
      </c>
      <c r="R124" s="35"/>
      <c r="S124" s="35">
        <v>0</v>
      </c>
      <c r="T124" s="35"/>
      <c r="U124" s="35">
        <v>0</v>
      </c>
      <c r="V124" s="35"/>
      <c r="W124" s="35">
        <f t="shared" si="26"/>
        <v>0</v>
      </c>
      <c r="X124" s="35"/>
      <c r="Y124" s="35" t="s">
        <v>156</v>
      </c>
      <c r="Z124" s="55"/>
      <c r="AA124" s="35" t="s">
        <v>156</v>
      </c>
      <c r="AB124" s="35"/>
      <c r="AC124" s="35">
        <v>0</v>
      </c>
      <c r="AD124" s="35"/>
      <c r="AE124" s="35">
        <v>0</v>
      </c>
      <c r="AF124" s="35"/>
      <c r="AG124" s="35">
        <v>0</v>
      </c>
      <c r="AH124" s="35"/>
      <c r="AI124" s="45">
        <f t="shared" si="30"/>
        <v>0</v>
      </c>
      <c r="AJ124" s="45"/>
      <c r="AK124" s="35">
        <v>0</v>
      </c>
      <c r="AL124" s="35"/>
      <c r="AM124" s="35">
        <v>0</v>
      </c>
      <c r="AN124" s="35"/>
      <c r="AO124" s="35">
        <v>0</v>
      </c>
      <c r="AP124" s="35"/>
      <c r="AQ124" s="35">
        <v>0</v>
      </c>
      <c r="AR124" s="35"/>
      <c r="AS124" s="45">
        <f t="shared" si="28"/>
        <v>0</v>
      </c>
      <c r="AT124" s="45"/>
      <c r="AU124" s="35">
        <v>0</v>
      </c>
      <c r="AV124" s="35"/>
      <c r="AW124" s="35">
        <v>0</v>
      </c>
      <c r="AX124" s="35"/>
      <c r="AY124" s="35">
        <f t="shared" si="29"/>
        <v>0</v>
      </c>
      <c r="AZ124" s="35"/>
      <c r="BA124" s="35" t="s">
        <v>156</v>
      </c>
      <c r="BB124" s="55"/>
      <c r="BC124" s="35" t="s">
        <v>156</v>
      </c>
      <c r="BD124" s="35"/>
      <c r="BE124" s="35">
        <v>0</v>
      </c>
      <c r="BF124" s="35"/>
      <c r="BG124" s="35">
        <v>0</v>
      </c>
      <c r="BH124" s="35"/>
      <c r="BI124" s="35">
        <v>0</v>
      </c>
      <c r="BJ124" s="35"/>
      <c r="BK124" s="35">
        <v>0</v>
      </c>
      <c r="BL124" s="35"/>
      <c r="BM124" s="35">
        <f t="shared" si="24"/>
        <v>0</v>
      </c>
      <c r="BN124" s="54" t="s">
        <v>347</v>
      </c>
    </row>
    <row r="125" spans="1:66" ht="12.75" hidden="1" customHeight="1">
      <c r="A125" s="35" t="s">
        <v>157</v>
      </c>
      <c r="C125" s="35" t="s">
        <v>33</v>
      </c>
      <c r="D125" s="35"/>
      <c r="E125" s="35">
        <f t="shared" si="19"/>
        <v>0</v>
      </c>
      <c r="F125" s="35"/>
      <c r="G125" s="35">
        <v>0</v>
      </c>
      <c r="H125" s="35"/>
      <c r="I125" s="35">
        <v>0</v>
      </c>
      <c r="J125" s="35"/>
      <c r="K125" s="35">
        <f t="shared" si="20"/>
        <v>0</v>
      </c>
      <c r="L125" s="35"/>
      <c r="M125" s="35">
        <v>0</v>
      </c>
      <c r="N125" s="35"/>
      <c r="O125" s="35">
        <v>0</v>
      </c>
      <c r="P125" s="35"/>
      <c r="Q125" s="35">
        <v>0</v>
      </c>
      <c r="R125" s="35"/>
      <c r="S125" s="35">
        <v>0</v>
      </c>
      <c r="T125" s="35"/>
      <c r="U125" s="35">
        <v>0</v>
      </c>
      <c r="V125" s="35"/>
      <c r="W125" s="35">
        <f t="shared" si="26"/>
        <v>0</v>
      </c>
      <c r="X125" s="35"/>
      <c r="Y125" s="35" t="s">
        <v>157</v>
      </c>
      <c r="Z125" s="55"/>
      <c r="AA125" s="35" t="s">
        <v>33</v>
      </c>
      <c r="AB125" s="35"/>
      <c r="AC125" s="35">
        <v>0</v>
      </c>
      <c r="AD125" s="35"/>
      <c r="AE125" s="35">
        <v>0</v>
      </c>
      <c r="AF125" s="35"/>
      <c r="AG125" s="35">
        <v>0</v>
      </c>
      <c r="AH125" s="35"/>
      <c r="AI125" s="45">
        <f t="shared" si="30"/>
        <v>0</v>
      </c>
      <c r="AJ125" s="45"/>
      <c r="AK125" s="35">
        <v>0</v>
      </c>
      <c r="AL125" s="35"/>
      <c r="AM125" s="35">
        <v>0</v>
      </c>
      <c r="AN125" s="35"/>
      <c r="AO125" s="35">
        <v>0</v>
      </c>
      <c r="AP125" s="35"/>
      <c r="AQ125" s="35">
        <v>0</v>
      </c>
      <c r="AR125" s="35"/>
      <c r="AS125" s="45">
        <f t="shared" si="28"/>
        <v>0</v>
      </c>
      <c r="AT125" s="45"/>
      <c r="AU125" s="35">
        <v>0</v>
      </c>
      <c r="AV125" s="35"/>
      <c r="AW125" s="35">
        <v>0</v>
      </c>
      <c r="AX125" s="35"/>
      <c r="AY125" s="35">
        <f t="shared" si="29"/>
        <v>0</v>
      </c>
      <c r="AZ125" s="35"/>
      <c r="BA125" s="35" t="s">
        <v>157</v>
      </c>
      <c r="BB125" s="55"/>
      <c r="BC125" s="35" t="s">
        <v>33</v>
      </c>
      <c r="BD125" s="35"/>
      <c r="BE125" s="35">
        <v>0</v>
      </c>
      <c r="BF125" s="35"/>
      <c r="BG125" s="35">
        <v>0</v>
      </c>
      <c r="BH125" s="35"/>
      <c r="BI125" s="35">
        <v>0</v>
      </c>
      <c r="BJ125" s="35"/>
      <c r="BK125" s="35">
        <v>0</v>
      </c>
      <c r="BL125" s="35"/>
      <c r="BM125" s="35">
        <f t="shared" si="24"/>
        <v>0</v>
      </c>
      <c r="BN125" s="54" t="s">
        <v>347</v>
      </c>
    </row>
    <row r="126" spans="1:66" ht="12.75" hidden="1" customHeight="1">
      <c r="A126" s="35" t="s">
        <v>158</v>
      </c>
      <c r="C126" s="35" t="s">
        <v>159</v>
      </c>
      <c r="D126" s="35"/>
      <c r="E126" s="35">
        <f t="shared" si="19"/>
        <v>0</v>
      </c>
      <c r="F126" s="35"/>
      <c r="G126" s="35">
        <v>0</v>
      </c>
      <c r="H126" s="35"/>
      <c r="I126" s="35">
        <v>0</v>
      </c>
      <c r="J126" s="35"/>
      <c r="K126" s="35">
        <f t="shared" si="20"/>
        <v>0</v>
      </c>
      <c r="L126" s="35"/>
      <c r="M126" s="35">
        <v>0</v>
      </c>
      <c r="N126" s="35"/>
      <c r="O126" s="35">
        <v>0</v>
      </c>
      <c r="P126" s="35"/>
      <c r="Q126" s="35">
        <v>0</v>
      </c>
      <c r="R126" s="35"/>
      <c r="S126" s="35">
        <v>0</v>
      </c>
      <c r="T126" s="35"/>
      <c r="U126" s="35">
        <v>0</v>
      </c>
      <c r="V126" s="35"/>
      <c r="W126" s="35">
        <f t="shared" si="26"/>
        <v>0</v>
      </c>
      <c r="X126" s="35"/>
      <c r="Y126" s="35" t="s">
        <v>158</v>
      </c>
      <c r="Z126" s="55"/>
      <c r="AA126" s="35" t="s">
        <v>159</v>
      </c>
      <c r="AB126" s="35"/>
      <c r="AC126" s="35">
        <v>0</v>
      </c>
      <c r="AD126" s="35"/>
      <c r="AE126" s="35">
        <v>0</v>
      </c>
      <c r="AF126" s="35"/>
      <c r="AG126" s="35">
        <v>0</v>
      </c>
      <c r="AH126" s="35"/>
      <c r="AI126" s="45">
        <f t="shared" si="30"/>
        <v>0</v>
      </c>
      <c r="AJ126" s="45"/>
      <c r="AK126" s="35">
        <v>0</v>
      </c>
      <c r="AL126" s="35"/>
      <c r="AM126" s="35">
        <v>0</v>
      </c>
      <c r="AN126" s="35"/>
      <c r="AO126" s="35">
        <v>0</v>
      </c>
      <c r="AP126" s="35"/>
      <c r="AQ126" s="35">
        <v>0</v>
      </c>
      <c r="AR126" s="35"/>
      <c r="AS126" s="45">
        <f t="shared" si="28"/>
        <v>0</v>
      </c>
      <c r="AT126" s="45"/>
      <c r="AU126" s="35">
        <v>0</v>
      </c>
      <c r="AV126" s="35"/>
      <c r="AW126" s="35">
        <v>0</v>
      </c>
      <c r="AX126" s="35"/>
      <c r="AY126" s="35">
        <f t="shared" si="29"/>
        <v>0</v>
      </c>
      <c r="AZ126" s="35"/>
      <c r="BA126" s="35" t="s">
        <v>158</v>
      </c>
      <c r="BB126" s="55"/>
      <c r="BC126" s="35" t="s">
        <v>159</v>
      </c>
      <c r="BD126" s="35"/>
      <c r="BE126" s="35">
        <v>0</v>
      </c>
      <c r="BF126" s="35"/>
      <c r="BG126" s="35">
        <v>0</v>
      </c>
      <c r="BH126" s="35"/>
      <c r="BI126" s="35">
        <v>0</v>
      </c>
      <c r="BJ126" s="35"/>
      <c r="BK126" s="35">
        <v>0</v>
      </c>
      <c r="BL126" s="35"/>
      <c r="BM126" s="35">
        <f t="shared" si="24"/>
        <v>0</v>
      </c>
      <c r="BN126" s="54" t="s">
        <v>347</v>
      </c>
    </row>
    <row r="127" spans="1:66" ht="12.75" hidden="1" customHeight="1">
      <c r="A127" s="35" t="s">
        <v>160</v>
      </c>
      <c r="C127" s="35" t="s">
        <v>111</v>
      </c>
      <c r="D127" s="35"/>
      <c r="E127" s="35">
        <f t="shared" si="19"/>
        <v>0</v>
      </c>
      <c r="F127" s="35"/>
      <c r="G127" s="35">
        <v>0</v>
      </c>
      <c r="H127" s="35"/>
      <c r="I127" s="35">
        <v>0</v>
      </c>
      <c r="J127" s="35"/>
      <c r="K127" s="35">
        <f t="shared" si="20"/>
        <v>0</v>
      </c>
      <c r="L127" s="35"/>
      <c r="M127" s="35">
        <v>0</v>
      </c>
      <c r="N127" s="35"/>
      <c r="O127" s="35">
        <v>0</v>
      </c>
      <c r="P127" s="35"/>
      <c r="Q127" s="35">
        <v>0</v>
      </c>
      <c r="R127" s="35"/>
      <c r="S127" s="35">
        <v>0</v>
      </c>
      <c r="T127" s="35"/>
      <c r="U127" s="35">
        <v>0</v>
      </c>
      <c r="V127" s="35"/>
      <c r="W127" s="35">
        <f t="shared" si="26"/>
        <v>0</v>
      </c>
      <c r="X127" s="35"/>
      <c r="Y127" s="35" t="s">
        <v>160</v>
      </c>
      <c r="Z127" s="55"/>
      <c r="AA127" s="35" t="s">
        <v>111</v>
      </c>
      <c r="AB127" s="35"/>
      <c r="AC127" s="35">
        <v>0</v>
      </c>
      <c r="AD127" s="35"/>
      <c r="AE127" s="35">
        <v>0</v>
      </c>
      <c r="AF127" s="35"/>
      <c r="AG127" s="35">
        <v>0</v>
      </c>
      <c r="AH127" s="35"/>
      <c r="AI127" s="45">
        <f t="shared" si="30"/>
        <v>0</v>
      </c>
      <c r="AJ127" s="45"/>
      <c r="AK127" s="35">
        <v>0</v>
      </c>
      <c r="AL127" s="35"/>
      <c r="AM127" s="35">
        <v>0</v>
      </c>
      <c r="AN127" s="35"/>
      <c r="AO127" s="35">
        <v>0</v>
      </c>
      <c r="AP127" s="35"/>
      <c r="AQ127" s="35">
        <v>0</v>
      </c>
      <c r="AR127" s="35"/>
      <c r="AS127" s="45">
        <f t="shared" si="28"/>
        <v>0</v>
      </c>
      <c r="AT127" s="45"/>
      <c r="AU127" s="35">
        <v>0</v>
      </c>
      <c r="AV127" s="35"/>
      <c r="AW127" s="35">
        <v>0</v>
      </c>
      <c r="AX127" s="35"/>
      <c r="AY127" s="35">
        <f t="shared" si="29"/>
        <v>0</v>
      </c>
      <c r="AZ127" s="35"/>
      <c r="BA127" s="35" t="s">
        <v>160</v>
      </c>
      <c r="BB127" s="55"/>
      <c r="BC127" s="35" t="s">
        <v>111</v>
      </c>
      <c r="BD127" s="35"/>
      <c r="BE127" s="35">
        <v>0</v>
      </c>
      <c r="BF127" s="35"/>
      <c r="BG127" s="35">
        <v>0</v>
      </c>
      <c r="BH127" s="35"/>
      <c r="BI127" s="35">
        <v>0</v>
      </c>
      <c r="BJ127" s="35"/>
      <c r="BK127" s="35">
        <v>0</v>
      </c>
      <c r="BL127" s="35"/>
      <c r="BM127" s="35">
        <f t="shared" si="24"/>
        <v>0</v>
      </c>
      <c r="BN127" s="54" t="s">
        <v>347</v>
      </c>
    </row>
    <row r="128" spans="1:66" ht="12.75" hidden="1" customHeight="1">
      <c r="A128" s="35" t="s">
        <v>161</v>
      </c>
      <c r="C128" s="35" t="s">
        <v>15</v>
      </c>
      <c r="D128" s="35"/>
      <c r="E128" s="35">
        <f t="shared" si="19"/>
        <v>0</v>
      </c>
      <c r="F128" s="35"/>
      <c r="G128" s="35"/>
      <c r="H128" s="35"/>
      <c r="I128" s="35"/>
      <c r="J128" s="35"/>
      <c r="K128" s="35">
        <f t="shared" si="20"/>
        <v>0</v>
      </c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>
        <f t="shared" si="26"/>
        <v>0</v>
      </c>
      <c r="X128" s="35"/>
      <c r="Y128" s="35" t="s">
        <v>161</v>
      </c>
      <c r="Z128" s="55"/>
      <c r="AA128" s="35" t="s">
        <v>15</v>
      </c>
      <c r="AB128" s="35"/>
      <c r="AC128" s="35"/>
      <c r="AD128" s="35"/>
      <c r="AE128" s="35"/>
      <c r="AF128" s="35"/>
      <c r="AG128" s="35"/>
      <c r="AH128" s="35"/>
      <c r="AI128" s="45">
        <f t="shared" si="30"/>
        <v>0</v>
      </c>
      <c r="AJ128" s="45"/>
      <c r="AK128" s="35"/>
      <c r="AL128" s="35"/>
      <c r="AM128" s="35"/>
      <c r="AN128" s="35"/>
      <c r="AO128" s="35"/>
      <c r="AP128" s="35"/>
      <c r="AQ128" s="35"/>
      <c r="AR128" s="35"/>
      <c r="AS128" s="45">
        <f t="shared" si="28"/>
        <v>0</v>
      </c>
      <c r="AT128" s="45"/>
      <c r="AU128" s="35">
        <v>0</v>
      </c>
      <c r="AV128" s="35"/>
      <c r="AW128" s="35">
        <v>0</v>
      </c>
      <c r="AX128" s="35"/>
      <c r="AY128" s="35">
        <f t="shared" si="29"/>
        <v>0</v>
      </c>
      <c r="AZ128" s="35"/>
      <c r="BA128" s="35" t="s">
        <v>161</v>
      </c>
      <c r="BB128" s="55"/>
      <c r="BC128" s="35" t="s">
        <v>15</v>
      </c>
      <c r="BD128" s="35"/>
      <c r="BE128" s="35"/>
      <c r="BF128" s="35"/>
      <c r="BG128" s="35"/>
      <c r="BH128" s="35"/>
      <c r="BI128" s="35"/>
      <c r="BJ128" s="35"/>
      <c r="BK128" s="35"/>
      <c r="BL128" s="35"/>
      <c r="BM128" s="35">
        <f t="shared" si="24"/>
        <v>0</v>
      </c>
      <c r="BN128" s="54" t="s">
        <v>347</v>
      </c>
    </row>
    <row r="129" spans="1:66" ht="12.75" hidden="1" customHeight="1">
      <c r="A129" s="35" t="s">
        <v>162</v>
      </c>
      <c r="C129" s="35" t="s">
        <v>163</v>
      </c>
      <c r="D129" s="35"/>
      <c r="E129" s="35">
        <f t="shared" si="19"/>
        <v>0</v>
      </c>
      <c r="F129" s="35"/>
      <c r="G129" s="35">
        <v>0</v>
      </c>
      <c r="H129" s="35"/>
      <c r="I129" s="35">
        <v>0</v>
      </c>
      <c r="J129" s="35"/>
      <c r="K129" s="35">
        <f t="shared" si="20"/>
        <v>0</v>
      </c>
      <c r="L129" s="35"/>
      <c r="M129" s="35">
        <v>0</v>
      </c>
      <c r="N129" s="35"/>
      <c r="O129" s="35">
        <v>0</v>
      </c>
      <c r="P129" s="35"/>
      <c r="Q129" s="35">
        <v>0</v>
      </c>
      <c r="R129" s="35"/>
      <c r="S129" s="35">
        <v>0</v>
      </c>
      <c r="T129" s="35"/>
      <c r="U129" s="35">
        <v>0</v>
      </c>
      <c r="V129" s="35"/>
      <c r="W129" s="35">
        <f t="shared" si="26"/>
        <v>0</v>
      </c>
      <c r="X129" s="35"/>
      <c r="Y129" s="35" t="s">
        <v>162</v>
      </c>
      <c r="Z129" s="55"/>
      <c r="AA129" s="35" t="s">
        <v>163</v>
      </c>
      <c r="AB129" s="35"/>
      <c r="AC129" s="35">
        <v>0</v>
      </c>
      <c r="AD129" s="35"/>
      <c r="AE129" s="35">
        <v>0</v>
      </c>
      <c r="AF129" s="35"/>
      <c r="AG129" s="35">
        <v>0</v>
      </c>
      <c r="AH129" s="35"/>
      <c r="AI129" s="45">
        <f t="shared" si="30"/>
        <v>0</v>
      </c>
      <c r="AJ129" s="45"/>
      <c r="AK129" s="35">
        <v>0</v>
      </c>
      <c r="AL129" s="35"/>
      <c r="AM129" s="35">
        <v>0</v>
      </c>
      <c r="AN129" s="35"/>
      <c r="AO129" s="35">
        <v>0</v>
      </c>
      <c r="AP129" s="35"/>
      <c r="AQ129" s="35">
        <v>0</v>
      </c>
      <c r="AR129" s="35"/>
      <c r="AS129" s="45">
        <f t="shared" si="28"/>
        <v>0</v>
      </c>
      <c r="AT129" s="45"/>
      <c r="AU129" s="35">
        <v>0</v>
      </c>
      <c r="AV129" s="35"/>
      <c r="AW129" s="35">
        <v>0</v>
      </c>
      <c r="AX129" s="35"/>
      <c r="AY129" s="35">
        <f t="shared" si="29"/>
        <v>0</v>
      </c>
      <c r="AZ129" s="35"/>
      <c r="BA129" s="35" t="s">
        <v>162</v>
      </c>
      <c r="BB129" s="55"/>
      <c r="BC129" s="35" t="s">
        <v>163</v>
      </c>
      <c r="BD129" s="35"/>
      <c r="BE129" s="35">
        <v>0</v>
      </c>
      <c r="BF129" s="35"/>
      <c r="BG129" s="35">
        <v>0</v>
      </c>
      <c r="BH129" s="35"/>
      <c r="BI129" s="35">
        <v>0</v>
      </c>
      <c r="BJ129" s="35"/>
      <c r="BK129" s="35">
        <v>0</v>
      </c>
      <c r="BL129" s="35"/>
      <c r="BM129" s="35">
        <f t="shared" si="24"/>
        <v>0</v>
      </c>
      <c r="BN129" s="54" t="s">
        <v>347</v>
      </c>
    </row>
    <row r="130" spans="1:66" ht="12.75" hidden="1" customHeight="1">
      <c r="A130" s="35" t="s">
        <v>164</v>
      </c>
      <c r="C130" s="35" t="s">
        <v>27</v>
      </c>
      <c r="D130" s="35"/>
      <c r="E130" s="35">
        <f t="shared" si="19"/>
        <v>0</v>
      </c>
      <c r="F130" s="35"/>
      <c r="G130" s="35">
        <v>0</v>
      </c>
      <c r="H130" s="35"/>
      <c r="I130" s="35">
        <v>0</v>
      </c>
      <c r="J130" s="35"/>
      <c r="K130" s="35">
        <f t="shared" si="20"/>
        <v>0</v>
      </c>
      <c r="L130" s="35"/>
      <c r="M130" s="35">
        <v>0</v>
      </c>
      <c r="N130" s="35"/>
      <c r="O130" s="35">
        <v>0</v>
      </c>
      <c r="P130" s="35"/>
      <c r="Q130" s="35">
        <v>0</v>
      </c>
      <c r="R130" s="35"/>
      <c r="S130" s="35">
        <v>0</v>
      </c>
      <c r="T130" s="35"/>
      <c r="U130" s="35">
        <v>0</v>
      </c>
      <c r="V130" s="35"/>
      <c r="W130" s="35">
        <f t="shared" si="26"/>
        <v>0</v>
      </c>
      <c r="X130" s="35"/>
      <c r="Y130" s="35" t="s">
        <v>164</v>
      </c>
      <c r="Z130" s="55"/>
      <c r="AA130" s="35" t="s">
        <v>27</v>
      </c>
      <c r="AB130" s="35"/>
      <c r="AC130" s="35">
        <v>0</v>
      </c>
      <c r="AD130" s="35"/>
      <c r="AE130" s="35">
        <v>0</v>
      </c>
      <c r="AF130" s="35"/>
      <c r="AG130" s="35">
        <v>0</v>
      </c>
      <c r="AH130" s="35"/>
      <c r="AI130" s="45">
        <v>0</v>
      </c>
      <c r="AJ130" s="45"/>
      <c r="AK130" s="35">
        <v>0</v>
      </c>
      <c r="AL130" s="35"/>
      <c r="AM130" s="35">
        <v>0</v>
      </c>
      <c r="AN130" s="35"/>
      <c r="AO130" s="35">
        <v>0</v>
      </c>
      <c r="AP130" s="35"/>
      <c r="AQ130" s="35">
        <v>0</v>
      </c>
      <c r="AR130" s="35"/>
      <c r="AS130" s="45">
        <f t="shared" si="28"/>
        <v>0</v>
      </c>
      <c r="AT130" s="45"/>
      <c r="AU130" s="35">
        <v>0</v>
      </c>
      <c r="AV130" s="35"/>
      <c r="AW130" s="35">
        <v>0</v>
      </c>
      <c r="AX130" s="35"/>
      <c r="AY130" s="35">
        <f t="shared" si="29"/>
        <v>0</v>
      </c>
      <c r="AZ130" s="35"/>
      <c r="BA130" s="35" t="s">
        <v>164</v>
      </c>
      <c r="BB130" s="55"/>
      <c r="BC130" s="35" t="s">
        <v>27</v>
      </c>
      <c r="BD130" s="35"/>
      <c r="BE130" s="35">
        <v>0</v>
      </c>
      <c r="BF130" s="35"/>
      <c r="BG130" s="35">
        <v>0</v>
      </c>
      <c r="BH130" s="35"/>
      <c r="BI130" s="35">
        <v>0</v>
      </c>
      <c r="BJ130" s="35"/>
      <c r="BK130" s="35">
        <v>0</v>
      </c>
      <c r="BL130" s="35"/>
      <c r="BM130" s="35">
        <f t="shared" ref="BM130:BM141" si="31">SUM(BE130:BK130)</f>
        <v>0</v>
      </c>
      <c r="BN130" s="54" t="s">
        <v>347</v>
      </c>
    </row>
    <row r="131" spans="1:66" ht="12.75" hidden="1" customHeight="1">
      <c r="A131" s="35" t="s">
        <v>53</v>
      </c>
      <c r="C131" s="35" t="s">
        <v>53</v>
      </c>
      <c r="D131" s="35"/>
      <c r="E131" s="35">
        <f t="shared" si="19"/>
        <v>0</v>
      </c>
      <c r="F131" s="35"/>
      <c r="G131" s="35">
        <v>0</v>
      </c>
      <c r="H131" s="35"/>
      <c r="I131" s="35">
        <v>0</v>
      </c>
      <c r="J131" s="35"/>
      <c r="K131" s="35">
        <f t="shared" si="20"/>
        <v>0</v>
      </c>
      <c r="L131" s="35"/>
      <c r="M131" s="35">
        <v>0</v>
      </c>
      <c r="N131" s="35"/>
      <c r="O131" s="35">
        <v>0</v>
      </c>
      <c r="P131" s="35"/>
      <c r="Q131" s="35">
        <v>0</v>
      </c>
      <c r="R131" s="35"/>
      <c r="S131" s="35">
        <v>0</v>
      </c>
      <c r="T131" s="35"/>
      <c r="U131" s="35">
        <v>0</v>
      </c>
      <c r="V131" s="35"/>
      <c r="W131" s="35">
        <f t="shared" si="26"/>
        <v>0</v>
      </c>
      <c r="X131" s="35"/>
      <c r="Y131" s="35" t="s">
        <v>53</v>
      </c>
      <c r="Z131" s="55"/>
      <c r="AA131" s="35" t="s">
        <v>53</v>
      </c>
      <c r="AB131" s="35"/>
      <c r="AC131" s="35">
        <v>0</v>
      </c>
      <c r="AD131" s="35"/>
      <c r="AE131" s="35">
        <v>0</v>
      </c>
      <c r="AF131" s="35"/>
      <c r="AG131" s="35">
        <v>0</v>
      </c>
      <c r="AH131" s="35"/>
      <c r="AI131" s="45">
        <f t="shared" ref="AI131:AI162" si="32">+AC131-AE131-AG131</f>
        <v>0</v>
      </c>
      <c r="AJ131" s="45"/>
      <c r="AK131" s="35">
        <v>0</v>
      </c>
      <c r="AL131" s="35"/>
      <c r="AM131" s="35">
        <v>0</v>
      </c>
      <c r="AN131" s="35"/>
      <c r="AO131" s="35">
        <v>0</v>
      </c>
      <c r="AP131" s="35"/>
      <c r="AQ131" s="35">
        <v>0</v>
      </c>
      <c r="AR131" s="35"/>
      <c r="AS131" s="45">
        <f t="shared" si="28"/>
        <v>0</v>
      </c>
      <c r="AT131" s="45"/>
      <c r="AU131" s="35">
        <v>0</v>
      </c>
      <c r="AV131" s="35"/>
      <c r="AW131" s="35">
        <v>0</v>
      </c>
      <c r="AX131" s="35"/>
      <c r="AY131" s="35">
        <f t="shared" si="29"/>
        <v>0</v>
      </c>
      <c r="AZ131" s="35"/>
      <c r="BA131" s="35" t="s">
        <v>53</v>
      </c>
      <c r="BB131" s="55"/>
      <c r="BC131" s="35" t="s">
        <v>53</v>
      </c>
      <c r="BD131" s="35"/>
      <c r="BE131" s="35">
        <v>0</v>
      </c>
      <c r="BF131" s="35"/>
      <c r="BG131" s="35">
        <v>0</v>
      </c>
      <c r="BH131" s="35"/>
      <c r="BI131" s="35">
        <v>0</v>
      </c>
      <c r="BJ131" s="35"/>
      <c r="BK131" s="35">
        <v>0</v>
      </c>
      <c r="BL131" s="35"/>
      <c r="BM131" s="35">
        <f t="shared" si="31"/>
        <v>0</v>
      </c>
      <c r="BN131" s="54" t="s">
        <v>347</v>
      </c>
    </row>
    <row r="132" spans="1:66" ht="12.75" hidden="1" customHeight="1">
      <c r="A132" s="35" t="s">
        <v>165</v>
      </c>
      <c r="C132" s="35" t="s">
        <v>92</v>
      </c>
      <c r="D132" s="35"/>
      <c r="E132" s="35">
        <f t="shared" si="19"/>
        <v>0</v>
      </c>
      <c r="F132" s="35"/>
      <c r="G132" s="35">
        <v>0</v>
      </c>
      <c r="H132" s="35"/>
      <c r="I132" s="35">
        <v>0</v>
      </c>
      <c r="J132" s="35"/>
      <c r="K132" s="35">
        <f t="shared" si="20"/>
        <v>0</v>
      </c>
      <c r="L132" s="35"/>
      <c r="M132" s="35">
        <v>0</v>
      </c>
      <c r="N132" s="35"/>
      <c r="O132" s="35">
        <v>0</v>
      </c>
      <c r="P132" s="35"/>
      <c r="Q132" s="35">
        <v>0</v>
      </c>
      <c r="R132" s="35"/>
      <c r="S132" s="35">
        <v>0</v>
      </c>
      <c r="T132" s="35"/>
      <c r="U132" s="35">
        <v>0</v>
      </c>
      <c r="V132" s="35"/>
      <c r="W132" s="35">
        <f t="shared" si="26"/>
        <v>0</v>
      </c>
      <c r="X132" s="35"/>
      <c r="Y132" s="35" t="s">
        <v>165</v>
      </c>
      <c r="Z132" s="55"/>
      <c r="AA132" s="35" t="s">
        <v>92</v>
      </c>
      <c r="AB132" s="35"/>
      <c r="AC132" s="35">
        <v>0</v>
      </c>
      <c r="AD132" s="35"/>
      <c r="AE132" s="35">
        <v>0</v>
      </c>
      <c r="AF132" s="35"/>
      <c r="AG132" s="35">
        <v>0</v>
      </c>
      <c r="AH132" s="35"/>
      <c r="AI132" s="45">
        <f t="shared" si="32"/>
        <v>0</v>
      </c>
      <c r="AJ132" s="45"/>
      <c r="AK132" s="35">
        <v>0</v>
      </c>
      <c r="AL132" s="35"/>
      <c r="AM132" s="35">
        <v>0</v>
      </c>
      <c r="AN132" s="35"/>
      <c r="AO132" s="35">
        <v>0</v>
      </c>
      <c r="AP132" s="35"/>
      <c r="AQ132" s="35">
        <v>0</v>
      </c>
      <c r="AR132" s="35"/>
      <c r="AS132" s="45">
        <f t="shared" si="28"/>
        <v>0</v>
      </c>
      <c r="AT132" s="45"/>
      <c r="AU132" s="35">
        <v>0</v>
      </c>
      <c r="AV132" s="35"/>
      <c r="AW132" s="35">
        <v>0</v>
      </c>
      <c r="AX132" s="35"/>
      <c r="AY132" s="35">
        <f t="shared" si="29"/>
        <v>0</v>
      </c>
      <c r="AZ132" s="35"/>
      <c r="BA132" s="35" t="s">
        <v>165</v>
      </c>
      <c r="BB132" s="55"/>
      <c r="BC132" s="35" t="s">
        <v>92</v>
      </c>
      <c r="BD132" s="35"/>
      <c r="BE132" s="35">
        <v>0</v>
      </c>
      <c r="BF132" s="35"/>
      <c r="BG132" s="35">
        <v>0</v>
      </c>
      <c r="BH132" s="35"/>
      <c r="BI132" s="35">
        <v>0</v>
      </c>
      <c r="BJ132" s="35"/>
      <c r="BK132" s="35">
        <v>0</v>
      </c>
      <c r="BL132" s="35"/>
      <c r="BM132" s="35">
        <f t="shared" si="31"/>
        <v>0</v>
      </c>
      <c r="BN132" s="54" t="s">
        <v>347</v>
      </c>
    </row>
    <row r="133" spans="1:66" ht="12.75" hidden="1" customHeight="1">
      <c r="A133" s="35" t="s">
        <v>166</v>
      </c>
      <c r="C133" s="35" t="s">
        <v>92</v>
      </c>
      <c r="D133" s="35"/>
      <c r="E133" s="35">
        <f t="shared" si="19"/>
        <v>0</v>
      </c>
      <c r="F133" s="35"/>
      <c r="G133" s="35">
        <v>0</v>
      </c>
      <c r="H133" s="35"/>
      <c r="I133" s="35">
        <v>0</v>
      </c>
      <c r="J133" s="35"/>
      <c r="K133" s="35">
        <f t="shared" si="20"/>
        <v>0</v>
      </c>
      <c r="L133" s="35"/>
      <c r="M133" s="35">
        <v>0</v>
      </c>
      <c r="N133" s="35"/>
      <c r="O133" s="35">
        <v>0</v>
      </c>
      <c r="P133" s="35"/>
      <c r="Q133" s="35">
        <v>0</v>
      </c>
      <c r="R133" s="35"/>
      <c r="S133" s="35">
        <v>0</v>
      </c>
      <c r="T133" s="35"/>
      <c r="U133" s="35">
        <v>0</v>
      </c>
      <c r="V133" s="35"/>
      <c r="W133" s="35">
        <f t="shared" si="26"/>
        <v>0</v>
      </c>
      <c r="X133" s="35"/>
      <c r="Y133" s="35" t="s">
        <v>166</v>
      </c>
      <c r="Z133" s="55"/>
      <c r="AA133" s="35" t="s">
        <v>92</v>
      </c>
      <c r="AB133" s="35"/>
      <c r="AC133" s="35">
        <v>0</v>
      </c>
      <c r="AD133" s="35"/>
      <c r="AE133" s="35">
        <v>0</v>
      </c>
      <c r="AF133" s="35"/>
      <c r="AG133" s="35">
        <v>0</v>
      </c>
      <c r="AH133" s="35"/>
      <c r="AI133" s="45">
        <f t="shared" si="32"/>
        <v>0</v>
      </c>
      <c r="AJ133" s="45"/>
      <c r="AK133" s="35">
        <v>0</v>
      </c>
      <c r="AL133" s="35"/>
      <c r="AM133" s="35">
        <v>0</v>
      </c>
      <c r="AN133" s="35"/>
      <c r="AO133" s="35">
        <v>0</v>
      </c>
      <c r="AP133" s="35"/>
      <c r="AQ133" s="35">
        <v>0</v>
      </c>
      <c r="AR133" s="35"/>
      <c r="AS133" s="45">
        <f t="shared" si="28"/>
        <v>0</v>
      </c>
      <c r="AT133" s="45"/>
      <c r="AU133" s="35">
        <v>0</v>
      </c>
      <c r="AV133" s="35"/>
      <c r="AW133" s="35">
        <v>0</v>
      </c>
      <c r="AX133" s="35"/>
      <c r="AY133" s="35">
        <f t="shared" si="29"/>
        <v>0</v>
      </c>
      <c r="AZ133" s="35"/>
      <c r="BA133" s="35" t="s">
        <v>166</v>
      </c>
      <c r="BB133" s="55"/>
      <c r="BC133" s="35" t="s">
        <v>92</v>
      </c>
      <c r="BD133" s="35"/>
      <c r="BE133" s="35">
        <v>0</v>
      </c>
      <c r="BF133" s="35"/>
      <c r="BG133" s="35">
        <v>0</v>
      </c>
      <c r="BH133" s="35"/>
      <c r="BI133" s="35">
        <v>0</v>
      </c>
      <c r="BJ133" s="35"/>
      <c r="BK133" s="35">
        <v>0</v>
      </c>
      <c r="BL133" s="35"/>
      <c r="BM133" s="35">
        <f t="shared" si="31"/>
        <v>0</v>
      </c>
      <c r="BN133" s="54" t="s">
        <v>347</v>
      </c>
    </row>
    <row r="134" spans="1:66" ht="12.75" hidden="1" customHeight="1">
      <c r="A134" s="35" t="s">
        <v>167</v>
      </c>
      <c r="C134" s="35" t="s">
        <v>66</v>
      </c>
      <c r="D134" s="35"/>
      <c r="E134" s="35">
        <f t="shared" si="19"/>
        <v>0</v>
      </c>
      <c r="F134" s="35"/>
      <c r="G134" s="35">
        <v>0</v>
      </c>
      <c r="H134" s="35"/>
      <c r="I134" s="35">
        <v>0</v>
      </c>
      <c r="J134" s="35"/>
      <c r="K134" s="35">
        <f t="shared" si="20"/>
        <v>0</v>
      </c>
      <c r="L134" s="35"/>
      <c r="M134" s="35">
        <v>0</v>
      </c>
      <c r="N134" s="35"/>
      <c r="O134" s="35">
        <v>0</v>
      </c>
      <c r="P134" s="35"/>
      <c r="Q134" s="35">
        <v>0</v>
      </c>
      <c r="R134" s="35"/>
      <c r="S134" s="35">
        <v>0</v>
      </c>
      <c r="T134" s="35"/>
      <c r="U134" s="35">
        <v>0</v>
      </c>
      <c r="V134" s="35"/>
      <c r="W134" s="35">
        <f t="shared" si="26"/>
        <v>0</v>
      </c>
      <c r="X134" s="35"/>
      <c r="Y134" s="35" t="s">
        <v>167</v>
      </c>
      <c r="Z134" s="55"/>
      <c r="AA134" s="35" t="s">
        <v>66</v>
      </c>
      <c r="AB134" s="35"/>
      <c r="AC134" s="35">
        <v>0</v>
      </c>
      <c r="AD134" s="35"/>
      <c r="AE134" s="35">
        <v>0</v>
      </c>
      <c r="AF134" s="35"/>
      <c r="AG134" s="35">
        <v>0</v>
      </c>
      <c r="AH134" s="35"/>
      <c r="AI134" s="45">
        <f t="shared" si="32"/>
        <v>0</v>
      </c>
      <c r="AJ134" s="45"/>
      <c r="AK134" s="35">
        <v>0</v>
      </c>
      <c r="AL134" s="35"/>
      <c r="AM134" s="35">
        <v>0</v>
      </c>
      <c r="AN134" s="35"/>
      <c r="AO134" s="35">
        <v>0</v>
      </c>
      <c r="AP134" s="35"/>
      <c r="AQ134" s="35">
        <v>0</v>
      </c>
      <c r="AR134" s="35"/>
      <c r="AS134" s="45">
        <f t="shared" si="28"/>
        <v>0</v>
      </c>
      <c r="AT134" s="45"/>
      <c r="AU134" s="35">
        <v>0</v>
      </c>
      <c r="AV134" s="35"/>
      <c r="AW134" s="35">
        <v>0</v>
      </c>
      <c r="AX134" s="35"/>
      <c r="AY134" s="35">
        <f t="shared" si="29"/>
        <v>0</v>
      </c>
      <c r="AZ134" s="35"/>
      <c r="BA134" s="35" t="s">
        <v>167</v>
      </c>
      <c r="BB134" s="55"/>
      <c r="BC134" s="35" t="s">
        <v>66</v>
      </c>
      <c r="BD134" s="35"/>
      <c r="BE134" s="35">
        <v>0</v>
      </c>
      <c r="BF134" s="35"/>
      <c r="BG134" s="35">
        <v>0</v>
      </c>
      <c r="BH134" s="35"/>
      <c r="BI134" s="35">
        <v>0</v>
      </c>
      <c r="BJ134" s="35"/>
      <c r="BK134" s="35">
        <v>0</v>
      </c>
      <c r="BL134" s="35"/>
      <c r="BM134" s="35">
        <f t="shared" si="31"/>
        <v>0</v>
      </c>
      <c r="BN134" s="54" t="s">
        <v>347</v>
      </c>
    </row>
    <row r="135" spans="1:66" ht="12.75" hidden="1" customHeight="1">
      <c r="A135" s="44" t="s">
        <v>168</v>
      </c>
      <c r="C135" s="44" t="s">
        <v>27</v>
      </c>
      <c r="D135" s="44"/>
      <c r="E135" s="35">
        <f t="shared" si="19"/>
        <v>0</v>
      </c>
      <c r="F135" s="35"/>
      <c r="G135" s="35">
        <v>0</v>
      </c>
      <c r="H135" s="35"/>
      <c r="I135" s="35">
        <v>0</v>
      </c>
      <c r="J135" s="35"/>
      <c r="K135" s="35">
        <f t="shared" si="20"/>
        <v>0</v>
      </c>
      <c r="L135" s="35"/>
      <c r="M135" s="35">
        <v>0</v>
      </c>
      <c r="N135" s="35"/>
      <c r="O135" s="35">
        <v>0</v>
      </c>
      <c r="P135" s="35"/>
      <c r="Q135" s="35">
        <v>0</v>
      </c>
      <c r="R135" s="35"/>
      <c r="S135" s="35">
        <v>0</v>
      </c>
      <c r="T135" s="35"/>
      <c r="U135" s="35">
        <v>0</v>
      </c>
      <c r="V135" s="35"/>
      <c r="W135" s="35">
        <f t="shared" si="26"/>
        <v>0</v>
      </c>
      <c r="X135" s="35"/>
      <c r="Y135" s="44" t="s">
        <v>168</v>
      </c>
      <c r="Z135" s="55"/>
      <c r="AA135" s="44" t="s">
        <v>27</v>
      </c>
      <c r="AB135" s="44"/>
      <c r="AC135" s="35">
        <v>0</v>
      </c>
      <c r="AD135" s="35"/>
      <c r="AE135" s="35">
        <v>0</v>
      </c>
      <c r="AF135" s="35"/>
      <c r="AG135" s="35">
        <v>0</v>
      </c>
      <c r="AH135" s="35"/>
      <c r="AI135" s="45">
        <f t="shared" si="32"/>
        <v>0</v>
      </c>
      <c r="AJ135" s="45"/>
      <c r="AK135" s="35">
        <v>0</v>
      </c>
      <c r="AL135" s="35"/>
      <c r="AM135" s="35">
        <v>0</v>
      </c>
      <c r="AN135" s="35"/>
      <c r="AO135" s="35">
        <v>0</v>
      </c>
      <c r="AP135" s="35"/>
      <c r="AQ135" s="35">
        <v>0</v>
      </c>
      <c r="AR135" s="35"/>
      <c r="AS135" s="45">
        <f t="shared" si="28"/>
        <v>0</v>
      </c>
      <c r="AT135" s="45"/>
      <c r="AU135" s="35">
        <v>0</v>
      </c>
      <c r="AV135" s="35"/>
      <c r="AW135" s="35">
        <v>0</v>
      </c>
      <c r="AX135" s="35"/>
      <c r="AY135" s="35">
        <f t="shared" si="29"/>
        <v>0</v>
      </c>
      <c r="AZ135" s="35"/>
      <c r="BA135" s="44" t="s">
        <v>168</v>
      </c>
      <c r="BB135" s="55"/>
      <c r="BC135" s="44" t="s">
        <v>27</v>
      </c>
      <c r="BD135" s="44"/>
      <c r="BE135" s="35">
        <v>0</v>
      </c>
      <c r="BF135" s="35"/>
      <c r="BG135" s="35">
        <v>0</v>
      </c>
      <c r="BH135" s="35"/>
      <c r="BI135" s="35">
        <v>0</v>
      </c>
      <c r="BJ135" s="35"/>
      <c r="BK135" s="35">
        <v>0</v>
      </c>
      <c r="BL135" s="35"/>
      <c r="BM135" s="35">
        <f t="shared" si="31"/>
        <v>0</v>
      </c>
      <c r="BN135" s="54" t="s">
        <v>347</v>
      </c>
    </row>
    <row r="136" spans="1:66" ht="12.75" hidden="1" customHeight="1">
      <c r="A136" s="35" t="s">
        <v>169</v>
      </c>
      <c r="C136" s="35" t="s">
        <v>103</v>
      </c>
      <c r="D136" s="35"/>
      <c r="E136" s="35">
        <f t="shared" si="19"/>
        <v>0</v>
      </c>
      <c r="F136" s="35"/>
      <c r="G136" s="35">
        <v>0</v>
      </c>
      <c r="H136" s="35"/>
      <c r="I136" s="35">
        <v>0</v>
      </c>
      <c r="J136" s="35"/>
      <c r="K136" s="35">
        <f t="shared" si="20"/>
        <v>0</v>
      </c>
      <c r="L136" s="35"/>
      <c r="M136" s="35">
        <v>0</v>
      </c>
      <c r="N136" s="35"/>
      <c r="O136" s="35">
        <v>0</v>
      </c>
      <c r="P136" s="35"/>
      <c r="Q136" s="35">
        <v>0</v>
      </c>
      <c r="R136" s="35"/>
      <c r="S136" s="35">
        <v>0</v>
      </c>
      <c r="T136" s="35"/>
      <c r="U136" s="35">
        <v>0</v>
      </c>
      <c r="V136" s="35"/>
      <c r="W136" s="35">
        <f t="shared" si="26"/>
        <v>0</v>
      </c>
      <c r="X136" s="35"/>
      <c r="Y136" s="35" t="s">
        <v>169</v>
      </c>
      <c r="Z136" s="55"/>
      <c r="AA136" s="35" t="s">
        <v>103</v>
      </c>
      <c r="AB136" s="35"/>
      <c r="AC136" s="35">
        <v>0</v>
      </c>
      <c r="AD136" s="35"/>
      <c r="AE136" s="35">
        <v>0</v>
      </c>
      <c r="AF136" s="35"/>
      <c r="AG136" s="35">
        <v>0</v>
      </c>
      <c r="AH136" s="35"/>
      <c r="AI136" s="45">
        <f t="shared" si="32"/>
        <v>0</v>
      </c>
      <c r="AJ136" s="45"/>
      <c r="AK136" s="35">
        <v>0</v>
      </c>
      <c r="AL136" s="35"/>
      <c r="AM136" s="35">
        <v>0</v>
      </c>
      <c r="AN136" s="35"/>
      <c r="AO136" s="35">
        <v>0</v>
      </c>
      <c r="AP136" s="35"/>
      <c r="AQ136" s="35">
        <v>0</v>
      </c>
      <c r="AR136" s="35"/>
      <c r="AS136" s="45">
        <f t="shared" si="28"/>
        <v>0</v>
      </c>
      <c r="AT136" s="45"/>
      <c r="AU136" s="35">
        <v>0</v>
      </c>
      <c r="AV136" s="35"/>
      <c r="AW136" s="35">
        <v>0</v>
      </c>
      <c r="AX136" s="35"/>
      <c r="AY136" s="35">
        <f t="shared" si="29"/>
        <v>0</v>
      </c>
      <c r="AZ136" s="35"/>
      <c r="BA136" s="35" t="s">
        <v>169</v>
      </c>
      <c r="BB136" s="55"/>
      <c r="BC136" s="35" t="s">
        <v>103</v>
      </c>
      <c r="BD136" s="35"/>
      <c r="BE136" s="35">
        <v>0</v>
      </c>
      <c r="BF136" s="35"/>
      <c r="BG136" s="35">
        <v>0</v>
      </c>
      <c r="BH136" s="35"/>
      <c r="BI136" s="35">
        <v>0</v>
      </c>
      <c r="BJ136" s="35"/>
      <c r="BK136" s="35">
        <v>0</v>
      </c>
      <c r="BL136" s="35"/>
      <c r="BM136" s="35">
        <f t="shared" si="31"/>
        <v>0</v>
      </c>
      <c r="BN136" s="54" t="s">
        <v>347</v>
      </c>
    </row>
    <row r="137" spans="1:66" ht="12.75" hidden="1" customHeight="1">
      <c r="A137" s="35" t="s">
        <v>170</v>
      </c>
      <c r="C137" s="35" t="s">
        <v>171</v>
      </c>
      <c r="D137" s="35"/>
      <c r="E137" s="35">
        <f t="shared" si="19"/>
        <v>0</v>
      </c>
      <c r="F137" s="35"/>
      <c r="G137" s="35">
        <v>0</v>
      </c>
      <c r="H137" s="35"/>
      <c r="I137" s="35">
        <v>0</v>
      </c>
      <c r="J137" s="35"/>
      <c r="K137" s="35">
        <f t="shared" si="20"/>
        <v>0</v>
      </c>
      <c r="L137" s="35"/>
      <c r="M137" s="35">
        <v>0</v>
      </c>
      <c r="N137" s="35"/>
      <c r="O137" s="35">
        <v>0</v>
      </c>
      <c r="P137" s="35"/>
      <c r="Q137" s="35">
        <v>0</v>
      </c>
      <c r="R137" s="35"/>
      <c r="S137" s="35">
        <v>0</v>
      </c>
      <c r="T137" s="35"/>
      <c r="U137" s="35">
        <v>0</v>
      </c>
      <c r="V137" s="35"/>
      <c r="W137" s="35">
        <f t="shared" si="26"/>
        <v>0</v>
      </c>
      <c r="X137" s="35"/>
      <c r="Y137" s="35" t="s">
        <v>170</v>
      </c>
      <c r="Z137" s="55"/>
      <c r="AA137" s="35" t="s">
        <v>171</v>
      </c>
      <c r="AB137" s="35"/>
      <c r="AC137" s="35">
        <v>0</v>
      </c>
      <c r="AD137" s="35"/>
      <c r="AE137" s="35">
        <v>0</v>
      </c>
      <c r="AF137" s="35"/>
      <c r="AG137" s="35">
        <v>0</v>
      </c>
      <c r="AH137" s="35"/>
      <c r="AI137" s="45">
        <f t="shared" si="32"/>
        <v>0</v>
      </c>
      <c r="AJ137" s="45"/>
      <c r="AK137" s="35">
        <v>0</v>
      </c>
      <c r="AL137" s="35"/>
      <c r="AM137" s="35">
        <v>0</v>
      </c>
      <c r="AN137" s="35"/>
      <c r="AO137" s="35">
        <v>0</v>
      </c>
      <c r="AP137" s="35"/>
      <c r="AQ137" s="35">
        <v>0</v>
      </c>
      <c r="AR137" s="35"/>
      <c r="AS137" s="45">
        <f t="shared" si="28"/>
        <v>0</v>
      </c>
      <c r="AT137" s="45"/>
      <c r="AU137" s="35">
        <v>0</v>
      </c>
      <c r="AV137" s="35"/>
      <c r="AW137" s="35">
        <v>0</v>
      </c>
      <c r="AX137" s="35"/>
      <c r="AY137" s="35">
        <f t="shared" si="29"/>
        <v>0</v>
      </c>
      <c r="AZ137" s="35"/>
      <c r="BA137" s="35" t="s">
        <v>170</v>
      </c>
      <c r="BB137" s="55"/>
      <c r="BC137" s="35" t="s">
        <v>171</v>
      </c>
      <c r="BD137" s="35"/>
      <c r="BE137" s="35">
        <v>0</v>
      </c>
      <c r="BF137" s="35"/>
      <c r="BG137" s="35">
        <v>0</v>
      </c>
      <c r="BH137" s="35"/>
      <c r="BI137" s="35">
        <v>0</v>
      </c>
      <c r="BJ137" s="35"/>
      <c r="BK137" s="35">
        <v>0</v>
      </c>
      <c r="BL137" s="35"/>
      <c r="BM137" s="35">
        <f t="shared" si="31"/>
        <v>0</v>
      </c>
      <c r="BN137" s="54" t="s">
        <v>347</v>
      </c>
    </row>
    <row r="138" spans="1:66" ht="12.75" hidden="1" customHeight="1">
      <c r="A138" s="35" t="s">
        <v>172</v>
      </c>
      <c r="C138" s="35" t="s">
        <v>103</v>
      </c>
      <c r="D138" s="35"/>
      <c r="E138" s="35">
        <f t="shared" si="19"/>
        <v>0</v>
      </c>
      <c r="F138" s="35"/>
      <c r="G138" s="35">
        <v>0</v>
      </c>
      <c r="H138" s="35"/>
      <c r="I138" s="35">
        <v>0</v>
      </c>
      <c r="J138" s="35"/>
      <c r="K138" s="35">
        <f t="shared" si="20"/>
        <v>0</v>
      </c>
      <c r="L138" s="35"/>
      <c r="M138" s="35">
        <v>0</v>
      </c>
      <c r="N138" s="35"/>
      <c r="O138" s="35">
        <v>0</v>
      </c>
      <c r="P138" s="35"/>
      <c r="Q138" s="35">
        <v>0</v>
      </c>
      <c r="R138" s="35"/>
      <c r="S138" s="35">
        <v>0</v>
      </c>
      <c r="T138" s="35"/>
      <c r="U138" s="35">
        <v>0</v>
      </c>
      <c r="V138" s="35"/>
      <c r="W138" s="35">
        <f t="shared" si="26"/>
        <v>0</v>
      </c>
      <c r="X138" s="35"/>
      <c r="Y138" s="35" t="s">
        <v>172</v>
      </c>
      <c r="Z138" s="55"/>
      <c r="AA138" s="35" t="s">
        <v>103</v>
      </c>
      <c r="AB138" s="35"/>
      <c r="AC138" s="35">
        <v>0</v>
      </c>
      <c r="AD138" s="35"/>
      <c r="AE138" s="35">
        <v>0</v>
      </c>
      <c r="AF138" s="35"/>
      <c r="AG138" s="35">
        <v>0</v>
      </c>
      <c r="AH138" s="35"/>
      <c r="AI138" s="45">
        <f t="shared" si="32"/>
        <v>0</v>
      </c>
      <c r="AJ138" s="45"/>
      <c r="AK138" s="35">
        <v>0</v>
      </c>
      <c r="AL138" s="35"/>
      <c r="AM138" s="35">
        <v>0</v>
      </c>
      <c r="AN138" s="35"/>
      <c r="AO138" s="35">
        <v>0</v>
      </c>
      <c r="AP138" s="35"/>
      <c r="AQ138" s="35">
        <v>0</v>
      </c>
      <c r="AR138" s="35"/>
      <c r="AS138" s="45">
        <f t="shared" si="28"/>
        <v>0</v>
      </c>
      <c r="AT138" s="45"/>
      <c r="AU138" s="35">
        <v>0</v>
      </c>
      <c r="AV138" s="35"/>
      <c r="AW138" s="35">
        <v>0</v>
      </c>
      <c r="AX138" s="35"/>
      <c r="AY138" s="35">
        <f t="shared" si="29"/>
        <v>0</v>
      </c>
      <c r="AZ138" s="35"/>
      <c r="BA138" s="35" t="s">
        <v>172</v>
      </c>
      <c r="BB138" s="55"/>
      <c r="BC138" s="35" t="s">
        <v>103</v>
      </c>
      <c r="BD138" s="35"/>
      <c r="BE138" s="35">
        <v>0</v>
      </c>
      <c r="BF138" s="35"/>
      <c r="BG138" s="35">
        <v>0</v>
      </c>
      <c r="BH138" s="35"/>
      <c r="BI138" s="35">
        <v>0</v>
      </c>
      <c r="BJ138" s="35"/>
      <c r="BK138" s="35">
        <v>0</v>
      </c>
      <c r="BL138" s="35"/>
      <c r="BM138" s="35">
        <f t="shared" si="31"/>
        <v>0</v>
      </c>
      <c r="BN138" s="54" t="s">
        <v>347</v>
      </c>
    </row>
    <row r="139" spans="1:66" ht="12.75" hidden="1" customHeight="1">
      <c r="A139" s="35" t="s">
        <v>66</v>
      </c>
      <c r="C139" s="35" t="s">
        <v>45</v>
      </c>
      <c r="D139" s="35"/>
      <c r="E139" s="35">
        <f t="shared" si="19"/>
        <v>0</v>
      </c>
      <c r="F139" s="35"/>
      <c r="G139" s="35">
        <v>0</v>
      </c>
      <c r="H139" s="35"/>
      <c r="I139" s="35">
        <v>0</v>
      </c>
      <c r="J139" s="35"/>
      <c r="K139" s="35">
        <f t="shared" si="20"/>
        <v>0</v>
      </c>
      <c r="L139" s="35"/>
      <c r="M139" s="35">
        <v>0</v>
      </c>
      <c r="N139" s="35"/>
      <c r="O139" s="35">
        <v>0</v>
      </c>
      <c r="P139" s="35"/>
      <c r="Q139" s="35">
        <v>0</v>
      </c>
      <c r="R139" s="35"/>
      <c r="S139" s="35">
        <v>0</v>
      </c>
      <c r="T139" s="35"/>
      <c r="U139" s="35">
        <v>0</v>
      </c>
      <c r="V139" s="35"/>
      <c r="W139" s="35">
        <f t="shared" ref="W139:W170" si="33">SUM(Q139:U139)</f>
        <v>0</v>
      </c>
      <c r="X139" s="35"/>
      <c r="Y139" s="35" t="s">
        <v>66</v>
      </c>
      <c r="Z139" s="55"/>
      <c r="AA139" s="35" t="s">
        <v>45</v>
      </c>
      <c r="AB139" s="35"/>
      <c r="AC139" s="35">
        <v>0</v>
      </c>
      <c r="AD139" s="35"/>
      <c r="AE139" s="35">
        <v>0</v>
      </c>
      <c r="AF139" s="35"/>
      <c r="AG139" s="35">
        <v>0</v>
      </c>
      <c r="AH139" s="35"/>
      <c r="AI139" s="45">
        <f t="shared" si="32"/>
        <v>0</v>
      </c>
      <c r="AJ139" s="45"/>
      <c r="AK139" s="35">
        <v>0</v>
      </c>
      <c r="AL139" s="35"/>
      <c r="AM139" s="35">
        <v>0</v>
      </c>
      <c r="AN139" s="35"/>
      <c r="AO139" s="35">
        <v>0</v>
      </c>
      <c r="AP139" s="35"/>
      <c r="AQ139" s="35">
        <v>0</v>
      </c>
      <c r="AR139" s="35"/>
      <c r="AS139" s="45">
        <f t="shared" si="28"/>
        <v>0</v>
      </c>
      <c r="AT139" s="45"/>
      <c r="AU139" s="35">
        <v>0</v>
      </c>
      <c r="AV139" s="35"/>
      <c r="AW139" s="35">
        <v>0</v>
      </c>
      <c r="AX139" s="35"/>
      <c r="AY139" s="35">
        <f t="shared" si="29"/>
        <v>0</v>
      </c>
      <c r="AZ139" s="35"/>
      <c r="BA139" s="35" t="s">
        <v>66</v>
      </c>
      <c r="BB139" s="55"/>
      <c r="BC139" s="35" t="s">
        <v>45</v>
      </c>
      <c r="BD139" s="35"/>
      <c r="BE139" s="35">
        <v>0</v>
      </c>
      <c r="BF139" s="35"/>
      <c r="BG139" s="35">
        <v>0</v>
      </c>
      <c r="BH139" s="35"/>
      <c r="BI139" s="35">
        <v>0</v>
      </c>
      <c r="BJ139" s="35"/>
      <c r="BK139" s="35">
        <v>0</v>
      </c>
      <c r="BL139" s="35"/>
      <c r="BM139" s="35">
        <f t="shared" si="31"/>
        <v>0</v>
      </c>
      <c r="BN139" s="54" t="s">
        <v>347</v>
      </c>
    </row>
    <row r="140" spans="1:66" ht="12.75" hidden="1" customHeight="1">
      <c r="A140" s="35" t="s">
        <v>173</v>
      </c>
      <c r="C140" s="35" t="s">
        <v>66</v>
      </c>
      <c r="D140" s="35"/>
      <c r="E140" s="35">
        <f t="shared" ref="E140:E203" si="34">I140-G140</f>
        <v>0</v>
      </c>
      <c r="F140" s="35"/>
      <c r="G140" s="35"/>
      <c r="H140" s="35"/>
      <c r="I140" s="35"/>
      <c r="J140" s="35"/>
      <c r="K140" s="35">
        <f t="shared" ref="K140:K203" si="35">O140-M140</f>
        <v>0</v>
      </c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>
        <f t="shared" si="33"/>
        <v>0</v>
      </c>
      <c r="X140" s="35"/>
      <c r="Y140" s="35" t="s">
        <v>173</v>
      </c>
      <c r="Z140" s="55"/>
      <c r="AA140" s="35" t="s">
        <v>66</v>
      </c>
      <c r="AB140" s="35"/>
      <c r="AC140" s="35"/>
      <c r="AD140" s="35"/>
      <c r="AE140" s="35"/>
      <c r="AF140" s="35"/>
      <c r="AG140" s="35"/>
      <c r="AH140" s="35"/>
      <c r="AI140" s="45">
        <f t="shared" si="32"/>
        <v>0</v>
      </c>
      <c r="AJ140" s="45"/>
      <c r="AK140" s="35"/>
      <c r="AL140" s="35"/>
      <c r="AM140" s="35"/>
      <c r="AN140" s="35"/>
      <c r="AO140" s="35"/>
      <c r="AP140" s="35"/>
      <c r="AQ140" s="35"/>
      <c r="AR140" s="35"/>
      <c r="AS140" s="45">
        <f t="shared" si="28"/>
        <v>0</v>
      </c>
      <c r="AT140" s="45"/>
      <c r="AU140" s="35">
        <v>0</v>
      </c>
      <c r="AV140" s="35"/>
      <c r="AW140" s="35">
        <v>0</v>
      </c>
      <c r="AX140" s="35"/>
      <c r="AY140" s="35">
        <f t="shared" si="29"/>
        <v>0</v>
      </c>
      <c r="AZ140" s="35"/>
      <c r="BA140" s="35" t="s">
        <v>173</v>
      </c>
      <c r="BB140" s="55"/>
      <c r="BC140" s="35" t="s">
        <v>66</v>
      </c>
      <c r="BD140" s="35"/>
      <c r="BE140" s="35"/>
      <c r="BF140" s="35"/>
      <c r="BG140" s="35"/>
      <c r="BH140" s="35"/>
      <c r="BI140" s="35"/>
      <c r="BJ140" s="35"/>
      <c r="BK140" s="35"/>
      <c r="BL140" s="35"/>
      <c r="BM140" s="35">
        <f t="shared" si="31"/>
        <v>0</v>
      </c>
      <c r="BN140" s="54" t="s">
        <v>347</v>
      </c>
    </row>
    <row r="141" spans="1:66" ht="12.75" hidden="1" customHeight="1">
      <c r="A141" s="35" t="s">
        <v>174</v>
      </c>
      <c r="C141" s="35" t="s">
        <v>45</v>
      </c>
      <c r="D141" s="35"/>
      <c r="E141" s="35">
        <f t="shared" si="34"/>
        <v>0</v>
      </c>
      <c r="F141" s="35"/>
      <c r="G141" s="35">
        <v>0</v>
      </c>
      <c r="H141" s="35"/>
      <c r="I141" s="35">
        <v>0</v>
      </c>
      <c r="J141" s="35"/>
      <c r="K141" s="35">
        <f t="shared" si="35"/>
        <v>0</v>
      </c>
      <c r="L141" s="35"/>
      <c r="M141" s="35">
        <v>0</v>
      </c>
      <c r="N141" s="35"/>
      <c r="O141" s="35">
        <v>0</v>
      </c>
      <c r="P141" s="35"/>
      <c r="Q141" s="35">
        <v>0</v>
      </c>
      <c r="R141" s="35"/>
      <c r="S141" s="35">
        <v>0</v>
      </c>
      <c r="T141" s="35"/>
      <c r="U141" s="35">
        <v>0</v>
      </c>
      <c r="V141" s="35"/>
      <c r="W141" s="35">
        <f t="shared" si="33"/>
        <v>0</v>
      </c>
      <c r="X141" s="35"/>
      <c r="Y141" s="35" t="s">
        <v>174</v>
      </c>
      <c r="Z141" s="55"/>
      <c r="AA141" s="35" t="s">
        <v>45</v>
      </c>
      <c r="AB141" s="35"/>
      <c r="AC141" s="35">
        <v>0</v>
      </c>
      <c r="AD141" s="35"/>
      <c r="AE141" s="35">
        <v>0</v>
      </c>
      <c r="AF141" s="35"/>
      <c r="AG141" s="35">
        <v>0</v>
      </c>
      <c r="AH141" s="35"/>
      <c r="AI141" s="45">
        <f t="shared" si="32"/>
        <v>0</v>
      </c>
      <c r="AJ141" s="45"/>
      <c r="AK141" s="35">
        <v>0</v>
      </c>
      <c r="AL141" s="35"/>
      <c r="AM141" s="35">
        <v>0</v>
      </c>
      <c r="AN141" s="35"/>
      <c r="AO141" s="35">
        <v>0</v>
      </c>
      <c r="AP141" s="35"/>
      <c r="AQ141" s="35">
        <v>0</v>
      </c>
      <c r="AR141" s="35"/>
      <c r="AS141" s="45">
        <f t="shared" si="28"/>
        <v>0</v>
      </c>
      <c r="AT141" s="45"/>
      <c r="AU141" s="35">
        <v>0</v>
      </c>
      <c r="AV141" s="35"/>
      <c r="AW141" s="35">
        <v>0</v>
      </c>
      <c r="AX141" s="35"/>
      <c r="AY141" s="35">
        <f t="shared" si="29"/>
        <v>0</v>
      </c>
      <c r="AZ141" s="35"/>
      <c r="BA141" s="35" t="s">
        <v>174</v>
      </c>
      <c r="BB141" s="55"/>
      <c r="BC141" s="35" t="s">
        <v>45</v>
      </c>
      <c r="BD141" s="35"/>
      <c r="BE141" s="35">
        <v>0</v>
      </c>
      <c r="BF141" s="35"/>
      <c r="BG141" s="35">
        <v>0</v>
      </c>
      <c r="BH141" s="35"/>
      <c r="BI141" s="35">
        <v>0</v>
      </c>
      <c r="BJ141" s="35"/>
      <c r="BK141" s="35">
        <v>0</v>
      </c>
      <c r="BL141" s="35"/>
      <c r="BM141" s="35">
        <f t="shared" si="31"/>
        <v>0</v>
      </c>
      <c r="BN141" s="54" t="s">
        <v>347</v>
      </c>
    </row>
    <row r="142" spans="1:66" ht="12.75" hidden="1" customHeight="1">
      <c r="A142" s="35" t="s">
        <v>175</v>
      </c>
      <c r="C142" s="35" t="s">
        <v>176</v>
      </c>
      <c r="D142" s="35"/>
      <c r="E142" s="35">
        <f t="shared" si="34"/>
        <v>0</v>
      </c>
      <c r="F142" s="35"/>
      <c r="G142" s="35">
        <v>0</v>
      </c>
      <c r="H142" s="35"/>
      <c r="I142" s="35">
        <v>0</v>
      </c>
      <c r="J142" s="35"/>
      <c r="K142" s="35">
        <f t="shared" si="35"/>
        <v>0</v>
      </c>
      <c r="L142" s="35"/>
      <c r="M142" s="35">
        <v>0</v>
      </c>
      <c r="N142" s="35"/>
      <c r="O142" s="35">
        <v>0</v>
      </c>
      <c r="P142" s="35"/>
      <c r="Q142" s="35">
        <v>0</v>
      </c>
      <c r="R142" s="35"/>
      <c r="S142" s="35">
        <v>0</v>
      </c>
      <c r="T142" s="35"/>
      <c r="U142" s="35">
        <v>0</v>
      </c>
      <c r="V142" s="35"/>
      <c r="W142" s="35">
        <f t="shared" si="33"/>
        <v>0</v>
      </c>
      <c r="X142" s="35"/>
      <c r="Y142" s="35" t="s">
        <v>175</v>
      </c>
      <c r="Z142" s="55"/>
      <c r="AA142" s="35" t="s">
        <v>176</v>
      </c>
      <c r="AB142" s="35"/>
      <c r="AC142" s="35">
        <v>0</v>
      </c>
      <c r="AD142" s="35"/>
      <c r="AE142" s="35">
        <v>0</v>
      </c>
      <c r="AF142" s="35"/>
      <c r="AG142" s="35">
        <v>0</v>
      </c>
      <c r="AH142" s="35"/>
      <c r="AI142" s="45">
        <f t="shared" si="32"/>
        <v>0</v>
      </c>
      <c r="AJ142" s="45"/>
      <c r="AK142" s="35">
        <v>0</v>
      </c>
      <c r="AL142" s="35"/>
      <c r="AM142" s="35">
        <v>0</v>
      </c>
      <c r="AN142" s="35"/>
      <c r="AO142" s="35">
        <v>0</v>
      </c>
      <c r="AP142" s="35"/>
      <c r="AQ142" s="35">
        <v>0</v>
      </c>
      <c r="AR142" s="35"/>
      <c r="AS142" s="45">
        <f t="shared" ref="AS142:AS173" si="36">+AI142+AK142+AM142-AO142+AQ142</f>
        <v>0</v>
      </c>
      <c r="AT142" s="45"/>
      <c r="AU142" s="35">
        <v>0</v>
      </c>
      <c r="AV142" s="35"/>
      <c r="AW142" s="35">
        <v>0</v>
      </c>
      <c r="AX142" s="35"/>
      <c r="AY142" s="35">
        <f t="shared" ref="AY142:AY173" si="37">+E142-K142</f>
        <v>0</v>
      </c>
      <c r="AZ142" s="35"/>
      <c r="BA142" s="35" t="s">
        <v>175</v>
      </c>
      <c r="BB142" s="55"/>
      <c r="BC142" s="35" t="s">
        <v>176</v>
      </c>
      <c r="BD142" s="35"/>
      <c r="BE142" s="35">
        <v>0</v>
      </c>
      <c r="BF142" s="35"/>
      <c r="BG142" s="35">
        <v>0</v>
      </c>
      <c r="BH142" s="35"/>
      <c r="BI142" s="35">
        <v>0</v>
      </c>
      <c r="BJ142" s="35"/>
      <c r="BK142" s="35">
        <v>0</v>
      </c>
      <c r="BL142" s="35"/>
      <c r="BM142" s="35">
        <v>0</v>
      </c>
      <c r="BN142" s="54" t="s">
        <v>347</v>
      </c>
    </row>
    <row r="143" spans="1:66" ht="12.75" hidden="1" customHeight="1">
      <c r="A143" s="35" t="s">
        <v>177</v>
      </c>
      <c r="C143" s="35" t="s">
        <v>13</v>
      </c>
      <c r="D143" s="35"/>
      <c r="E143" s="35">
        <f t="shared" si="34"/>
        <v>0</v>
      </c>
      <c r="F143" s="35"/>
      <c r="G143" s="35">
        <v>0</v>
      </c>
      <c r="H143" s="35"/>
      <c r="I143" s="35">
        <v>0</v>
      </c>
      <c r="J143" s="35"/>
      <c r="K143" s="35">
        <f t="shared" si="35"/>
        <v>0</v>
      </c>
      <c r="L143" s="35"/>
      <c r="M143" s="35">
        <v>0</v>
      </c>
      <c r="N143" s="35"/>
      <c r="O143" s="35">
        <v>0</v>
      </c>
      <c r="P143" s="35"/>
      <c r="Q143" s="35">
        <v>0</v>
      </c>
      <c r="R143" s="35"/>
      <c r="S143" s="35">
        <v>0</v>
      </c>
      <c r="T143" s="35"/>
      <c r="U143" s="35">
        <v>0</v>
      </c>
      <c r="V143" s="35"/>
      <c r="W143" s="35">
        <f t="shared" si="33"/>
        <v>0</v>
      </c>
      <c r="X143" s="35"/>
      <c r="Y143" s="35" t="s">
        <v>177</v>
      </c>
      <c r="Z143" s="55"/>
      <c r="AA143" s="35" t="s">
        <v>13</v>
      </c>
      <c r="AB143" s="35"/>
      <c r="AC143" s="35">
        <v>0</v>
      </c>
      <c r="AD143" s="35"/>
      <c r="AE143" s="35">
        <v>0</v>
      </c>
      <c r="AF143" s="35"/>
      <c r="AG143" s="35">
        <v>0</v>
      </c>
      <c r="AH143" s="35"/>
      <c r="AI143" s="45">
        <f t="shared" si="32"/>
        <v>0</v>
      </c>
      <c r="AJ143" s="45"/>
      <c r="AK143" s="35">
        <v>0</v>
      </c>
      <c r="AL143" s="35"/>
      <c r="AM143" s="35">
        <v>0</v>
      </c>
      <c r="AN143" s="35"/>
      <c r="AO143" s="35">
        <v>0</v>
      </c>
      <c r="AP143" s="35"/>
      <c r="AQ143" s="35">
        <v>0</v>
      </c>
      <c r="AR143" s="35"/>
      <c r="AS143" s="45">
        <f t="shared" si="36"/>
        <v>0</v>
      </c>
      <c r="AT143" s="45"/>
      <c r="AU143" s="35">
        <v>0</v>
      </c>
      <c r="AV143" s="35"/>
      <c r="AW143" s="35">
        <v>0</v>
      </c>
      <c r="AX143" s="35"/>
      <c r="AY143" s="35">
        <f t="shared" si="37"/>
        <v>0</v>
      </c>
      <c r="AZ143" s="35"/>
      <c r="BA143" s="35" t="s">
        <v>177</v>
      </c>
      <c r="BB143" s="55"/>
      <c r="BC143" s="35" t="s">
        <v>13</v>
      </c>
      <c r="BD143" s="35"/>
      <c r="BE143" s="35">
        <v>0</v>
      </c>
      <c r="BF143" s="35"/>
      <c r="BG143" s="35">
        <v>0</v>
      </c>
      <c r="BH143" s="35"/>
      <c r="BI143" s="35">
        <v>0</v>
      </c>
      <c r="BJ143" s="35"/>
      <c r="BK143" s="35">
        <v>0</v>
      </c>
      <c r="BL143" s="35"/>
      <c r="BM143" s="35">
        <f t="shared" ref="BM143:BM188" si="38">SUM(BE143:BK143)</f>
        <v>0</v>
      </c>
      <c r="BN143" s="54" t="s">
        <v>347</v>
      </c>
    </row>
    <row r="144" spans="1:66" ht="13.5" customHeight="1">
      <c r="A144" s="35" t="s">
        <v>178</v>
      </c>
      <c r="C144" s="35" t="s">
        <v>179</v>
      </c>
      <c r="D144" s="35"/>
      <c r="E144" s="35">
        <f t="shared" si="34"/>
        <v>10635799</v>
      </c>
      <c r="F144" s="35"/>
      <c r="G144" s="35">
        <v>11340012</v>
      </c>
      <c r="H144" s="35"/>
      <c r="I144" s="35">
        <v>21975811</v>
      </c>
      <c r="J144" s="35"/>
      <c r="K144" s="35">
        <f t="shared" si="35"/>
        <v>1092417</v>
      </c>
      <c r="L144" s="35"/>
      <c r="M144" s="35">
        <v>2380785</v>
      </c>
      <c r="N144" s="35"/>
      <c r="O144" s="35">
        <v>3473202</v>
      </c>
      <c r="P144" s="35"/>
      <c r="Q144" s="35">
        <v>8112023</v>
      </c>
      <c r="R144" s="35"/>
      <c r="S144" s="35">
        <v>0</v>
      </c>
      <c r="T144" s="35"/>
      <c r="U144" s="35">
        <v>10390586</v>
      </c>
      <c r="V144" s="35"/>
      <c r="W144" s="35">
        <f t="shared" si="33"/>
        <v>18502609</v>
      </c>
      <c r="X144" s="35"/>
      <c r="Y144" s="35" t="s">
        <v>178</v>
      </c>
      <c r="Z144" s="55"/>
      <c r="AA144" s="35" t="s">
        <v>179</v>
      </c>
      <c r="AB144" s="35"/>
      <c r="AC144" s="35">
        <v>12872163</v>
      </c>
      <c r="AD144" s="35"/>
      <c r="AE144" s="35">
        <v>12220066</v>
      </c>
      <c r="AF144" s="35"/>
      <c r="AG144" s="35">
        <v>413879</v>
      </c>
      <c r="AH144" s="35"/>
      <c r="AI144" s="45">
        <f t="shared" si="32"/>
        <v>238218</v>
      </c>
      <c r="AJ144" s="45"/>
      <c r="AK144" s="35">
        <v>42955</v>
      </c>
      <c r="AL144" s="35"/>
      <c r="AM144" s="35">
        <v>0</v>
      </c>
      <c r="AN144" s="35"/>
      <c r="AO144" s="35">
        <v>0</v>
      </c>
      <c r="AP144" s="35"/>
      <c r="AQ144" s="35">
        <v>0</v>
      </c>
      <c r="AR144" s="35"/>
      <c r="AS144" s="45">
        <f t="shared" si="36"/>
        <v>281173</v>
      </c>
      <c r="AT144" s="45"/>
      <c r="AU144" s="35">
        <v>0</v>
      </c>
      <c r="AV144" s="35"/>
      <c r="AW144" s="35">
        <v>0</v>
      </c>
      <c r="AX144" s="35"/>
      <c r="AY144" s="35">
        <f t="shared" si="37"/>
        <v>9543382</v>
      </c>
      <c r="AZ144" s="35"/>
      <c r="BA144" s="35" t="s">
        <v>178</v>
      </c>
      <c r="BB144" s="55"/>
      <c r="BC144" s="35" t="s">
        <v>179</v>
      </c>
      <c r="BD144" s="35"/>
      <c r="BE144" s="35">
        <v>0</v>
      </c>
      <c r="BF144" s="35"/>
      <c r="BG144" s="35">
        <v>1975000</v>
      </c>
      <c r="BH144" s="35"/>
      <c r="BI144" s="35">
        <v>0</v>
      </c>
      <c r="BJ144" s="35"/>
      <c r="BK144" s="35">
        <v>405785</v>
      </c>
      <c r="BL144" s="35"/>
      <c r="BM144" s="35">
        <f t="shared" si="38"/>
        <v>2380785</v>
      </c>
      <c r="BN144" s="54" t="s">
        <v>347</v>
      </c>
    </row>
    <row r="145" spans="1:66" ht="12.75" hidden="1" customHeight="1">
      <c r="A145" s="35" t="s">
        <v>180</v>
      </c>
      <c r="C145" s="35" t="s">
        <v>20</v>
      </c>
      <c r="D145" s="35"/>
      <c r="E145" s="35">
        <f t="shared" si="34"/>
        <v>0</v>
      </c>
      <c r="F145" s="35"/>
      <c r="G145" s="35">
        <v>0</v>
      </c>
      <c r="H145" s="35"/>
      <c r="I145" s="35">
        <v>0</v>
      </c>
      <c r="J145" s="35"/>
      <c r="K145" s="35">
        <f t="shared" si="35"/>
        <v>0</v>
      </c>
      <c r="L145" s="35"/>
      <c r="M145" s="35">
        <v>0</v>
      </c>
      <c r="N145" s="35"/>
      <c r="O145" s="35">
        <v>0</v>
      </c>
      <c r="P145" s="35"/>
      <c r="Q145" s="35">
        <v>0</v>
      </c>
      <c r="R145" s="35"/>
      <c r="S145" s="35">
        <v>0</v>
      </c>
      <c r="T145" s="35"/>
      <c r="U145" s="35">
        <v>0</v>
      </c>
      <c r="V145" s="35"/>
      <c r="W145" s="35">
        <f t="shared" si="33"/>
        <v>0</v>
      </c>
      <c r="X145" s="35"/>
      <c r="Y145" s="35" t="s">
        <v>180</v>
      </c>
      <c r="Z145" s="55"/>
      <c r="AA145" s="35" t="s">
        <v>20</v>
      </c>
      <c r="AB145" s="35"/>
      <c r="AC145" s="35">
        <v>0</v>
      </c>
      <c r="AD145" s="35"/>
      <c r="AE145" s="35">
        <v>0</v>
      </c>
      <c r="AF145" s="35"/>
      <c r="AG145" s="35">
        <v>0</v>
      </c>
      <c r="AH145" s="35"/>
      <c r="AI145" s="45">
        <f t="shared" si="32"/>
        <v>0</v>
      </c>
      <c r="AJ145" s="45"/>
      <c r="AK145" s="35">
        <v>0</v>
      </c>
      <c r="AL145" s="35"/>
      <c r="AM145" s="35">
        <v>0</v>
      </c>
      <c r="AN145" s="35"/>
      <c r="AO145" s="35">
        <v>0</v>
      </c>
      <c r="AP145" s="35"/>
      <c r="AQ145" s="35">
        <v>0</v>
      </c>
      <c r="AR145" s="35"/>
      <c r="AS145" s="45">
        <f t="shared" si="36"/>
        <v>0</v>
      </c>
      <c r="AT145" s="45"/>
      <c r="AU145" s="35">
        <v>0</v>
      </c>
      <c r="AV145" s="35"/>
      <c r="AW145" s="35">
        <v>0</v>
      </c>
      <c r="AX145" s="35"/>
      <c r="AY145" s="35">
        <f t="shared" si="37"/>
        <v>0</v>
      </c>
      <c r="AZ145" s="35"/>
      <c r="BA145" s="35" t="s">
        <v>180</v>
      </c>
      <c r="BB145" s="55"/>
      <c r="BC145" s="35" t="s">
        <v>20</v>
      </c>
      <c r="BD145" s="35"/>
      <c r="BE145" s="35">
        <v>0</v>
      </c>
      <c r="BF145" s="35"/>
      <c r="BG145" s="35">
        <v>0</v>
      </c>
      <c r="BH145" s="35"/>
      <c r="BI145" s="35">
        <v>0</v>
      </c>
      <c r="BJ145" s="35"/>
      <c r="BK145" s="35">
        <v>0</v>
      </c>
      <c r="BL145" s="35"/>
      <c r="BM145" s="35">
        <f t="shared" si="38"/>
        <v>0</v>
      </c>
      <c r="BN145" s="54" t="s">
        <v>347</v>
      </c>
    </row>
    <row r="146" spans="1:66" ht="12.75" hidden="1" customHeight="1">
      <c r="A146" s="35" t="s">
        <v>182</v>
      </c>
      <c r="C146" s="35" t="s">
        <v>183</v>
      </c>
      <c r="D146" s="35"/>
      <c r="E146" s="35">
        <f t="shared" si="34"/>
        <v>0</v>
      </c>
      <c r="F146" s="35"/>
      <c r="G146" s="35">
        <v>0</v>
      </c>
      <c r="H146" s="35"/>
      <c r="I146" s="35">
        <v>0</v>
      </c>
      <c r="J146" s="35"/>
      <c r="K146" s="35">
        <f t="shared" si="35"/>
        <v>0</v>
      </c>
      <c r="L146" s="35"/>
      <c r="M146" s="35">
        <v>0</v>
      </c>
      <c r="N146" s="35"/>
      <c r="O146" s="35">
        <v>0</v>
      </c>
      <c r="P146" s="35"/>
      <c r="Q146" s="35">
        <v>0</v>
      </c>
      <c r="R146" s="35"/>
      <c r="S146" s="35">
        <v>0</v>
      </c>
      <c r="T146" s="35"/>
      <c r="U146" s="35">
        <v>0</v>
      </c>
      <c r="V146" s="35"/>
      <c r="W146" s="35">
        <f t="shared" si="33"/>
        <v>0</v>
      </c>
      <c r="X146" s="35"/>
      <c r="Y146" s="35" t="s">
        <v>182</v>
      </c>
      <c r="Z146" s="55"/>
      <c r="AA146" s="35" t="s">
        <v>183</v>
      </c>
      <c r="AB146" s="35"/>
      <c r="AC146" s="35">
        <v>0</v>
      </c>
      <c r="AD146" s="35"/>
      <c r="AE146" s="35">
        <v>0</v>
      </c>
      <c r="AF146" s="35"/>
      <c r="AG146" s="35">
        <v>0</v>
      </c>
      <c r="AH146" s="35"/>
      <c r="AI146" s="45">
        <f t="shared" si="32"/>
        <v>0</v>
      </c>
      <c r="AJ146" s="45"/>
      <c r="AK146" s="35">
        <v>0</v>
      </c>
      <c r="AL146" s="35"/>
      <c r="AM146" s="35">
        <v>0</v>
      </c>
      <c r="AN146" s="35"/>
      <c r="AO146" s="35">
        <v>0</v>
      </c>
      <c r="AP146" s="35"/>
      <c r="AQ146" s="35">
        <v>0</v>
      </c>
      <c r="AR146" s="35"/>
      <c r="AS146" s="45">
        <f t="shared" si="36"/>
        <v>0</v>
      </c>
      <c r="AT146" s="45"/>
      <c r="AU146" s="35">
        <v>0</v>
      </c>
      <c r="AV146" s="35"/>
      <c r="AW146" s="35">
        <v>0</v>
      </c>
      <c r="AX146" s="35"/>
      <c r="AY146" s="35">
        <f t="shared" si="37"/>
        <v>0</v>
      </c>
      <c r="AZ146" s="35"/>
      <c r="BA146" s="35" t="s">
        <v>182</v>
      </c>
      <c r="BB146" s="55"/>
      <c r="BC146" s="35" t="s">
        <v>183</v>
      </c>
      <c r="BD146" s="35"/>
      <c r="BE146" s="35">
        <v>0</v>
      </c>
      <c r="BF146" s="35"/>
      <c r="BG146" s="35">
        <v>0</v>
      </c>
      <c r="BH146" s="35"/>
      <c r="BI146" s="35">
        <v>0</v>
      </c>
      <c r="BJ146" s="35"/>
      <c r="BK146" s="35">
        <v>0</v>
      </c>
      <c r="BL146" s="35"/>
      <c r="BM146" s="35">
        <f t="shared" si="38"/>
        <v>0</v>
      </c>
      <c r="BN146" s="54" t="s">
        <v>347</v>
      </c>
    </row>
    <row r="147" spans="1:66" ht="12.75" hidden="1" customHeight="1">
      <c r="A147" s="35" t="s">
        <v>184</v>
      </c>
      <c r="C147" s="35" t="s">
        <v>89</v>
      </c>
      <c r="D147" s="35"/>
      <c r="E147" s="35">
        <f t="shared" si="34"/>
        <v>0</v>
      </c>
      <c r="F147" s="35"/>
      <c r="G147" s="35">
        <v>0</v>
      </c>
      <c r="H147" s="35"/>
      <c r="I147" s="35">
        <v>0</v>
      </c>
      <c r="J147" s="35"/>
      <c r="K147" s="35">
        <f t="shared" si="35"/>
        <v>0</v>
      </c>
      <c r="L147" s="35"/>
      <c r="M147" s="35">
        <v>0</v>
      </c>
      <c r="N147" s="35"/>
      <c r="O147" s="35">
        <v>0</v>
      </c>
      <c r="P147" s="35"/>
      <c r="Q147" s="35">
        <v>0</v>
      </c>
      <c r="R147" s="35"/>
      <c r="S147" s="35">
        <v>0</v>
      </c>
      <c r="T147" s="35"/>
      <c r="U147" s="35">
        <v>0</v>
      </c>
      <c r="V147" s="35"/>
      <c r="W147" s="35">
        <f t="shared" si="33"/>
        <v>0</v>
      </c>
      <c r="X147" s="35"/>
      <c r="Y147" s="35" t="s">
        <v>184</v>
      </c>
      <c r="Z147" s="55"/>
      <c r="AA147" s="35" t="s">
        <v>89</v>
      </c>
      <c r="AB147" s="35"/>
      <c r="AC147" s="35">
        <v>0</v>
      </c>
      <c r="AD147" s="35"/>
      <c r="AE147" s="35">
        <v>0</v>
      </c>
      <c r="AF147" s="35"/>
      <c r="AG147" s="35">
        <v>0</v>
      </c>
      <c r="AH147" s="35"/>
      <c r="AI147" s="45">
        <f t="shared" si="32"/>
        <v>0</v>
      </c>
      <c r="AJ147" s="45"/>
      <c r="AK147" s="35">
        <v>0</v>
      </c>
      <c r="AL147" s="35"/>
      <c r="AM147" s="35">
        <v>0</v>
      </c>
      <c r="AN147" s="35"/>
      <c r="AO147" s="35">
        <v>0</v>
      </c>
      <c r="AP147" s="35"/>
      <c r="AQ147" s="35">
        <v>0</v>
      </c>
      <c r="AR147" s="35"/>
      <c r="AS147" s="45">
        <f t="shared" si="36"/>
        <v>0</v>
      </c>
      <c r="AT147" s="45"/>
      <c r="AU147" s="35">
        <v>0</v>
      </c>
      <c r="AV147" s="35"/>
      <c r="AW147" s="35">
        <v>0</v>
      </c>
      <c r="AX147" s="35"/>
      <c r="AY147" s="35">
        <f t="shared" si="37"/>
        <v>0</v>
      </c>
      <c r="AZ147" s="35"/>
      <c r="BA147" s="35" t="s">
        <v>184</v>
      </c>
      <c r="BB147" s="55"/>
      <c r="BC147" s="35" t="s">
        <v>89</v>
      </c>
      <c r="BD147" s="35"/>
      <c r="BE147" s="35">
        <v>0</v>
      </c>
      <c r="BF147" s="35"/>
      <c r="BG147" s="35">
        <v>0</v>
      </c>
      <c r="BH147" s="35"/>
      <c r="BI147" s="35">
        <v>0</v>
      </c>
      <c r="BJ147" s="35"/>
      <c r="BK147" s="35">
        <v>0</v>
      </c>
      <c r="BL147" s="35"/>
      <c r="BM147" s="35">
        <f t="shared" si="38"/>
        <v>0</v>
      </c>
      <c r="BN147" s="54" t="s">
        <v>347</v>
      </c>
    </row>
    <row r="148" spans="1:66" ht="12.75" hidden="1" customHeight="1">
      <c r="A148" s="35" t="s">
        <v>181</v>
      </c>
      <c r="C148" s="35" t="s">
        <v>125</v>
      </c>
      <c r="D148" s="35"/>
      <c r="E148" s="35">
        <f t="shared" si="34"/>
        <v>0</v>
      </c>
      <c r="F148" s="35"/>
      <c r="G148" s="35">
        <v>0</v>
      </c>
      <c r="H148" s="35"/>
      <c r="I148" s="35">
        <v>0</v>
      </c>
      <c r="J148" s="35"/>
      <c r="K148" s="35">
        <f t="shared" si="35"/>
        <v>0</v>
      </c>
      <c r="L148" s="35"/>
      <c r="M148" s="35">
        <v>0</v>
      </c>
      <c r="N148" s="35"/>
      <c r="O148" s="35">
        <v>0</v>
      </c>
      <c r="P148" s="35"/>
      <c r="Q148" s="35">
        <v>0</v>
      </c>
      <c r="R148" s="35"/>
      <c r="S148" s="35">
        <v>0</v>
      </c>
      <c r="T148" s="35"/>
      <c r="U148" s="35">
        <v>0</v>
      </c>
      <c r="V148" s="35"/>
      <c r="W148" s="35">
        <f t="shared" si="33"/>
        <v>0</v>
      </c>
      <c r="X148" s="35"/>
      <c r="Y148" s="35" t="s">
        <v>181</v>
      </c>
      <c r="Z148" s="55"/>
      <c r="AA148" s="35" t="s">
        <v>125</v>
      </c>
      <c r="AB148" s="35"/>
      <c r="AC148" s="35">
        <v>0</v>
      </c>
      <c r="AD148" s="35"/>
      <c r="AE148" s="35">
        <v>0</v>
      </c>
      <c r="AF148" s="35"/>
      <c r="AG148" s="35">
        <v>0</v>
      </c>
      <c r="AH148" s="35"/>
      <c r="AI148" s="45">
        <f t="shared" si="32"/>
        <v>0</v>
      </c>
      <c r="AJ148" s="45"/>
      <c r="AK148" s="35">
        <v>0</v>
      </c>
      <c r="AL148" s="35"/>
      <c r="AM148" s="35">
        <v>0</v>
      </c>
      <c r="AN148" s="35"/>
      <c r="AO148" s="35">
        <v>0</v>
      </c>
      <c r="AP148" s="35"/>
      <c r="AQ148" s="35">
        <v>0</v>
      </c>
      <c r="AR148" s="35"/>
      <c r="AS148" s="45">
        <f t="shared" si="36"/>
        <v>0</v>
      </c>
      <c r="AT148" s="45"/>
      <c r="AU148" s="35">
        <v>0</v>
      </c>
      <c r="AV148" s="35"/>
      <c r="AW148" s="35">
        <v>0</v>
      </c>
      <c r="AX148" s="35"/>
      <c r="AY148" s="35">
        <f t="shared" si="37"/>
        <v>0</v>
      </c>
      <c r="AZ148" s="35"/>
      <c r="BA148" s="35" t="s">
        <v>181</v>
      </c>
      <c r="BB148" s="55"/>
      <c r="BC148" s="35" t="s">
        <v>125</v>
      </c>
      <c r="BD148" s="35"/>
      <c r="BE148" s="35">
        <v>0</v>
      </c>
      <c r="BF148" s="35"/>
      <c r="BG148" s="35">
        <v>0</v>
      </c>
      <c r="BH148" s="35"/>
      <c r="BI148" s="35">
        <v>0</v>
      </c>
      <c r="BJ148" s="35"/>
      <c r="BK148" s="35">
        <v>0</v>
      </c>
      <c r="BL148" s="35"/>
      <c r="BM148" s="35">
        <f t="shared" si="38"/>
        <v>0</v>
      </c>
      <c r="BN148" s="54" t="s">
        <v>347</v>
      </c>
    </row>
    <row r="149" spans="1:66" ht="12.75" hidden="1" customHeight="1">
      <c r="A149" s="35" t="s">
        <v>185</v>
      </c>
      <c r="C149" s="35" t="s">
        <v>80</v>
      </c>
      <c r="D149" s="35"/>
      <c r="E149" s="35">
        <f t="shared" si="34"/>
        <v>0</v>
      </c>
      <c r="F149" s="35"/>
      <c r="G149" s="35"/>
      <c r="H149" s="35"/>
      <c r="I149" s="35"/>
      <c r="J149" s="35"/>
      <c r="K149" s="35">
        <f t="shared" si="35"/>
        <v>0</v>
      </c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>
        <f t="shared" si="33"/>
        <v>0</v>
      </c>
      <c r="X149" s="35"/>
      <c r="Y149" s="35" t="s">
        <v>185</v>
      </c>
      <c r="Z149" s="55"/>
      <c r="AA149" s="35" t="s">
        <v>80</v>
      </c>
      <c r="AB149" s="35"/>
      <c r="AC149" s="35"/>
      <c r="AD149" s="35"/>
      <c r="AE149" s="35"/>
      <c r="AF149" s="35"/>
      <c r="AG149" s="35"/>
      <c r="AH149" s="35"/>
      <c r="AI149" s="45">
        <f t="shared" si="32"/>
        <v>0</v>
      </c>
      <c r="AJ149" s="45"/>
      <c r="AK149" s="35"/>
      <c r="AL149" s="35"/>
      <c r="AM149" s="35"/>
      <c r="AN149" s="35"/>
      <c r="AO149" s="35"/>
      <c r="AP149" s="35"/>
      <c r="AQ149" s="35"/>
      <c r="AR149" s="35"/>
      <c r="AS149" s="45">
        <f t="shared" si="36"/>
        <v>0</v>
      </c>
      <c r="AT149" s="45"/>
      <c r="AU149" s="35">
        <v>0</v>
      </c>
      <c r="AV149" s="35"/>
      <c r="AW149" s="35">
        <v>0</v>
      </c>
      <c r="AX149" s="35"/>
      <c r="AY149" s="35">
        <f t="shared" si="37"/>
        <v>0</v>
      </c>
      <c r="AZ149" s="35"/>
      <c r="BA149" s="35" t="s">
        <v>185</v>
      </c>
      <c r="BB149" s="55"/>
      <c r="BC149" s="35" t="s">
        <v>80</v>
      </c>
      <c r="BD149" s="35"/>
      <c r="BE149" s="35"/>
      <c r="BF149" s="35"/>
      <c r="BG149" s="35"/>
      <c r="BH149" s="35"/>
      <c r="BI149" s="35"/>
      <c r="BJ149" s="35"/>
      <c r="BK149" s="35"/>
      <c r="BL149" s="35"/>
      <c r="BM149" s="35">
        <f t="shared" si="38"/>
        <v>0</v>
      </c>
      <c r="BN149" s="54" t="s">
        <v>347</v>
      </c>
    </row>
    <row r="150" spans="1:66" ht="12.75" hidden="1" customHeight="1">
      <c r="A150" s="35" t="s">
        <v>186</v>
      </c>
      <c r="C150" s="35" t="s">
        <v>15</v>
      </c>
      <c r="D150" s="35"/>
      <c r="E150" s="35">
        <f t="shared" si="34"/>
        <v>0</v>
      </c>
      <c r="F150" s="35"/>
      <c r="G150" s="35">
        <v>0</v>
      </c>
      <c r="H150" s="35"/>
      <c r="I150" s="35">
        <v>0</v>
      </c>
      <c r="J150" s="35"/>
      <c r="K150" s="35">
        <f t="shared" si="35"/>
        <v>0</v>
      </c>
      <c r="L150" s="35"/>
      <c r="M150" s="35">
        <v>0</v>
      </c>
      <c r="N150" s="35"/>
      <c r="O150" s="35">
        <v>0</v>
      </c>
      <c r="P150" s="35"/>
      <c r="Q150" s="35">
        <v>0</v>
      </c>
      <c r="R150" s="35"/>
      <c r="S150" s="35">
        <v>0</v>
      </c>
      <c r="T150" s="35"/>
      <c r="U150" s="35">
        <v>0</v>
      </c>
      <c r="V150" s="35"/>
      <c r="W150" s="35">
        <f t="shared" si="33"/>
        <v>0</v>
      </c>
      <c r="X150" s="35"/>
      <c r="Y150" s="35" t="s">
        <v>186</v>
      </c>
      <c r="Z150" s="55"/>
      <c r="AA150" s="35" t="s">
        <v>15</v>
      </c>
      <c r="AB150" s="35"/>
      <c r="AC150" s="35">
        <v>0</v>
      </c>
      <c r="AD150" s="35"/>
      <c r="AE150" s="35">
        <v>0</v>
      </c>
      <c r="AF150" s="35"/>
      <c r="AG150" s="35">
        <v>0</v>
      </c>
      <c r="AH150" s="35"/>
      <c r="AI150" s="45">
        <f t="shared" si="32"/>
        <v>0</v>
      </c>
      <c r="AJ150" s="45"/>
      <c r="AK150" s="35">
        <v>0</v>
      </c>
      <c r="AL150" s="35"/>
      <c r="AM150" s="35">
        <v>0</v>
      </c>
      <c r="AN150" s="35"/>
      <c r="AO150" s="35">
        <v>0</v>
      </c>
      <c r="AP150" s="35"/>
      <c r="AQ150" s="35">
        <v>0</v>
      </c>
      <c r="AR150" s="35"/>
      <c r="AS150" s="45">
        <f t="shared" si="36"/>
        <v>0</v>
      </c>
      <c r="AT150" s="45"/>
      <c r="AU150" s="35">
        <v>0</v>
      </c>
      <c r="AV150" s="35"/>
      <c r="AW150" s="35">
        <v>0</v>
      </c>
      <c r="AX150" s="35"/>
      <c r="AY150" s="35">
        <f t="shared" si="37"/>
        <v>0</v>
      </c>
      <c r="AZ150" s="35"/>
      <c r="BA150" s="35" t="s">
        <v>186</v>
      </c>
      <c r="BB150" s="55"/>
      <c r="BC150" s="35" t="s">
        <v>15</v>
      </c>
      <c r="BD150" s="35"/>
      <c r="BE150" s="35">
        <v>0</v>
      </c>
      <c r="BF150" s="35"/>
      <c r="BG150" s="35">
        <v>0</v>
      </c>
      <c r="BH150" s="35"/>
      <c r="BI150" s="35">
        <v>0</v>
      </c>
      <c r="BJ150" s="35"/>
      <c r="BK150" s="35">
        <v>0</v>
      </c>
      <c r="BL150" s="35"/>
      <c r="BM150" s="35">
        <f t="shared" si="38"/>
        <v>0</v>
      </c>
      <c r="BN150" s="54" t="s">
        <v>347</v>
      </c>
    </row>
    <row r="151" spans="1:66" ht="12.75" hidden="1" customHeight="1">
      <c r="A151" s="35" t="s">
        <v>187</v>
      </c>
      <c r="C151" s="35" t="s">
        <v>27</v>
      </c>
      <c r="D151" s="35"/>
      <c r="E151" s="35">
        <f t="shared" si="34"/>
        <v>0</v>
      </c>
      <c r="F151" s="35"/>
      <c r="G151" s="35">
        <v>0</v>
      </c>
      <c r="H151" s="35"/>
      <c r="I151" s="35">
        <v>0</v>
      </c>
      <c r="J151" s="35"/>
      <c r="K151" s="35">
        <f t="shared" si="35"/>
        <v>0</v>
      </c>
      <c r="L151" s="35"/>
      <c r="M151" s="35">
        <v>0</v>
      </c>
      <c r="N151" s="35"/>
      <c r="O151" s="35">
        <v>0</v>
      </c>
      <c r="P151" s="35"/>
      <c r="Q151" s="35">
        <v>0</v>
      </c>
      <c r="R151" s="35"/>
      <c r="S151" s="35">
        <v>0</v>
      </c>
      <c r="T151" s="35"/>
      <c r="U151" s="35">
        <v>0</v>
      </c>
      <c r="V151" s="35"/>
      <c r="W151" s="35">
        <f t="shared" si="33"/>
        <v>0</v>
      </c>
      <c r="X151" s="35"/>
      <c r="Y151" s="35" t="s">
        <v>187</v>
      </c>
      <c r="Z151" s="55"/>
      <c r="AA151" s="35" t="s">
        <v>27</v>
      </c>
      <c r="AB151" s="35"/>
      <c r="AC151" s="35">
        <v>0</v>
      </c>
      <c r="AD151" s="35"/>
      <c r="AE151" s="35">
        <v>0</v>
      </c>
      <c r="AF151" s="35"/>
      <c r="AG151" s="35">
        <v>0</v>
      </c>
      <c r="AH151" s="35"/>
      <c r="AI151" s="45">
        <f t="shared" si="32"/>
        <v>0</v>
      </c>
      <c r="AJ151" s="45"/>
      <c r="AK151" s="35">
        <v>0</v>
      </c>
      <c r="AL151" s="35"/>
      <c r="AM151" s="35">
        <v>0</v>
      </c>
      <c r="AN151" s="35"/>
      <c r="AO151" s="35">
        <v>0</v>
      </c>
      <c r="AP151" s="35"/>
      <c r="AQ151" s="35">
        <v>0</v>
      </c>
      <c r="AR151" s="35"/>
      <c r="AS151" s="45">
        <f t="shared" si="36"/>
        <v>0</v>
      </c>
      <c r="AT151" s="45"/>
      <c r="AU151" s="35">
        <v>0</v>
      </c>
      <c r="AV151" s="35"/>
      <c r="AW151" s="35">
        <v>0</v>
      </c>
      <c r="AX151" s="35"/>
      <c r="AY151" s="35">
        <f t="shared" si="37"/>
        <v>0</v>
      </c>
      <c r="AZ151" s="35"/>
      <c r="BA151" s="35" t="s">
        <v>187</v>
      </c>
      <c r="BB151" s="55"/>
      <c r="BC151" s="35" t="s">
        <v>27</v>
      </c>
      <c r="BD151" s="35"/>
      <c r="BE151" s="35">
        <v>0</v>
      </c>
      <c r="BF151" s="35"/>
      <c r="BG151" s="35">
        <v>0</v>
      </c>
      <c r="BH151" s="35"/>
      <c r="BI151" s="35">
        <v>0</v>
      </c>
      <c r="BJ151" s="35"/>
      <c r="BK151" s="35">
        <v>0</v>
      </c>
      <c r="BL151" s="35"/>
      <c r="BM151" s="35">
        <f t="shared" si="38"/>
        <v>0</v>
      </c>
      <c r="BN151" s="54" t="s">
        <v>347</v>
      </c>
    </row>
    <row r="152" spans="1:66" ht="12.75" hidden="1" customHeight="1">
      <c r="A152" s="35" t="s">
        <v>189</v>
      </c>
      <c r="C152" s="35" t="s">
        <v>17</v>
      </c>
      <c r="D152" s="35"/>
      <c r="E152" s="35">
        <f t="shared" si="34"/>
        <v>0</v>
      </c>
      <c r="F152" s="35"/>
      <c r="G152" s="35">
        <v>0</v>
      </c>
      <c r="H152" s="35"/>
      <c r="I152" s="35">
        <v>0</v>
      </c>
      <c r="J152" s="35"/>
      <c r="K152" s="35">
        <f t="shared" si="35"/>
        <v>0</v>
      </c>
      <c r="L152" s="35"/>
      <c r="M152" s="35">
        <v>0</v>
      </c>
      <c r="N152" s="35"/>
      <c r="O152" s="35">
        <v>0</v>
      </c>
      <c r="P152" s="35"/>
      <c r="Q152" s="35">
        <v>0</v>
      </c>
      <c r="R152" s="35"/>
      <c r="S152" s="35">
        <v>0</v>
      </c>
      <c r="T152" s="35"/>
      <c r="U152" s="35">
        <v>0</v>
      </c>
      <c r="V152" s="35"/>
      <c r="W152" s="35">
        <f t="shared" si="33"/>
        <v>0</v>
      </c>
      <c r="X152" s="35"/>
      <c r="Y152" s="35" t="s">
        <v>189</v>
      </c>
      <c r="Z152" s="55"/>
      <c r="AA152" s="35" t="s">
        <v>17</v>
      </c>
      <c r="AB152" s="35"/>
      <c r="AC152" s="35">
        <v>0</v>
      </c>
      <c r="AD152" s="35"/>
      <c r="AE152" s="35">
        <v>0</v>
      </c>
      <c r="AF152" s="35"/>
      <c r="AG152" s="35">
        <v>0</v>
      </c>
      <c r="AH152" s="35"/>
      <c r="AI152" s="45">
        <f t="shared" si="32"/>
        <v>0</v>
      </c>
      <c r="AJ152" s="45"/>
      <c r="AK152" s="35">
        <v>0</v>
      </c>
      <c r="AL152" s="35"/>
      <c r="AM152" s="35">
        <v>0</v>
      </c>
      <c r="AN152" s="35"/>
      <c r="AO152" s="35">
        <v>0</v>
      </c>
      <c r="AP152" s="35"/>
      <c r="AQ152" s="35">
        <v>0</v>
      </c>
      <c r="AR152" s="35"/>
      <c r="AS152" s="45">
        <f t="shared" si="36"/>
        <v>0</v>
      </c>
      <c r="AT152" s="45"/>
      <c r="AU152" s="35">
        <v>0</v>
      </c>
      <c r="AV152" s="35"/>
      <c r="AW152" s="35">
        <v>0</v>
      </c>
      <c r="AX152" s="35"/>
      <c r="AY152" s="35">
        <f t="shared" si="37"/>
        <v>0</v>
      </c>
      <c r="AZ152" s="35"/>
      <c r="BA152" s="35" t="s">
        <v>189</v>
      </c>
      <c r="BB152" s="55"/>
      <c r="BC152" s="35" t="s">
        <v>17</v>
      </c>
      <c r="BD152" s="35"/>
      <c r="BE152" s="35">
        <v>0</v>
      </c>
      <c r="BF152" s="35"/>
      <c r="BG152" s="35">
        <v>0</v>
      </c>
      <c r="BH152" s="35"/>
      <c r="BI152" s="35">
        <v>0</v>
      </c>
      <c r="BJ152" s="35"/>
      <c r="BK152" s="35">
        <v>0</v>
      </c>
      <c r="BL152" s="35"/>
      <c r="BM152" s="35">
        <f t="shared" si="38"/>
        <v>0</v>
      </c>
      <c r="BN152" s="54" t="s">
        <v>347</v>
      </c>
    </row>
    <row r="153" spans="1:66" ht="12.75" hidden="1" customHeight="1">
      <c r="A153" s="35" t="s">
        <v>188</v>
      </c>
      <c r="C153" s="35" t="s">
        <v>27</v>
      </c>
      <c r="D153" s="35"/>
      <c r="E153" s="35">
        <f t="shared" si="34"/>
        <v>0</v>
      </c>
      <c r="F153" s="35"/>
      <c r="G153" s="35">
        <v>0</v>
      </c>
      <c r="H153" s="35"/>
      <c r="I153" s="35">
        <v>0</v>
      </c>
      <c r="J153" s="35"/>
      <c r="K153" s="35">
        <f t="shared" si="35"/>
        <v>0</v>
      </c>
      <c r="L153" s="35"/>
      <c r="M153" s="35">
        <v>0</v>
      </c>
      <c r="N153" s="35"/>
      <c r="O153" s="35">
        <v>0</v>
      </c>
      <c r="P153" s="35"/>
      <c r="Q153" s="35">
        <v>0</v>
      </c>
      <c r="R153" s="35"/>
      <c r="S153" s="35">
        <v>0</v>
      </c>
      <c r="T153" s="35"/>
      <c r="U153" s="35">
        <v>0</v>
      </c>
      <c r="V153" s="35"/>
      <c r="W153" s="35">
        <f t="shared" si="33"/>
        <v>0</v>
      </c>
      <c r="X153" s="35"/>
      <c r="Y153" s="35" t="s">
        <v>188</v>
      </c>
      <c r="Z153" s="55"/>
      <c r="AA153" s="35" t="s">
        <v>27</v>
      </c>
      <c r="AB153" s="35"/>
      <c r="AC153" s="35">
        <v>0</v>
      </c>
      <c r="AD153" s="35"/>
      <c r="AE153" s="35">
        <v>0</v>
      </c>
      <c r="AF153" s="35"/>
      <c r="AG153" s="35">
        <v>0</v>
      </c>
      <c r="AH153" s="35"/>
      <c r="AI153" s="45">
        <f t="shared" si="32"/>
        <v>0</v>
      </c>
      <c r="AJ153" s="45"/>
      <c r="AK153" s="35">
        <v>0</v>
      </c>
      <c r="AL153" s="35"/>
      <c r="AM153" s="35">
        <v>0</v>
      </c>
      <c r="AN153" s="35"/>
      <c r="AO153" s="35">
        <v>0</v>
      </c>
      <c r="AP153" s="35"/>
      <c r="AQ153" s="35">
        <v>0</v>
      </c>
      <c r="AR153" s="35"/>
      <c r="AS153" s="45">
        <f t="shared" si="36"/>
        <v>0</v>
      </c>
      <c r="AT153" s="45"/>
      <c r="AU153" s="35">
        <v>0</v>
      </c>
      <c r="AV153" s="35"/>
      <c r="AW153" s="35">
        <v>0</v>
      </c>
      <c r="AX153" s="35"/>
      <c r="AY153" s="35">
        <f t="shared" si="37"/>
        <v>0</v>
      </c>
      <c r="AZ153" s="35"/>
      <c r="BA153" s="35" t="s">
        <v>188</v>
      </c>
      <c r="BB153" s="55"/>
      <c r="BC153" s="35" t="s">
        <v>27</v>
      </c>
      <c r="BD153" s="35"/>
      <c r="BE153" s="35">
        <v>0</v>
      </c>
      <c r="BF153" s="35"/>
      <c r="BG153" s="35">
        <v>0</v>
      </c>
      <c r="BH153" s="35"/>
      <c r="BI153" s="35">
        <v>0</v>
      </c>
      <c r="BJ153" s="35"/>
      <c r="BK153" s="35">
        <v>0</v>
      </c>
      <c r="BL153" s="35"/>
      <c r="BM153" s="35">
        <f t="shared" si="38"/>
        <v>0</v>
      </c>
      <c r="BN153" s="54" t="s">
        <v>347</v>
      </c>
    </row>
    <row r="154" spans="1:66" ht="12.75" hidden="1" customHeight="1">
      <c r="A154" s="35" t="s">
        <v>190</v>
      </c>
      <c r="C154" s="35" t="s">
        <v>47</v>
      </c>
      <c r="D154" s="35"/>
      <c r="E154" s="35">
        <f t="shared" si="34"/>
        <v>0</v>
      </c>
      <c r="F154" s="35"/>
      <c r="G154" s="35">
        <v>0</v>
      </c>
      <c r="H154" s="35"/>
      <c r="I154" s="35">
        <v>0</v>
      </c>
      <c r="J154" s="35"/>
      <c r="K154" s="35">
        <f t="shared" si="35"/>
        <v>0</v>
      </c>
      <c r="L154" s="35"/>
      <c r="M154" s="35">
        <v>0</v>
      </c>
      <c r="N154" s="35"/>
      <c r="O154" s="35">
        <v>0</v>
      </c>
      <c r="P154" s="35"/>
      <c r="Q154" s="35">
        <v>0</v>
      </c>
      <c r="R154" s="35"/>
      <c r="S154" s="35">
        <v>0</v>
      </c>
      <c r="T154" s="35"/>
      <c r="U154" s="35">
        <v>0</v>
      </c>
      <c r="V154" s="35"/>
      <c r="W154" s="35">
        <f t="shared" si="33"/>
        <v>0</v>
      </c>
      <c r="X154" s="35"/>
      <c r="Y154" s="35" t="s">
        <v>190</v>
      </c>
      <c r="Z154" s="55"/>
      <c r="AA154" s="35" t="s">
        <v>47</v>
      </c>
      <c r="AB154" s="35"/>
      <c r="AC154" s="35">
        <v>0</v>
      </c>
      <c r="AD154" s="35"/>
      <c r="AE154" s="35">
        <v>0</v>
      </c>
      <c r="AF154" s="35"/>
      <c r="AG154" s="35">
        <v>0</v>
      </c>
      <c r="AH154" s="35"/>
      <c r="AI154" s="45">
        <f t="shared" si="32"/>
        <v>0</v>
      </c>
      <c r="AJ154" s="45"/>
      <c r="AK154" s="35">
        <v>0</v>
      </c>
      <c r="AL154" s="35"/>
      <c r="AM154" s="35">
        <v>0</v>
      </c>
      <c r="AN154" s="35"/>
      <c r="AO154" s="35">
        <v>0</v>
      </c>
      <c r="AP154" s="35"/>
      <c r="AQ154" s="35">
        <v>0</v>
      </c>
      <c r="AR154" s="35"/>
      <c r="AS154" s="45">
        <f t="shared" si="36"/>
        <v>0</v>
      </c>
      <c r="AT154" s="45"/>
      <c r="AU154" s="35">
        <v>0</v>
      </c>
      <c r="AV154" s="35"/>
      <c r="AW154" s="35">
        <v>0</v>
      </c>
      <c r="AX154" s="35"/>
      <c r="AY154" s="35">
        <f t="shared" si="37"/>
        <v>0</v>
      </c>
      <c r="AZ154" s="35"/>
      <c r="BA154" s="35" t="s">
        <v>190</v>
      </c>
      <c r="BB154" s="55"/>
      <c r="BC154" s="35" t="s">
        <v>47</v>
      </c>
      <c r="BD154" s="35"/>
      <c r="BE154" s="35">
        <v>0</v>
      </c>
      <c r="BF154" s="35"/>
      <c r="BG154" s="35">
        <v>0</v>
      </c>
      <c r="BH154" s="35"/>
      <c r="BI154" s="35">
        <v>0</v>
      </c>
      <c r="BJ154" s="35"/>
      <c r="BK154" s="35">
        <v>0</v>
      </c>
      <c r="BL154" s="35"/>
      <c r="BM154" s="35">
        <f t="shared" si="38"/>
        <v>0</v>
      </c>
      <c r="BN154" s="54" t="s">
        <v>347</v>
      </c>
    </row>
    <row r="155" spans="1:66" ht="12.75" hidden="1" customHeight="1">
      <c r="A155" s="35" t="s">
        <v>191</v>
      </c>
      <c r="C155" s="35" t="s">
        <v>13</v>
      </c>
      <c r="D155" s="35"/>
      <c r="E155" s="35">
        <f t="shared" si="34"/>
        <v>0</v>
      </c>
      <c r="F155" s="35"/>
      <c r="G155" s="35">
        <v>0</v>
      </c>
      <c r="H155" s="35"/>
      <c r="I155" s="35">
        <v>0</v>
      </c>
      <c r="J155" s="35"/>
      <c r="K155" s="35">
        <f t="shared" si="35"/>
        <v>0</v>
      </c>
      <c r="L155" s="35"/>
      <c r="M155" s="35">
        <v>0</v>
      </c>
      <c r="N155" s="35"/>
      <c r="O155" s="35">
        <v>0</v>
      </c>
      <c r="P155" s="35"/>
      <c r="Q155" s="35">
        <v>0</v>
      </c>
      <c r="R155" s="35"/>
      <c r="S155" s="35">
        <v>0</v>
      </c>
      <c r="T155" s="35"/>
      <c r="U155" s="35">
        <v>0</v>
      </c>
      <c r="V155" s="35"/>
      <c r="W155" s="35">
        <f t="shared" si="33"/>
        <v>0</v>
      </c>
      <c r="X155" s="35"/>
      <c r="Y155" s="35" t="s">
        <v>191</v>
      </c>
      <c r="Z155" s="55"/>
      <c r="AA155" s="35" t="s">
        <v>13</v>
      </c>
      <c r="AB155" s="35"/>
      <c r="AC155" s="35">
        <v>0</v>
      </c>
      <c r="AD155" s="35"/>
      <c r="AE155" s="35">
        <v>0</v>
      </c>
      <c r="AF155" s="35"/>
      <c r="AG155" s="35">
        <v>0</v>
      </c>
      <c r="AH155" s="35"/>
      <c r="AI155" s="45">
        <f t="shared" si="32"/>
        <v>0</v>
      </c>
      <c r="AJ155" s="45"/>
      <c r="AK155" s="35">
        <v>0</v>
      </c>
      <c r="AL155" s="35"/>
      <c r="AM155" s="35">
        <v>0</v>
      </c>
      <c r="AN155" s="35"/>
      <c r="AO155" s="35">
        <v>0</v>
      </c>
      <c r="AP155" s="35"/>
      <c r="AQ155" s="35">
        <v>0</v>
      </c>
      <c r="AR155" s="35"/>
      <c r="AS155" s="45">
        <f t="shared" si="36"/>
        <v>0</v>
      </c>
      <c r="AT155" s="45"/>
      <c r="AU155" s="35">
        <v>0</v>
      </c>
      <c r="AV155" s="35"/>
      <c r="AW155" s="35">
        <v>0</v>
      </c>
      <c r="AX155" s="35"/>
      <c r="AY155" s="35">
        <f t="shared" si="37"/>
        <v>0</v>
      </c>
      <c r="AZ155" s="35"/>
      <c r="BA155" s="35" t="s">
        <v>191</v>
      </c>
      <c r="BB155" s="55"/>
      <c r="BC155" s="35" t="s">
        <v>13</v>
      </c>
      <c r="BD155" s="35"/>
      <c r="BE155" s="35">
        <v>0</v>
      </c>
      <c r="BF155" s="35"/>
      <c r="BG155" s="35">
        <v>0</v>
      </c>
      <c r="BH155" s="35"/>
      <c r="BI155" s="35">
        <v>0</v>
      </c>
      <c r="BJ155" s="35"/>
      <c r="BK155" s="35">
        <v>0</v>
      </c>
      <c r="BL155" s="35"/>
      <c r="BM155" s="35">
        <f t="shared" si="38"/>
        <v>0</v>
      </c>
      <c r="BN155" s="54" t="s">
        <v>347</v>
      </c>
    </row>
    <row r="156" spans="1:66" ht="12.75" hidden="1" customHeight="1">
      <c r="A156" s="35" t="s">
        <v>192</v>
      </c>
      <c r="C156" s="35" t="s">
        <v>38</v>
      </c>
      <c r="D156" s="35"/>
      <c r="E156" s="35">
        <f t="shared" si="34"/>
        <v>0</v>
      </c>
      <c r="F156" s="35"/>
      <c r="G156" s="35">
        <v>0</v>
      </c>
      <c r="H156" s="35"/>
      <c r="I156" s="35">
        <v>0</v>
      </c>
      <c r="J156" s="35"/>
      <c r="K156" s="35">
        <f t="shared" si="35"/>
        <v>0</v>
      </c>
      <c r="L156" s="35"/>
      <c r="M156" s="35">
        <v>0</v>
      </c>
      <c r="N156" s="35"/>
      <c r="O156" s="35">
        <v>0</v>
      </c>
      <c r="P156" s="35"/>
      <c r="Q156" s="35">
        <v>0</v>
      </c>
      <c r="R156" s="35"/>
      <c r="S156" s="35">
        <v>0</v>
      </c>
      <c r="T156" s="35"/>
      <c r="U156" s="35">
        <v>0</v>
      </c>
      <c r="V156" s="35"/>
      <c r="W156" s="35">
        <f t="shared" si="33"/>
        <v>0</v>
      </c>
      <c r="X156" s="35"/>
      <c r="Y156" s="35" t="s">
        <v>192</v>
      </c>
      <c r="Z156" s="55"/>
      <c r="AA156" s="35" t="s">
        <v>38</v>
      </c>
      <c r="AB156" s="35"/>
      <c r="AC156" s="35">
        <v>0</v>
      </c>
      <c r="AD156" s="35"/>
      <c r="AE156" s="35">
        <v>0</v>
      </c>
      <c r="AF156" s="35"/>
      <c r="AG156" s="35">
        <v>0</v>
      </c>
      <c r="AH156" s="35"/>
      <c r="AI156" s="45">
        <f t="shared" si="32"/>
        <v>0</v>
      </c>
      <c r="AJ156" s="45"/>
      <c r="AK156" s="35">
        <v>0</v>
      </c>
      <c r="AL156" s="35"/>
      <c r="AM156" s="35">
        <v>0</v>
      </c>
      <c r="AN156" s="35"/>
      <c r="AO156" s="35">
        <v>0</v>
      </c>
      <c r="AP156" s="35"/>
      <c r="AQ156" s="35">
        <v>0</v>
      </c>
      <c r="AR156" s="35"/>
      <c r="AS156" s="45">
        <f t="shared" si="36"/>
        <v>0</v>
      </c>
      <c r="AT156" s="45"/>
      <c r="AU156" s="35">
        <v>0</v>
      </c>
      <c r="AV156" s="35"/>
      <c r="AW156" s="35">
        <v>0</v>
      </c>
      <c r="AX156" s="35"/>
      <c r="AY156" s="35">
        <f t="shared" si="37"/>
        <v>0</v>
      </c>
      <c r="AZ156" s="35"/>
      <c r="BA156" s="35" t="s">
        <v>192</v>
      </c>
      <c r="BB156" s="55"/>
      <c r="BC156" s="35" t="s">
        <v>38</v>
      </c>
      <c r="BD156" s="35"/>
      <c r="BE156" s="35">
        <v>0</v>
      </c>
      <c r="BF156" s="35"/>
      <c r="BG156" s="35">
        <v>0</v>
      </c>
      <c r="BH156" s="35"/>
      <c r="BI156" s="35">
        <v>0</v>
      </c>
      <c r="BJ156" s="35"/>
      <c r="BK156" s="35">
        <v>0</v>
      </c>
      <c r="BL156" s="35"/>
      <c r="BM156" s="35">
        <f t="shared" si="38"/>
        <v>0</v>
      </c>
      <c r="BN156" s="54" t="s">
        <v>347</v>
      </c>
    </row>
    <row r="157" spans="1:66" ht="12.75" hidden="1" customHeight="1">
      <c r="A157" s="35" t="s">
        <v>193</v>
      </c>
      <c r="C157" s="35" t="s">
        <v>45</v>
      </c>
      <c r="D157" s="35"/>
      <c r="E157" s="35">
        <f t="shared" si="34"/>
        <v>0</v>
      </c>
      <c r="F157" s="35"/>
      <c r="G157" s="35"/>
      <c r="H157" s="35"/>
      <c r="I157" s="35"/>
      <c r="J157" s="35"/>
      <c r="K157" s="35">
        <f t="shared" si="35"/>
        <v>0</v>
      </c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>
        <f t="shared" si="33"/>
        <v>0</v>
      </c>
      <c r="X157" s="35"/>
      <c r="Y157" s="35" t="s">
        <v>193</v>
      </c>
      <c r="Z157" s="55"/>
      <c r="AA157" s="35" t="s">
        <v>45</v>
      </c>
      <c r="AB157" s="35"/>
      <c r="AC157" s="35"/>
      <c r="AD157" s="35"/>
      <c r="AE157" s="35"/>
      <c r="AF157" s="35"/>
      <c r="AG157" s="35"/>
      <c r="AH157" s="35"/>
      <c r="AI157" s="45">
        <f t="shared" si="32"/>
        <v>0</v>
      </c>
      <c r="AJ157" s="45"/>
      <c r="AK157" s="35"/>
      <c r="AL157" s="35"/>
      <c r="AM157" s="35"/>
      <c r="AN157" s="35"/>
      <c r="AO157" s="35"/>
      <c r="AP157" s="35"/>
      <c r="AQ157" s="35"/>
      <c r="AR157" s="35"/>
      <c r="AS157" s="45">
        <f t="shared" si="36"/>
        <v>0</v>
      </c>
      <c r="AT157" s="45"/>
      <c r="AU157" s="35">
        <v>0</v>
      </c>
      <c r="AV157" s="35"/>
      <c r="AW157" s="35">
        <v>0</v>
      </c>
      <c r="AX157" s="35"/>
      <c r="AY157" s="35">
        <f t="shared" si="37"/>
        <v>0</v>
      </c>
      <c r="AZ157" s="35"/>
      <c r="BA157" s="35" t="s">
        <v>193</v>
      </c>
      <c r="BB157" s="55"/>
      <c r="BC157" s="35" t="s">
        <v>45</v>
      </c>
      <c r="BD157" s="35"/>
      <c r="BE157" s="35"/>
      <c r="BF157" s="35"/>
      <c r="BG157" s="35"/>
      <c r="BH157" s="35"/>
      <c r="BI157" s="35"/>
      <c r="BJ157" s="35"/>
      <c r="BK157" s="35"/>
      <c r="BL157" s="35"/>
      <c r="BM157" s="35">
        <f t="shared" si="38"/>
        <v>0</v>
      </c>
      <c r="BN157" s="54" t="s">
        <v>347</v>
      </c>
    </row>
    <row r="158" spans="1:66" ht="12.75" hidden="1" customHeight="1">
      <c r="A158" s="35" t="s">
        <v>194</v>
      </c>
      <c r="C158" s="35" t="s">
        <v>66</v>
      </c>
      <c r="D158" s="35"/>
      <c r="E158" s="35">
        <f t="shared" si="34"/>
        <v>0</v>
      </c>
      <c r="F158" s="35"/>
      <c r="G158" s="35">
        <v>0</v>
      </c>
      <c r="H158" s="35"/>
      <c r="I158" s="35">
        <v>0</v>
      </c>
      <c r="J158" s="35"/>
      <c r="K158" s="35">
        <f t="shared" si="35"/>
        <v>0</v>
      </c>
      <c r="L158" s="35"/>
      <c r="M158" s="35">
        <v>0</v>
      </c>
      <c r="N158" s="35"/>
      <c r="O158" s="35">
        <v>0</v>
      </c>
      <c r="P158" s="35"/>
      <c r="Q158" s="35">
        <v>0</v>
      </c>
      <c r="R158" s="35"/>
      <c r="S158" s="35">
        <v>0</v>
      </c>
      <c r="T158" s="35"/>
      <c r="U158" s="35">
        <v>0</v>
      </c>
      <c r="V158" s="35"/>
      <c r="W158" s="35">
        <f t="shared" si="33"/>
        <v>0</v>
      </c>
      <c r="X158" s="35"/>
      <c r="Y158" s="35" t="s">
        <v>194</v>
      </c>
      <c r="Z158" s="55"/>
      <c r="AA158" s="35" t="s">
        <v>66</v>
      </c>
      <c r="AB158" s="35"/>
      <c r="AC158" s="35">
        <v>0</v>
      </c>
      <c r="AD158" s="35"/>
      <c r="AE158" s="35">
        <v>0</v>
      </c>
      <c r="AF158" s="35"/>
      <c r="AG158" s="35">
        <v>0</v>
      </c>
      <c r="AH158" s="35"/>
      <c r="AI158" s="45">
        <f t="shared" si="32"/>
        <v>0</v>
      </c>
      <c r="AJ158" s="45"/>
      <c r="AK158" s="35">
        <v>0</v>
      </c>
      <c r="AL158" s="35"/>
      <c r="AM158" s="35">
        <v>0</v>
      </c>
      <c r="AN158" s="35"/>
      <c r="AO158" s="35">
        <v>0</v>
      </c>
      <c r="AP158" s="35"/>
      <c r="AQ158" s="35">
        <v>0</v>
      </c>
      <c r="AR158" s="35"/>
      <c r="AS158" s="45">
        <f t="shared" si="36"/>
        <v>0</v>
      </c>
      <c r="AT158" s="45"/>
      <c r="AU158" s="35">
        <v>0</v>
      </c>
      <c r="AV158" s="35"/>
      <c r="AW158" s="35">
        <v>0</v>
      </c>
      <c r="AX158" s="35"/>
      <c r="AY158" s="35">
        <f t="shared" si="37"/>
        <v>0</v>
      </c>
      <c r="AZ158" s="35"/>
      <c r="BA158" s="35" t="s">
        <v>194</v>
      </c>
      <c r="BB158" s="55"/>
      <c r="BC158" s="35" t="s">
        <v>66</v>
      </c>
      <c r="BD158" s="35"/>
      <c r="BE158" s="35">
        <v>0</v>
      </c>
      <c r="BF158" s="35"/>
      <c r="BG158" s="35">
        <v>0</v>
      </c>
      <c r="BH158" s="35"/>
      <c r="BI158" s="35">
        <v>0</v>
      </c>
      <c r="BJ158" s="35"/>
      <c r="BK158" s="35">
        <v>0</v>
      </c>
      <c r="BL158" s="35"/>
      <c r="BM158" s="35">
        <f t="shared" si="38"/>
        <v>0</v>
      </c>
      <c r="BN158" s="54" t="s">
        <v>347</v>
      </c>
    </row>
    <row r="159" spans="1:66" ht="12.75" customHeight="1">
      <c r="A159" s="35" t="s">
        <v>195</v>
      </c>
      <c r="C159" s="35" t="s">
        <v>17</v>
      </c>
      <c r="D159" s="35"/>
      <c r="E159" s="35">
        <v>1247883</v>
      </c>
      <c r="F159" s="35"/>
      <c r="G159" s="35">
        <v>267109</v>
      </c>
      <c r="H159" s="35"/>
      <c r="I159" s="35">
        <v>1514992</v>
      </c>
      <c r="J159" s="35"/>
      <c r="K159" s="35">
        <v>374837</v>
      </c>
      <c r="L159" s="35"/>
      <c r="M159" s="35">
        <v>17432</v>
      </c>
      <c r="N159" s="35"/>
      <c r="O159" s="35">
        <v>392269</v>
      </c>
      <c r="P159" s="35"/>
      <c r="Q159" s="35">
        <v>2618387</v>
      </c>
      <c r="R159" s="35"/>
      <c r="S159" s="35">
        <v>0</v>
      </c>
      <c r="T159" s="35"/>
      <c r="U159" s="35">
        <v>6771809</v>
      </c>
      <c r="V159" s="35"/>
      <c r="W159" s="35">
        <f t="shared" si="33"/>
        <v>9390196</v>
      </c>
      <c r="X159" s="35"/>
      <c r="Y159" s="35" t="s">
        <v>195</v>
      </c>
      <c r="Z159" s="55"/>
      <c r="AA159" s="35" t="s">
        <v>17</v>
      </c>
      <c r="AB159" s="35"/>
      <c r="AC159" s="35">
        <v>9937578</v>
      </c>
      <c r="AD159" s="35"/>
      <c r="AE159" s="35">
        <v>8691272</v>
      </c>
      <c r="AF159" s="35"/>
      <c r="AG159" s="35">
        <v>569601</v>
      </c>
      <c r="AH159" s="35"/>
      <c r="AI159" s="45">
        <f t="shared" si="32"/>
        <v>676705</v>
      </c>
      <c r="AJ159" s="45"/>
      <c r="AK159" s="35">
        <v>-416183</v>
      </c>
      <c r="AL159" s="35"/>
      <c r="AM159" s="35">
        <v>0</v>
      </c>
      <c r="AN159" s="35"/>
      <c r="AO159" s="35">
        <v>71541</v>
      </c>
      <c r="AP159" s="35"/>
      <c r="AQ159" s="35">
        <v>0</v>
      </c>
      <c r="AR159" s="35"/>
      <c r="AS159" s="45">
        <f>+AI159+AK159+AM159-AO159+AQ159</f>
        <v>188981</v>
      </c>
      <c r="AT159" s="45"/>
      <c r="AU159" s="35">
        <v>0</v>
      </c>
      <c r="AV159" s="35"/>
      <c r="AW159" s="35">
        <v>0</v>
      </c>
      <c r="AX159" s="35"/>
      <c r="AY159" s="35">
        <f t="shared" si="37"/>
        <v>873046</v>
      </c>
      <c r="AZ159" s="35"/>
      <c r="BA159" s="35" t="s">
        <v>195</v>
      </c>
      <c r="BB159" s="55"/>
      <c r="BC159" s="35" t="s">
        <v>17</v>
      </c>
      <c r="BD159" s="35"/>
      <c r="BE159" s="35">
        <v>450000</v>
      </c>
      <c r="BF159" s="35"/>
      <c r="BG159" s="35">
        <v>0</v>
      </c>
      <c r="BH159" s="35"/>
      <c r="BI159" s="35">
        <v>0</v>
      </c>
      <c r="BJ159" s="35"/>
      <c r="BK159" s="35">
        <v>0</v>
      </c>
      <c r="BL159" s="35"/>
      <c r="BM159" s="35">
        <f t="shared" si="38"/>
        <v>450000</v>
      </c>
      <c r="BN159" s="54" t="s">
        <v>347</v>
      </c>
    </row>
    <row r="160" spans="1:66" ht="12.75" hidden="1" customHeight="1">
      <c r="A160" s="35" t="s">
        <v>196</v>
      </c>
      <c r="C160" s="35" t="s">
        <v>27</v>
      </c>
      <c r="D160" s="35"/>
      <c r="E160" s="35">
        <f t="shared" si="34"/>
        <v>0</v>
      </c>
      <c r="F160" s="35"/>
      <c r="G160" s="35"/>
      <c r="H160" s="35"/>
      <c r="I160" s="35"/>
      <c r="J160" s="35"/>
      <c r="K160" s="35">
        <f t="shared" si="35"/>
        <v>0</v>
      </c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>
        <f t="shared" si="33"/>
        <v>0</v>
      </c>
      <c r="X160" s="35"/>
      <c r="Y160" s="35" t="s">
        <v>196</v>
      </c>
      <c r="Z160" s="55"/>
      <c r="AA160" s="35" t="s">
        <v>27</v>
      </c>
      <c r="AB160" s="35"/>
      <c r="AC160" s="35"/>
      <c r="AD160" s="35"/>
      <c r="AE160" s="35"/>
      <c r="AF160" s="35"/>
      <c r="AG160" s="35"/>
      <c r="AH160" s="35"/>
      <c r="AI160" s="45">
        <f t="shared" si="32"/>
        <v>0</v>
      </c>
      <c r="AJ160" s="45"/>
      <c r="AK160" s="35"/>
      <c r="AL160" s="35"/>
      <c r="AM160" s="35"/>
      <c r="AN160" s="35"/>
      <c r="AO160" s="35"/>
      <c r="AP160" s="35"/>
      <c r="AQ160" s="35"/>
      <c r="AR160" s="35"/>
      <c r="AS160" s="45">
        <f t="shared" si="36"/>
        <v>0</v>
      </c>
      <c r="AT160" s="45"/>
      <c r="AU160" s="35">
        <v>0</v>
      </c>
      <c r="AV160" s="35"/>
      <c r="AW160" s="35">
        <v>0</v>
      </c>
      <c r="AX160" s="35"/>
      <c r="AY160" s="35">
        <f t="shared" si="37"/>
        <v>0</v>
      </c>
      <c r="AZ160" s="35"/>
      <c r="BA160" s="35" t="s">
        <v>196</v>
      </c>
      <c r="BB160" s="55"/>
      <c r="BC160" s="35" t="s">
        <v>27</v>
      </c>
      <c r="BD160" s="35"/>
      <c r="BE160" s="35"/>
      <c r="BF160" s="35"/>
      <c r="BG160" s="35"/>
      <c r="BH160" s="35"/>
      <c r="BI160" s="35"/>
      <c r="BJ160" s="35"/>
      <c r="BK160" s="35"/>
      <c r="BL160" s="35"/>
      <c r="BM160" s="35">
        <f t="shared" si="38"/>
        <v>0</v>
      </c>
      <c r="BN160" s="54" t="s">
        <v>347</v>
      </c>
    </row>
    <row r="161" spans="1:67" ht="12.75" hidden="1" customHeight="1">
      <c r="A161" s="35" t="s">
        <v>402</v>
      </c>
      <c r="C161" s="35" t="s">
        <v>153</v>
      </c>
      <c r="D161" s="35"/>
      <c r="E161" s="35">
        <f t="shared" si="34"/>
        <v>0</v>
      </c>
      <c r="F161" s="35"/>
      <c r="G161" s="35"/>
      <c r="H161" s="35"/>
      <c r="I161" s="35"/>
      <c r="J161" s="35"/>
      <c r="K161" s="35">
        <f t="shared" si="35"/>
        <v>0</v>
      </c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>
        <f t="shared" si="33"/>
        <v>0</v>
      </c>
      <c r="X161" s="35"/>
      <c r="Y161" s="35" t="s">
        <v>402</v>
      </c>
      <c r="Z161" s="55"/>
      <c r="AA161" s="35" t="s">
        <v>153</v>
      </c>
      <c r="AB161" s="35"/>
      <c r="AC161" s="35"/>
      <c r="AD161" s="35"/>
      <c r="AE161" s="35"/>
      <c r="AF161" s="35"/>
      <c r="AG161" s="35"/>
      <c r="AH161" s="35"/>
      <c r="AI161" s="45">
        <f t="shared" si="32"/>
        <v>0</v>
      </c>
      <c r="AJ161" s="45"/>
      <c r="AK161" s="35"/>
      <c r="AL161" s="35"/>
      <c r="AM161" s="35"/>
      <c r="AN161" s="35"/>
      <c r="AO161" s="35"/>
      <c r="AP161" s="35"/>
      <c r="AQ161" s="35"/>
      <c r="AR161" s="35"/>
      <c r="AS161" s="45">
        <f t="shared" si="36"/>
        <v>0</v>
      </c>
      <c r="AT161" s="45"/>
      <c r="AU161" s="35">
        <v>0</v>
      </c>
      <c r="AV161" s="35"/>
      <c r="AW161" s="35">
        <v>0</v>
      </c>
      <c r="AX161" s="35"/>
      <c r="AY161" s="35">
        <f t="shared" si="37"/>
        <v>0</v>
      </c>
      <c r="AZ161" s="35"/>
      <c r="BA161" s="35" t="s">
        <v>402</v>
      </c>
      <c r="BB161" s="55"/>
      <c r="BC161" s="35" t="s">
        <v>153</v>
      </c>
      <c r="BD161" s="35"/>
      <c r="BE161" s="35"/>
      <c r="BF161" s="35"/>
      <c r="BG161" s="35"/>
      <c r="BH161" s="35"/>
      <c r="BI161" s="35"/>
      <c r="BJ161" s="35"/>
      <c r="BK161" s="35"/>
      <c r="BL161" s="35"/>
      <c r="BM161" s="35">
        <f t="shared" si="38"/>
        <v>0</v>
      </c>
      <c r="BN161" s="54" t="s">
        <v>347</v>
      </c>
    </row>
    <row r="162" spans="1:67" ht="12.75" hidden="1" customHeight="1">
      <c r="A162" s="35" t="s">
        <v>197</v>
      </c>
      <c r="C162" s="35" t="s">
        <v>163</v>
      </c>
      <c r="D162" s="35"/>
      <c r="E162" s="35">
        <f t="shared" si="34"/>
        <v>0</v>
      </c>
      <c r="F162" s="35"/>
      <c r="G162" s="35">
        <v>0</v>
      </c>
      <c r="H162" s="35"/>
      <c r="I162" s="35">
        <v>0</v>
      </c>
      <c r="J162" s="35"/>
      <c r="K162" s="35">
        <f t="shared" si="35"/>
        <v>0</v>
      </c>
      <c r="L162" s="35"/>
      <c r="M162" s="35">
        <v>0</v>
      </c>
      <c r="N162" s="35"/>
      <c r="O162" s="35">
        <v>0</v>
      </c>
      <c r="P162" s="35"/>
      <c r="Q162" s="35">
        <v>0</v>
      </c>
      <c r="R162" s="35"/>
      <c r="S162" s="35">
        <v>0</v>
      </c>
      <c r="T162" s="35"/>
      <c r="U162" s="35">
        <v>0</v>
      </c>
      <c r="V162" s="35"/>
      <c r="W162" s="35">
        <f t="shared" si="33"/>
        <v>0</v>
      </c>
      <c r="X162" s="35"/>
      <c r="Y162" s="35" t="s">
        <v>197</v>
      </c>
      <c r="Z162" s="55"/>
      <c r="AA162" s="35" t="s">
        <v>163</v>
      </c>
      <c r="AB162" s="35"/>
      <c r="AC162" s="35">
        <v>0</v>
      </c>
      <c r="AD162" s="35"/>
      <c r="AE162" s="35">
        <v>0</v>
      </c>
      <c r="AF162" s="35"/>
      <c r="AG162" s="35">
        <v>0</v>
      </c>
      <c r="AH162" s="35"/>
      <c r="AI162" s="45">
        <f t="shared" si="32"/>
        <v>0</v>
      </c>
      <c r="AJ162" s="45"/>
      <c r="AK162" s="35">
        <v>0</v>
      </c>
      <c r="AL162" s="35"/>
      <c r="AM162" s="35">
        <v>0</v>
      </c>
      <c r="AN162" s="35"/>
      <c r="AO162" s="35">
        <v>0</v>
      </c>
      <c r="AP162" s="35"/>
      <c r="AQ162" s="35">
        <v>0</v>
      </c>
      <c r="AR162" s="35"/>
      <c r="AS162" s="45">
        <f t="shared" si="36"/>
        <v>0</v>
      </c>
      <c r="AT162" s="45"/>
      <c r="AU162" s="35">
        <v>0</v>
      </c>
      <c r="AV162" s="35"/>
      <c r="AW162" s="35">
        <v>0</v>
      </c>
      <c r="AX162" s="35"/>
      <c r="AY162" s="35">
        <f t="shared" si="37"/>
        <v>0</v>
      </c>
      <c r="AZ162" s="35"/>
      <c r="BA162" s="35" t="s">
        <v>197</v>
      </c>
      <c r="BB162" s="55"/>
      <c r="BC162" s="35" t="s">
        <v>163</v>
      </c>
      <c r="BD162" s="35"/>
      <c r="BE162" s="35">
        <v>0</v>
      </c>
      <c r="BF162" s="35"/>
      <c r="BG162" s="35">
        <v>0</v>
      </c>
      <c r="BH162" s="35"/>
      <c r="BI162" s="35">
        <v>0</v>
      </c>
      <c r="BJ162" s="35"/>
      <c r="BK162" s="35">
        <v>0</v>
      </c>
      <c r="BL162" s="35"/>
      <c r="BM162" s="35">
        <f t="shared" si="38"/>
        <v>0</v>
      </c>
      <c r="BN162" s="54" t="s">
        <v>347</v>
      </c>
    </row>
    <row r="163" spans="1:67" ht="12.75" customHeight="1">
      <c r="A163" s="35" t="s">
        <v>198</v>
      </c>
      <c r="C163" s="35" t="s">
        <v>199</v>
      </c>
      <c r="D163" s="35"/>
      <c r="E163" s="35">
        <v>17488387</v>
      </c>
      <c r="F163" s="35"/>
      <c r="G163" s="35">
        <v>26033089</v>
      </c>
      <c r="H163" s="35"/>
      <c r="I163" s="35">
        <v>43521476</v>
      </c>
      <c r="J163" s="35"/>
      <c r="K163" s="35">
        <v>5358405</v>
      </c>
      <c r="L163" s="35"/>
      <c r="M163" s="35">
        <v>3598169</v>
      </c>
      <c r="N163" s="35"/>
      <c r="O163" s="35">
        <v>8956574</v>
      </c>
      <c r="P163" s="35"/>
      <c r="Q163" s="35">
        <v>16688453</v>
      </c>
      <c r="R163" s="35"/>
      <c r="S163" s="35">
        <v>3727632</v>
      </c>
      <c r="T163" s="35"/>
      <c r="U163" s="35">
        <v>14148817</v>
      </c>
      <c r="V163" s="35"/>
      <c r="W163" s="35">
        <f t="shared" si="33"/>
        <v>34564902</v>
      </c>
      <c r="X163" s="35"/>
      <c r="Y163" s="35" t="s">
        <v>198</v>
      </c>
      <c r="Z163" s="55"/>
      <c r="AA163" s="35" t="s">
        <v>199</v>
      </c>
      <c r="AB163" s="35"/>
      <c r="AC163" s="35">
        <v>26077287</v>
      </c>
      <c r="AD163" s="35"/>
      <c r="AE163" s="35">
        <v>22743433</v>
      </c>
      <c r="AF163" s="35"/>
      <c r="AG163" s="35">
        <v>2668060</v>
      </c>
      <c r="AH163" s="35"/>
      <c r="AI163" s="45">
        <f t="shared" ref="AI163:AI192" si="39">+AC163-AE163-AG163</f>
        <v>665794</v>
      </c>
      <c r="AJ163" s="45"/>
      <c r="AK163" s="35">
        <v>114741</v>
      </c>
      <c r="AL163" s="35"/>
      <c r="AM163" s="35">
        <v>897363</v>
      </c>
      <c r="AN163" s="35"/>
      <c r="AO163" s="35">
        <v>0</v>
      </c>
      <c r="AP163" s="35"/>
      <c r="AQ163" s="35">
        <v>0</v>
      </c>
      <c r="AR163" s="35"/>
      <c r="AS163" s="45">
        <f t="shared" si="36"/>
        <v>1677898</v>
      </c>
      <c r="AT163" s="45"/>
      <c r="AU163" s="35">
        <v>0</v>
      </c>
      <c r="AV163" s="35"/>
      <c r="AW163" s="35">
        <v>0</v>
      </c>
      <c r="AX163" s="35"/>
      <c r="AY163" s="35">
        <f t="shared" si="37"/>
        <v>12129982</v>
      </c>
      <c r="AZ163" s="35"/>
      <c r="BA163" s="35" t="s">
        <v>198</v>
      </c>
      <c r="BB163" s="55"/>
      <c r="BC163" s="35" t="s">
        <v>199</v>
      </c>
      <c r="BD163" s="35"/>
      <c r="BE163" s="35">
        <v>0</v>
      </c>
      <c r="BF163" s="35"/>
      <c r="BG163" s="35">
        <v>3437004</v>
      </c>
      <c r="BH163" s="35"/>
      <c r="BI163" s="35">
        <v>0</v>
      </c>
      <c r="BJ163" s="35"/>
      <c r="BK163" s="35">
        <v>161165</v>
      </c>
      <c r="BL163" s="35"/>
      <c r="BM163" s="35">
        <f t="shared" si="38"/>
        <v>3598169</v>
      </c>
      <c r="BN163" s="54" t="s">
        <v>347</v>
      </c>
      <c r="BO163" s="55" t="s">
        <v>371</v>
      </c>
    </row>
    <row r="164" spans="1:67" ht="12.75" hidden="1" customHeight="1">
      <c r="A164" s="35" t="s">
        <v>200</v>
      </c>
      <c r="C164" s="35" t="s">
        <v>103</v>
      </c>
      <c r="D164" s="35"/>
      <c r="E164" s="35">
        <f t="shared" si="34"/>
        <v>0</v>
      </c>
      <c r="F164" s="35"/>
      <c r="G164" s="35">
        <v>0</v>
      </c>
      <c r="H164" s="35"/>
      <c r="I164" s="35">
        <v>0</v>
      </c>
      <c r="J164" s="35"/>
      <c r="K164" s="35">
        <f t="shared" si="35"/>
        <v>0</v>
      </c>
      <c r="L164" s="35"/>
      <c r="M164" s="35">
        <v>0</v>
      </c>
      <c r="N164" s="35"/>
      <c r="O164" s="35">
        <v>0</v>
      </c>
      <c r="P164" s="35"/>
      <c r="Q164" s="35">
        <v>0</v>
      </c>
      <c r="R164" s="35"/>
      <c r="S164" s="35">
        <v>0</v>
      </c>
      <c r="T164" s="35"/>
      <c r="U164" s="35">
        <v>0</v>
      </c>
      <c r="V164" s="35"/>
      <c r="W164" s="35">
        <f t="shared" si="33"/>
        <v>0</v>
      </c>
      <c r="X164" s="35"/>
      <c r="Y164" s="35" t="s">
        <v>200</v>
      </c>
      <c r="Z164" s="55"/>
      <c r="AA164" s="35" t="s">
        <v>103</v>
      </c>
      <c r="AB164" s="35"/>
      <c r="AC164" s="35">
        <v>0</v>
      </c>
      <c r="AD164" s="35"/>
      <c r="AE164" s="35">
        <v>0</v>
      </c>
      <c r="AF164" s="35"/>
      <c r="AG164" s="35">
        <v>0</v>
      </c>
      <c r="AH164" s="35"/>
      <c r="AI164" s="45">
        <f t="shared" si="39"/>
        <v>0</v>
      </c>
      <c r="AJ164" s="45"/>
      <c r="AK164" s="35">
        <v>0</v>
      </c>
      <c r="AL164" s="35"/>
      <c r="AM164" s="35">
        <v>0</v>
      </c>
      <c r="AN164" s="35"/>
      <c r="AO164" s="35">
        <v>0</v>
      </c>
      <c r="AP164" s="35"/>
      <c r="AQ164" s="35">
        <v>0</v>
      </c>
      <c r="AR164" s="35"/>
      <c r="AS164" s="45">
        <f t="shared" si="36"/>
        <v>0</v>
      </c>
      <c r="AT164" s="45"/>
      <c r="AU164" s="35">
        <v>0</v>
      </c>
      <c r="AV164" s="35"/>
      <c r="AW164" s="35">
        <v>0</v>
      </c>
      <c r="AX164" s="35"/>
      <c r="AY164" s="35">
        <f t="shared" si="37"/>
        <v>0</v>
      </c>
      <c r="AZ164" s="35"/>
      <c r="BA164" s="35" t="s">
        <v>200</v>
      </c>
      <c r="BB164" s="55"/>
      <c r="BC164" s="35" t="s">
        <v>103</v>
      </c>
      <c r="BD164" s="35"/>
      <c r="BE164" s="35">
        <v>0</v>
      </c>
      <c r="BF164" s="35"/>
      <c r="BG164" s="35">
        <v>0</v>
      </c>
      <c r="BH164" s="35"/>
      <c r="BI164" s="35">
        <v>0</v>
      </c>
      <c r="BJ164" s="35"/>
      <c r="BK164" s="35">
        <v>0</v>
      </c>
      <c r="BL164" s="35"/>
      <c r="BM164" s="35">
        <f t="shared" si="38"/>
        <v>0</v>
      </c>
      <c r="BN164" s="54" t="s">
        <v>347</v>
      </c>
    </row>
    <row r="165" spans="1:67" ht="12.75" customHeight="1">
      <c r="A165" s="35" t="s">
        <v>201</v>
      </c>
      <c r="C165" s="35" t="s">
        <v>92</v>
      </c>
      <c r="D165" s="35"/>
      <c r="E165" s="35">
        <v>21456297</v>
      </c>
      <c r="F165" s="35"/>
      <c r="G165" s="35">
        <v>20555764</v>
      </c>
      <c r="H165" s="35"/>
      <c r="I165" s="35">
        <v>42012061</v>
      </c>
      <c r="J165" s="35"/>
      <c r="K165" s="35">
        <v>1914707</v>
      </c>
      <c r="L165" s="35"/>
      <c r="M165" s="35">
        <v>2805362</v>
      </c>
      <c r="N165" s="35"/>
      <c r="O165" s="35">
        <v>4720069</v>
      </c>
      <c r="P165" s="35"/>
      <c r="Q165" s="35">
        <v>15654511</v>
      </c>
      <c r="R165" s="35"/>
      <c r="S165" s="35">
        <v>0</v>
      </c>
      <c r="T165" s="35"/>
      <c r="U165" s="35">
        <v>21637481</v>
      </c>
      <c r="V165" s="35"/>
      <c r="W165" s="35">
        <f t="shared" si="33"/>
        <v>37291992</v>
      </c>
      <c r="X165" s="35"/>
      <c r="Y165" s="35" t="s">
        <v>201</v>
      </c>
      <c r="Z165" s="55"/>
      <c r="AA165" s="35" t="s">
        <v>92</v>
      </c>
      <c r="AB165" s="35"/>
      <c r="AC165" s="35">
        <v>22464309</v>
      </c>
      <c r="AD165" s="35"/>
      <c r="AE165" s="35">
        <v>19259110</v>
      </c>
      <c r="AF165" s="35"/>
      <c r="AG165" s="35">
        <v>743299</v>
      </c>
      <c r="AH165" s="35"/>
      <c r="AI165" s="45">
        <f t="shared" si="39"/>
        <v>2461900</v>
      </c>
      <c r="AJ165" s="45"/>
      <c r="AK165" s="35">
        <v>443652</v>
      </c>
      <c r="AL165" s="35"/>
      <c r="AM165" s="35">
        <v>5000000</v>
      </c>
      <c r="AN165" s="35"/>
      <c r="AO165" s="35">
        <v>5839236</v>
      </c>
      <c r="AP165" s="35"/>
      <c r="AQ165" s="35">
        <v>0</v>
      </c>
      <c r="AR165" s="35"/>
      <c r="AS165" s="45">
        <f t="shared" si="36"/>
        <v>2066316</v>
      </c>
      <c r="AT165" s="45"/>
      <c r="AU165" s="35">
        <v>0</v>
      </c>
      <c r="AV165" s="35"/>
      <c r="AW165" s="35">
        <v>0</v>
      </c>
      <c r="AX165" s="35"/>
      <c r="AY165" s="35">
        <f t="shared" si="37"/>
        <v>19541590</v>
      </c>
      <c r="AZ165" s="35"/>
      <c r="BA165" s="35" t="s">
        <v>201</v>
      </c>
      <c r="BB165" s="55"/>
      <c r="BC165" s="35" t="s">
        <v>92</v>
      </c>
      <c r="BD165" s="35"/>
      <c r="BE165" s="35">
        <v>0</v>
      </c>
      <c r="BF165" s="35"/>
      <c r="BG165" s="35">
        <v>1954976</v>
      </c>
      <c r="BH165" s="35"/>
      <c r="BI165" s="35">
        <v>0</v>
      </c>
      <c r="BJ165" s="35"/>
      <c r="BK165" s="35">
        <v>850386</v>
      </c>
      <c r="BL165" s="35"/>
      <c r="BM165" s="35">
        <f t="shared" si="38"/>
        <v>2805362</v>
      </c>
      <c r="BN165" s="54" t="s">
        <v>347</v>
      </c>
    </row>
    <row r="166" spans="1:67" ht="12.75" hidden="1" customHeight="1">
      <c r="A166" s="35" t="s">
        <v>202</v>
      </c>
      <c r="C166" s="35" t="s">
        <v>27</v>
      </c>
      <c r="D166" s="35"/>
      <c r="E166" s="35">
        <f t="shared" si="34"/>
        <v>0</v>
      </c>
      <c r="F166" s="35"/>
      <c r="G166" s="35">
        <v>0</v>
      </c>
      <c r="H166" s="35"/>
      <c r="I166" s="35">
        <v>0</v>
      </c>
      <c r="J166" s="35"/>
      <c r="K166" s="35">
        <f t="shared" si="35"/>
        <v>0</v>
      </c>
      <c r="L166" s="35"/>
      <c r="M166" s="35">
        <v>0</v>
      </c>
      <c r="N166" s="35"/>
      <c r="O166" s="35">
        <v>0</v>
      </c>
      <c r="P166" s="35"/>
      <c r="Q166" s="35">
        <v>0</v>
      </c>
      <c r="R166" s="35"/>
      <c r="S166" s="35">
        <v>0</v>
      </c>
      <c r="T166" s="35"/>
      <c r="U166" s="35">
        <v>0</v>
      </c>
      <c r="V166" s="35"/>
      <c r="W166" s="35">
        <f t="shared" si="33"/>
        <v>0</v>
      </c>
      <c r="X166" s="35"/>
      <c r="Y166" s="35" t="s">
        <v>202</v>
      </c>
      <c r="Z166" s="55"/>
      <c r="AA166" s="35" t="s">
        <v>27</v>
      </c>
      <c r="AB166" s="35"/>
      <c r="AC166" s="35">
        <v>0</v>
      </c>
      <c r="AD166" s="35"/>
      <c r="AE166" s="35">
        <v>0</v>
      </c>
      <c r="AF166" s="35"/>
      <c r="AG166" s="35">
        <v>0</v>
      </c>
      <c r="AH166" s="35"/>
      <c r="AI166" s="45">
        <f t="shared" si="39"/>
        <v>0</v>
      </c>
      <c r="AJ166" s="45"/>
      <c r="AK166" s="35">
        <v>0</v>
      </c>
      <c r="AL166" s="35"/>
      <c r="AM166" s="35">
        <v>0</v>
      </c>
      <c r="AN166" s="35"/>
      <c r="AO166" s="35">
        <v>0</v>
      </c>
      <c r="AP166" s="35"/>
      <c r="AQ166" s="35">
        <v>0</v>
      </c>
      <c r="AR166" s="35"/>
      <c r="AS166" s="45">
        <f t="shared" si="36"/>
        <v>0</v>
      </c>
      <c r="AT166" s="45"/>
      <c r="AU166" s="35">
        <v>0</v>
      </c>
      <c r="AV166" s="35"/>
      <c r="AW166" s="35">
        <v>0</v>
      </c>
      <c r="AX166" s="35"/>
      <c r="AY166" s="35">
        <f t="shared" si="37"/>
        <v>0</v>
      </c>
      <c r="AZ166" s="35"/>
      <c r="BA166" s="35" t="s">
        <v>202</v>
      </c>
      <c r="BB166" s="55"/>
      <c r="BC166" s="35" t="s">
        <v>27</v>
      </c>
      <c r="BD166" s="35"/>
      <c r="BE166" s="35">
        <v>0</v>
      </c>
      <c r="BF166" s="35"/>
      <c r="BG166" s="35">
        <v>0</v>
      </c>
      <c r="BH166" s="35"/>
      <c r="BI166" s="35">
        <v>0</v>
      </c>
      <c r="BJ166" s="35"/>
      <c r="BK166" s="35">
        <v>0</v>
      </c>
      <c r="BL166" s="35"/>
      <c r="BM166" s="35">
        <f t="shared" si="38"/>
        <v>0</v>
      </c>
      <c r="BN166" s="54" t="s">
        <v>347</v>
      </c>
    </row>
    <row r="167" spans="1:67" ht="12.75" hidden="1" customHeight="1">
      <c r="A167" s="35" t="s">
        <v>203</v>
      </c>
      <c r="C167" s="35" t="s">
        <v>27</v>
      </c>
      <c r="D167" s="35"/>
      <c r="E167" s="35">
        <f t="shared" si="34"/>
        <v>0</v>
      </c>
      <c r="F167" s="35"/>
      <c r="G167" s="35">
        <v>0</v>
      </c>
      <c r="H167" s="35"/>
      <c r="I167" s="35">
        <v>0</v>
      </c>
      <c r="J167" s="35"/>
      <c r="K167" s="35">
        <f t="shared" si="35"/>
        <v>0</v>
      </c>
      <c r="L167" s="35"/>
      <c r="M167" s="35">
        <v>0</v>
      </c>
      <c r="N167" s="35"/>
      <c r="O167" s="35">
        <v>0</v>
      </c>
      <c r="P167" s="35"/>
      <c r="Q167" s="35">
        <v>0</v>
      </c>
      <c r="R167" s="35"/>
      <c r="S167" s="35">
        <v>0</v>
      </c>
      <c r="T167" s="35"/>
      <c r="U167" s="35">
        <v>0</v>
      </c>
      <c r="V167" s="35"/>
      <c r="W167" s="35">
        <f t="shared" si="33"/>
        <v>0</v>
      </c>
      <c r="X167" s="35"/>
      <c r="Y167" s="35" t="s">
        <v>203</v>
      </c>
      <c r="Z167" s="55"/>
      <c r="AA167" s="35" t="s">
        <v>27</v>
      </c>
      <c r="AB167" s="35"/>
      <c r="AC167" s="35">
        <v>0</v>
      </c>
      <c r="AD167" s="35"/>
      <c r="AE167" s="35">
        <v>0</v>
      </c>
      <c r="AF167" s="35"/>
      <c r="AG167" s="35">
        <v>0</v>
      </c>
      <c r="AH167" s="35"/>
      <c r="AI167" s="45">
        <f t="shared" si="39"/>
        <v>0</v>
      </c>
      <c r="AJ167" s="45"/>
      <c r="AK167" s="35">
        <v>0</v>
      </c>
      <c r="AL167" s="35"/>
      <c r="AM167" s="35">
        <v>0</v>
      </c>
      <c r="AN167" s="35"/>
      <c r="AO167" s="35">
        <v>0</v>
      </c>
      <c r="AP167" s="35"/>
      <c r="AQ167" s="35">
        <v>0</v>
      </c>
      <c r="AR167" s="35"/>
      <c r="AS167" s="45">
        <f t="shared" si="36"/>
        <v>0</v>
      </c>
      <c r="AT167" s="45"/>
      <c r="AU167" s="35">
        <v>0</v>
      </c>
      <c r="AV167" s="35"/>
      <c r="AW167" s="35">
        <v>0</v>
      </c>
      <c r="AX167" s="35"/>
      <c r="AY167" s="35">
        <f t="shared" si="37"/>
        <v>0</v>
      </c>
      <c r="AZ167" s="35"/>
      <c r="BA167" s="35" t="s">
        <v>203</v>
      </c>
      <c r="BB167" s="55"/>
      <c r="BC167" s="35" t="s">
        <v>27</v>
      </c>
      <c r="BD167" s="35"/>
      <c r="BE167" s="35">
        <v>0</v>
      </c>
      <c r="BF167" s="35"/>
      <c r="BG167" s="35">
        <v>0</v>
      </c>
      <c r="BH167" s="35"/>
      <c r="BI167" s="35">
        <v>0</v>
      </c>
      <c r="BJ167" s="35"/>
      <c r="BK167" s="35">
        <v>0</v>
      </c>
      <c r="BL167" s="35"/>
      <c r="BM167" s="35">
        <f t="shared" si="38"/>
        <v>0</v>
      </c>
      <c r="BN167" s="54" t="s">
        <v>347</v>
      </c>
    </row>
    <row r="168" spans="1:67" ht="12.75" hidden="1" customHeight="1">
      <c r="A168" s="35" t="s">
        <v>204</v>
      </c>
      <c r="C168" s="35" t="s">
        <v>125</v>
      </c>
      <c r="D168" s="35"/>
      <c r="E168" s="35">
        <f t="shared" si="34"/>
        <v>0</v>
      </c>
      <c r="F168" s="35"/>
      <c r="G168" s="35">
        <v>0</v>
      </c>
      <c r="H168" s="35"/>
      <c r="I168" s="35">
        <v>0</v>
      </c>
      <c r="J168" s="35"/>
      <c r="K168" s="35">
        <f t="shared" si="35"/>
        <v>0</v>
      </c>
      <c r="L168" s="35"/>
      <c r="M168" s="35">
        <v>0</v>
      </c>
      <c r="N168" s="35"/>
      <c r="O168" s="35">
        <v>0</v>
      </c>
      <c r="P168" s="35"/>
      <c r="Q168" s="35">
        <v>0</v>
      </c>
      <c r="R168" s="35"/>
      <c r="S168" s="35">
        <v>0</v>
      </c>
      <c r="T168" s="35"/>
      <c r="U168" s="35">
        <v>0</v>
      </c>
      <c r="V168" s="35"/>
      <c r="W168" s="35">
        <f t="shared" si="33"/>
        <v>0</v>
      </c>
      <c r="X168" s="35"/>
      <c r="Y168" s="35" t="s">
        <v>204</v>
      </c>
      <c r="Z168" s="55"/>
      <c r="AA168" s="35" t="s">
        <v>125</v>
      </c>
      <c r="AB168" s="35"/>
      <c r="AC168" s="35">
        <v>0</v>
      </c>
      <c r="AD168" s="35"/>
      <c r="AE168" s="35">
        <v>0</v>
      </c>
      <c r="AF168" s="35"/>
      <c r="AG168" s="35">
        <v>0</v>
      </c>
      <c r="AH168" s="35"/>
      <c r="AI168" s="45">
        <f t="shared" si="39"/>
        <v>0</v>
      </c>
      <c r="AJ168" s="45"/>
      <c r="AK168" s="35">
        <v>0</v>
      </c>
      <c r="AL168" s="35"/>
      <c r="AM168" s="35">
        <v>0</v>
      </c>
      <c r="AN168" s="35"/>
      <c r="AO168" s="35">
        <v>0</v>
      </c>
      <c r="AP168" s="35"/>
      <c r="AQ168" s="35">
        <v>0</v>
      </c>
      <c r="AR168" s="35"/>
      <c r="AS168" s="45">
        <f t="shared" si="36"/>
        <v>0</v>
      </c>
      <c r="AT168" s="45"/>
      <c r="AU168" s="35">
        <v>0</v>
      </c>
      <c r="AV168" s="35"/>
      <c r="AW168" s="35">
        <v>0</v>
      </c>
      <c r="AX168" s="35"/>
      <c r="AY168" s="35">
        <f t="shared" si="37"/>
        <v>0</v>
      </c>
      <c r="AZ168" s="35"/>
      <c r="BA168" s="35" t="s">
        <v>204</v>
      </c>
      <c r="BB168" s="55"/>
      <c r="BC168" s="35" t="s">
        <v>125</v>
      </c>
      <c r="BD168" s="35"/>
      <c r="BE168" s="35">
        <v>0</v>
      </c>
      <c r="BF168" s="35"/>
      <c r="BG168" s="35">
        <v>0</v>
      </c>
      <c r="BH168" s="35"/>
      <c r="BI168" s="35">
        <v>0</v>
      </c>
      <c r="BJ168" s="35"/>
      <c r="BK168" s="35">
        <v>0</v>
      </c>
      <c r="BL168" s="35"/>
      <c r="BM168" s="35">
        <f t="shared" si="38"/>
        <v>0</v>
      </c>
      <c r="BN168" s="54" t="s">
        <v>347</v>
      </c>
    </row>
    <row r="169" spans="1:67" ht="12.75" hidden="1" customHeight="1">
      <c r="A169" s="35" t="s">
        <v>205</v>
      </c>
      <c r="C169" s="35" t="s">
        <v>27</v>
      </c>
      <c r="D169" s="35"/>
      <c r="E169" s="35">
        <f t="shared" si="34"/>
        <v>0</v>
      </c>
      <c r="F169" s="35"/>
      <c r="G169" s="35">
        <v>0</v>
      </c>
      <c r="H169" s="35"/>
      <c r="I169" s="35">
        <v>0</v>
      </c>
      <c r="J169" s="35"/>
      <c r="K169" s="35">
        <f t="shared" si="35"/>
        <v>0</v>
      </c>
      <c r="L169" s="35"/>
      <c r="M169" s="35">
        <v>0</v>
      </c>
      <c r="N169" s="35"/>
      <c r="O169" s="35">
        <v>0</v>
      </c>
      <c r="P169" s="35"/>
      <c r="Q169" s="35">
        <v>0</v>
      </c>
      <c r="R169" s="35"/>
      <c r="S169" s="35">
        <v>0</v>
      </c>
      <c r="T169" s="35"/>
      <c r="U169" s="35">
        <v>0</v>
      </c>
      <c r="V169" s="35"/>
      <c r="W169" s="35">
        <f t="shared" si="33"/>
        <v>0</v>
      </c>
      <c r="X169" s="35"/>
      <c r="Y169" s="35" t="s">
        <v>205</v>
      </c>
      <c r="Z169" s="55"/>
      <c r="AA169" s="35" t="s">
        <v>27</v>
      </c>
      <c r="AB169" s="35"/>
      <c r="AC169" s="35">
        <v>0</v>
      </c>
      <c r="AD169" s="35"/>
      <c r="AE169" s="35">
        <v>0</v>
      </c>
      <c r="AF169" s="35"/>
      <c r="AG169" s="35">
        <v>0</v>
      </c>
      <c r="AH169" s="35"/>
      <c r="AI169" s="45">
        <f t="shared" si="39"/>
        <v>0</v>
      </c>
      <c r="AJ169" s="45"/>
      <c r="AK169" s="35">
        <v>0</v>
      </c>
      <c r="AL169" s="35"/>
      <c r="AM169" s="35">
        <v>0</v>
      </c>
      <c r="AN169" s="35"/>
      <c r="AO169" s="35">
        <v>0</v>
      </c>
      <c r="AP169" s="35"/>
      <c r="AQ169" s="35">
        <v>0</v>
      </c>
      <c r="AR169" s="35"/>
      <c r="AS169" s="45">
        <f t="shared" si="36"/>
        <v>0</v>
      </c>
      <c r="AT169" s="45"/>
      <c r="AU169" s="35">
        <v>0</v>
      </c>
      <c r="AV169" s="35"/>
      <c r="AW169" s="35">
        <v>0</v>
      </c>
      <c r="AX169" s="35"/>
      <c r="AY169" s="35">
        <f t="shared" si="37"/>
        <v>0</v>
      </c>
      <c r="AZ169" s="35"/>
      <c r="BA169" s="35" t="s">
        <v>205</v>
      </c>
      <c r="BB169" s="55"/>
      <c r="BC169" s="35" t="s">
        <v>27</v>
      </c>
      <c r="BD169" s="35"/>
      <c r="BE169" s="35">
        <v>0</v>
      </c>
      <c r="BF169" s="35"/>
      <c r="BG169" s="35">
        <v>0</v>
      </c>
      <c r="BH169" s="35"/>
      <c r="BI169" s="35">
        <v>0</v>
      </c>
      <c r="BJ169" s="35"/>
      <c r="BK169" s="35">
        <v>0</v>
      </c>
      <c r="BL169" s="35"/>
      <c r="BM169" s="35">
        <f t="shared" si="38"/>
        <v>0</v>
      </c>
      <c r="BN169" s="54" t="s">
        <v>347</v>
      </c>
    </row>
    <row r="170" spans="1:67" ht="12.75" hidden="1" customHeight="1">
      <c r="A170" s="35" t="s">
        <v>206</v>
      </c>
      <c r="C170" s="35" t="s">
        <v>47</v>
      </c>
      <c r="D170" s="35"/>
      <c r="E170" s="35">
        <f t="shared" si="34"/>
        <v>0</v>
      </c>
      <c r="F170" s="35"/>
      <c r="G170" s="35">
        <v>0</v>
      </c>
      <c r="H170" s="35"/>
      <c r="I170" s="35">
        <v>0</v>
      </c>
      <c r="J170" s="35"/>
      <c r="K170" s="35">
        <f t="shared" si="35"/>
        <v>0</v>
      </c>
      <c r="L170" s="35"/>
      <c r="M170" s="35">
        <v>0</v>
      </c>
      <c r="N170" s="35"/>
      <c r="O170" s="35">
        <v>0</v>
      </c>
      <c r="P170" s="35"/>
      <c r="Q170" s="35">
        <v>0</v>
      </c>
      <c r="R170" s="35"/>
      <c r="S170" s="35">
        <v>0</v>
      </c>
      <c r="T170" s="35"/>
      <c r="U170" s="35">
        <v>0</v>
      </c>
      <c r="V170" s="35"/>
      <c r="W170" s="35">
        <f t="shared" si="33"/>
        <v>0</v>
      </c>
      <c r="X170" s="35"/>
      <c r="Y170" s="35" t="s">
        <v>206</v>
      </c>
      <c r="Z170" s="55"/>
      <c r="AA170" s="35" t="s">
        <v>47</v>
      </c>
      <c r="AB170" s="35"/>
      <c r="AC170" s="35">
        <v>0</v>
      </c>
      <c r="AD170" s="35"/>
      <c r="AE170" s="35">
        <v>0</v>
      </c>
      <c r="AF170" s="35"/>
      <c r="AG170" s="35">
        <v>0</v>
      </c>
      <c r="AH170" s="35"/>
      <c r="AI170" s="45">
        <f t="shared" si="39"/>
        <v>0</v>
      </c>
      <c r="AJ170" s="45"/>
      <c r="AK170" s="35">
        <v>0</v>
      </c>
      <c r="AL170" s="35"/>
      <c r="AM170" s="35">
        <v>0</v>
      </c>
      <c r="AN170" s="35"/>
      <c r="AO170" s="35">
        <v>0</v>
      </c>
      <c r="AP170" s="35"/>
      <c r="AQ170" s="35">
        <v>0</v>
      </c>
      <c r="AR170" s="35"/>
      <c r="AS170" s="45">
        <f t="shared" si="36"/>
        <v>0</v>
      </c>
      <c r="AT170" s="45"/>
      <c r="AU170" s="35">
        <v>0</v>
      </c>
      <c r="AV170" s="35"/>
      <c r="AW170" s="35">
        <v>0</v>
      </c>
      <c r="AX170" s="35"/>
      <c r="AY170" s="35">
        <f t="shared" si="37"/>
        <v>0</v>
      </c>
      <c r="AZ170" s="35"/>
      <c r="BA170" s="35" t="s">
        <v>206</v>
      </c>
      <c r="BB170" s="55"/>
      <c r="BC170" s="35" t="s">
        <v>47</v>
      </c>
      <c r="BD170" s="35"/>
      <c r="BE170" s="35">
        <v>0</v>
      </c>
      <c r="BF170" s="35"/>
      <c r="BG170" s="35">
        <v>0</v>
      </c>
      <c r="BH170" s="35"/>
      <c r="BI170" s="35">
        <v>0</v>
      </c>
      <c r="BJ170" s="35"/>
      <c r="BK170" s="35">
        <v>0</v>
      </c>
      <c r="BL170" s="35"/>
      <c r="BM170" s="35">
        <f t="shared" si="38"/>
        <v>0</v>
      </c>
      <c r="BN170" s="54" t="s">
        <v>347</v>
      </c>
    </row>
    <row r="171" spans="1:67" ht="12.75" hidden="1" customHeight="1">
      <c r="A171" s="35" t="s">
        <v>207</v>
      </c>
      <c r="C171" s="35" t="s">
        <v>102</v>
      </c>
      <c r="D171" s="35"/>
      <c r="E171" s="35">
        <f t="shared" si="34"/>
        <v>0</v>
      </c>
      <c r="F171" s="35"/>
      <c r="G171" s="35">
        <v>0</v>
      </c>
      <c r="H171" s="35"/>
      <c r="I171" s="35">
        <v>0</v>
      </c>
      <c r="J171" s="35"/>
      <c r="K171" s="35">
        <f t="shared" si="35"/>
        <v>0</v>
      </c>
      <c r="L171" s="35"/>
      <c r="M171" s="35">
        <v>0</v>
      </c>
      <c r="N171" s="35"/>
      <c r="O171" s="35">
        <v>0</v>
      </c>
      <c r="P171" s="35"/>
      <c r="Q171" s="35">
        <v>0</v>
      </c>
      <c r="R171" s="35"/>
      <c r="S171" s="35">
        <v>0</v>
      </c>
      <c r="T171" s="35"/>
      <c r="U171" s="35">
        <v>0</v>
      </c>
      <c r="V171" s="35"/>
      <c r="W171" s="35">
        <f t="shared" ref="W171:W202" si="40">SUM(Q171:U171)</f>
        <v>0</v>
      </c>
      <c r="X171" s="35"/>
      <c r="Y171" s="35" t="s">
        <v>207</v>
      </c>
      <c r="Z171" s="55"/>
      <c r="AA171" s="35" t="s">
        <v>102</v>
      </c>
      <c r="AB171" s="35"/>
      <c r="AC171" s="35">
        <v>0</v>
      </c>
      <c r="AD171" s="35"/>
      <c r="AE171" s="35">
        <v>0</v>
      </c>
      <c r="AF171" s="35"/>
      <c r="AG171" s="35">
        <v>0</v>
      </c>
      <c r="AH171" s="35"/>
      <c r="AI171" s="45">
        <f t="shared" si="39"/>
        <v>0</v>
      </c>
      <c r="AJ171" s="45"/>
      <c r="AK171" s="35">
        <v>0</v>
      </c>
      <c r="AL171" s="35"/>
      <c r="AM171" s="35">
        <v>0</v>
      </c>
      <c r="AN171" s="35"/>
      <c r="AO171" s="35">
        <v>0</v>
      </c>
      <c r="AP171" s="35"/>
      <c r="AQ171" s="35">
        <v>0</v>
      </c>
      <c r="AR171" s="35"/>
      <c r="AS171" s="45">
        <f t="shared" si="36"/>
        <v>0</v>
      </c>
      <c r="AT171" s="45"/>
      <c r="AU171" s="35">
        <v>0</v>
      </c>
      <c r="AV171" s="35"/>
      <c r="AW171" s="35">
        <v>0</v>
      </c>
      <c r="AX171" s="35"/>
      <c r="AY171" s="35">
        <f t="shared" si="37"/>
        <v>0</v>
      </c>
      <c r="AZ171" s="35"/>
      <c r="BA171" s="35" t="s">
        <v>207</v>
      </c>
      <c r="BB171" s="55"/>
      <c r="BC171" s="35" t="s">
        <v>102</v>
      </c>
      <c r="BD171" s="35"/>
      <c r="BE171" s="35">
        <v>0</v>
      </c>
      <c r="BF171" s="35"/>
      <c r="BG171" s="35">
        <v>0</v>
      </c>
      <c r="BH171" s="35"/>
      <c r="BI171" s="35">
        <v>0</v>
      </c>
      <c r="BJ171" s="35"/>
      <c r="BK171" s="35">
        <v>0</v>
      </c>
      <c r="BL171" s="35"/>
      <c r="BM171" s="35">
        <f t="shared" si="38"/>
        <v>0</v>
      </c>
      <c r="BN171" s="54" t="s">
        <v>347</v>
      </c>
    </row>
    <row r="172" spans="1:67" ht="12.75" customHeight="1">
      <c r="A172" s="35" t="s">
        <v>208</v>
      </c>
      <c r="C172" s="35" t="s">
        <v>209</v>
      </c>
      <c r="D172" s="35"/>
      <c r="E172" s="35">
        <v>12866085</v>
      </c>
      <c r="F172" s="35"/>
      <c r="G172" s="35">
        <v>33039524</v>
      </c>
      <c r="H172" s="35"/>
      <c r="I172" s="35">
        <v>45905609</v>
      </c>
      <c r="J172" s="35"/>
      <c r="K172" s="35">
        <v>2287962</v>
      </c>
      <c r="L172" s="35"/>
      <c r="M172" s="35">
        <v>1475023</v>
      </c>
      <c r="N172" s="35"/>
      <c r="O172" s="35">
        <v>3762985</v>
      </c>
      <c r="P172" s="35"/>
      <c r="Q172" s="35">
        <v>31555409</v>
      </c>
      <c r="R172" s="35"/>
      <c r="S172" s="35">
        <v>0</v>
      </c>
      <c r="T172" s="35"/>
      <c r="U172" s="35">
        <v>10587215</v>
      </c>
      <c r="V172" s="35"/>
      <c r="W172" s="35">
        <f t="shared" si="40"/>
        <v>42142624</v>
      </c>
      <c r="X172" s="35"/>
      <c r="Y172" s="35" t="s">
        <v>208</v>
      </c>
      <c r="Z172" s="55"/>
      <c r="AA172" s="35" t="s">
        <v>209</v>
      </c>
      <c r="AB172" s="35"/>
      <c r="AC172" s="35">
        <v>20983093</v>
      </c>
      <c r="AD172" s="35"/>
      <c r="AE172" s="35">
        <v>20790884</v>
      </c>
      <c r="AF172" s="35"/>
      <c r="AG172" s="35">
        <v>1628270</v>
      </c>
      <c r="AH172" s="35"/>
      <c r="AI172" s="45">
        <f t="shared" si="39"/>
        <v>-1436061</v>
      </c>
      <c r="AJ172" s="45"/>
      <c r="AK172" s="35">
        <v>621489</v>
      </c>
      <c r="AL172" s="35"/>
      <c r="AM172" s="35">
        <v>0</v>
      </c>
      <c r="AN172" s="35"/>
      <c r="AO172" s="35">
        <v>0</v>
      </c>
      <c r="AP172" s="35"/>
      <c r="AQ172" s="35">
        <v>0</v>
      </c>
      <c r="AR172" s="35"/>
      <c r="AS172" s="45">
        <f t="shared" si="36"/>
        <v>-814572</v>
      </c>
      <c r="AT172" s="45"/>
      <c r="AU172" s="35">
        <v>0</v>
      </c>
      <c r="AV172" s="35"/>
      <c r="AW172" s="35">
        <v>0</v>
      </c>
      <c r="AX172" s="35"/>
      <c r="AY172" s="35">
        <f t="shared" si="37"/>
        <v>10578123</v>
      </c>
      <c r="AZ172" s="35"/>
      <c r="BA172" s="35" t="s">
        <v>208</v>
      </c>
      <c r="BB172" s="55"/>
      <c r="BC172" s="35" t="s">
        <v>209</v>
      </c>
      <c r="BD172" s="35"/>
      <c r="BE172" s="35">
        <v>0</v>
      </c>
      <c r="BF172" s="35"/>
      <c r="BG172" s="35">
        <v>0</v>
      </c>
      <c r="BH172" s="35"/>
      <c r="BI172" s="35">
        <v>0</v>
      </c>
      <c r="BJ172" s="35"/>
      <c r="BK172" s="35">
        <v>1475023</v>
      </c>
      <c r="BL172" s="35"/>
      <c r="BM172" s="35">
        <f t="shared" si="38"/>
        <v>1475023</v>
      </c>
      <c r="BN172" s="54" t="s">
        <v>347</v>
      </c>
    </row>
    <row r="173" spans="1:67" ht="12.75" hidden="1" customHeight="1">
      <c r="A173" s="44" t="s">
        <v>210</v>
      </c>
      <c r="C173" s="44" t="s">
        <v>211</v>
      </c>
      <c r="D173" s="44"/>
      <c r="E173" s="35">
        <f t="shared" si="34"/>
        <v>0</v>
      </c>
      <c r="F173" s="35"/>
      <c r="G173" s="35"/>
      <c r="H173" s="35"/>
      <c r="I173" s="35"/>
      <c r="J173" s="35"/>
      <c r="K173" s="35">
        <f t="shared" si="35"/>
        <v>0</v>
      </c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>
        <f t="shared" si="40"/>
        <v>0</v>
      </c>
      <c r="X173" s="35"/>
      <c r="Y173" s="44" t="s">
        <v>210</v>
      </c>
      <c r="Z173" s="55"/>
      <c r="AA173" s="44" t="s">
        <v>211</v>
      </c>
      <c r="AB173" s="44"/>
      <c r="AC173" s="35"/>
      <c r="AD173" s="35"/>
      <c r="AE173" s="35"/>
      <c r="AF173" s="35"/>
      <c r="AG173" s="35"/>
      <c r="AH173" s="35"/>
      <c r="AI173" s="45">
        <f t="shared" si="39"/>
        <v>0</v>
      </c>
      <c r="AJ173" s="45"/>
      <c r="AK173" s="35"/>
      <c r="AL173" s="35"/>
      <c r="AM173" s="35"/>
      <c r="AN173" s="35"/>
      <c r="AO173" s="35"/>
      <c r="AP173" s="35"/>
      <c r="AQ173" s="35"/>
      <c r="AR173" s="35"/>
      <c r="AS173" s="45">
        <f t="shared" si="36"/>
        <v>0</v>
      </c>
      <c r="AT173" s="45"/>
      <c r="AU173" s="35">
        <v>0</v>
      </c>
      <c r="AV173" s="35"/>
      <c r="AW173" s="35">
        <v>0</v>
      </c>
      <c r="AX173" s="35"/>
      <c r="AY173" s="35">
        <f t="shared" si="37"/>
        <v>0</v>
      </c>
      <c r="AZ173" s="35"/>
      <c r="BA173" s="44" t="s">
        <v>210</v>
      </c>
      <c r="BB173" s="55"/>
      <c r="BC173" s="44" t="s">
        <v>211</v>
      </c>
      <c r="BD173" s="44"/>
      <c r="BE173" s="35"/>
      <c r="BF173" s="35"/>
      <c r="BG173" s="35"/>
      <c r="BH173" s="35"/>
      <c r="BI173" s="35"/>
      <c r="BJ173" s="35"/>
      <c r="BK173" s="35"/>
      <c r="BL173" s="35"/>
      <c r="BM173" s="35">
        <f t="shared" si="38"/>
        <v>0</v>
      </c>
      <c r="BN173" s="54" t="s">
        <v>347</v>
      </c>
    </row>
    <row r="174" spans="1:67" ht="12.75" hidden="1" customHeight="1">
      <c r="A174" s="44" t="s">
        <v>212</v>
      </c>
      <c r="C174" s="44" t="s">
        <v>213</v>
      </c>
      <c r="D174" s="44"/>
      <c r="E174" s="35">
        <f t="shared" si="34"/>
        <v>0</v>
      </c>
      <c r="F174" s="35"/>
      <c r="G174" s="35">
        <v>0</v>
      </c>
      <c r="H174" s="35"/>
      <c r="I174" s="35">
        <v>0</v>
      </c>
      <c r="J174" s="35"/>
      <c r="K174" s="35">
        <f t="shared" si="35"/>
        <v>0</v>
      </c>
      <c r="L174" s="35"/>
      <c r="M174" s="35">
        <v>0</v>
      </c>
      <c r="N174" s="35"/>
      <c r="O174" s="35">
        <v>0</v>
      </c>
      <c r="P174" s="35"/>
      <c r="Q174" s="35">
        <v>0</v>
      </c>
      <c r="R174" s="35"/>
      <c r="S174" s="35">
        <v>0</v>
      </c>
      <c r="T174" s="35"/>
      <c r="U174" s="35">
        <v>0</v>
      </c>
      <c r="V174" s="35"/>
      <c r="W174" s="35">
        <f t="shared" si="40"/>
        <v>0</v>
      </c>
      <c r="X174" s="35"/>
      <c r="Y174" s="44" t="s">
        <v>212</v>
      </c>
      <c r="Z174" s="55"/>
      <c r="AA174" s="44" t="s">
        <v>213</v>
      </c>
      <c r="AB174" s="44"/>
      <c r="AC174" s="35">
        <v>0</v>
      </c>
      <c r="AD174" s="35"/>
      <c r="AE174" s="35">
        <v>0</v>
      </c>
      <c r="AF174" s="35"/>
      <c r="AG174" s="35">
        <v>0</v>
      </c>
      <c r="AH174" s="35"/>
      <c r="AI174" s="45">
        <f t="shared" si="39"/>
        <v>0</v>
      </c>
      <c r="AJ174" s="45"/>
      <c r="AK174" s="35">
        <v>0</v>
      </c>
      <c r="AL174" s="35"/>
      <c r="AM174" s="35">
        <v>0</v>
      </c>
      <c r="AN174" s="35"/>
      <c r="AO174" s="35">
        <v>0</v>
      </c>
      <c r="AP174" s="35"/>
      <c r="AQ174" s="35">
        <v>0</v>
      </c>
      <c r="AR174" s="35"/>
      <c r="AS174" s="45">
        <f t="shared" ref="AS174:AS205" si="41">+AI174+AK174+AM174-AO174+AQ174</f>
        <v>0</v>
      </c>
      <c r="AT174" s="45"/>
      <c r="AU174" s="35">
        <v>0</v>
      </c>
      <c r="AV174" s="35"/>
      <c r="AW174" s="35">
        <v>0</v>
      </c>
      <c r="AX174" s="35"/>
      <c r="AY174" s="35">
        <f t="shared" ref="AY174:AY205" si="42">+E174-K174</f>
        <v>0</v>
      </c>
      <c r="AZ174" s="35"/>
      <c r="BA174" s="44" t="s">
        <v>212</v>
      </c>
      <c r="BB174" s="55"/>
      <c r="BC174" s="44" t="s">
        <v>213</v>
      </c>
      <c r="BD174" s="44"/>
      <c r="BE174" s="35">
        <v>0</v>
      </c>
      <c r="BF174" s="35"/>
      <c r="BG174" s="35">
        <v>0</v>
      </c>
      <c r="BH174" s="35"/>
      <c r="BI174" s="35">
        <v>0</v>
      </c>
      <c r="BJ174" s="35"/>
      <c r="BK174" s="35">
        <v>0</v>
      </c>
      <c r="BL174" s="35"/>
      <c r="BM174" s="35">
        <f t="shared" si="38"/>
        <v>0</v>
      </c>
      <c r="BN174" s="54" t="s">
        <v>347</v>
      </c>
    </row>
    <row r="175" spans="1:67" ht="12.75" hidden="1" customHeight="1">
      <c r="A175" s="44" t="s">
        <v>214</v>
      </c>
      <c r="C175" s="44" t="s">
        <v>86</v>
      </c>
      <c r="D175" s="44"/>
      <c r="E175" s="35">
        <f t="shared" si="34"/>
        <v>0</v>
      </c>
      <c r="F175" s="35"/>
      <c r="G175" s="35">
        <v>0</v>
      </c>
      <c r="H175" s="35"/>
      <c r="I175" s="35">
        <v>0</v>
      </c>
      <c r="J175" s="35"/>
      <c r="K175" s="35">
        <f t="shared" si="35"/>
        <v>0</v>
      </c>
      <c r="L175" s="35"/>
      <c r="M175" s="35">
        <v>0</v>
      </c>
      <c r="N175" s="35"/>
      <c r="O175" s="35">
        <v>0</v>
      </c>
      <c r="P175" s="35"/>
      <c r="Q175" s="35">
        <v>0</v>
      </c>
      <c r="R175" s="35"/>
      <c r="S175" s="35">
        <v>0</v>
      </c>
      <c r="T175" s="35"/>
      <c r="U175" s="35">
        <v>0</v>
      </c>
      <c r="V175" s="35"/>
      <c r="W175" s="35">
        <f t="shared" si="40"/>
        <v>0</v>
      </c>
      <c r="X175" s="35"/>
      <c r="Y175" s="44" t="s">
        <v>214</v>
      </c>
      <c r="Z175" s="55"/>
      <c r="AA175" s="44" t="s">
        <v>86</v>
      </c>
      <c r="AB175" s="44"/>
      <c r="AC175" s="35">
        <v>0</v>
      </c>
      <c r="AD175" s="35"/>
      <c r="AE175" s="35">
        <v>0</v>
      </c>
      <c r="AF175" s="35"/>
      <c r="AG175" s="35">
        <v>0</v>
      </c>
      <c r="AH175" s="35"/>
      <c r="AI175" s="45">
        <f t="shared" si="39"/>
        <v>0</v>
      </c>
      <c r="AJ175" s="45"/>
      <c r="AK175" s="35">
        <v>0</v>
      </c>
      <c r="AL175" s="35"/>
      <c r="AM175" s="35">
        <v>0</v>
      </c>
      <c r="AN175" s="35"/>
      <c r="AO175" s="35">
        <v>0</v>
      </c>
      <c r="AP175" s="35"/>
      <c r="AQ175" s="35">
        <v>0</v>
      </c>
      <c r="AR175" s="35"/>
      <c r="AS175" s="45">
        <f t="shared" si="41"/>
        <v>0</v>
      </c>
      <c r="AT175" s="45"/>
      <c r="AU175" s="35">
        <v>0</v>
      </c>
      <c r="AV175" s="35"/>
      <c r="AW175" s="35">
        <v>0</v>
      </c>
      <c r="AX175" s="35"/>
      <c r="AY175" s="35">
        <f t="shared" si="42"/>
        <v>0</v>
      </c>
      <c r="AZ175" s="35"/>
      <c r="BA175" s="44" t="s">
        <v>214</v>
      </c>
      <c r="BB175" s="55"/>
      <c r="BC175" s="44" t="s">
        <v>86</v>
      </c>
      <c r="BD175" s="44"/>
      <c r="BE175" s="35">
        <v>0</v>
      </c>
      <c r="BF175" s="35"/>
      <c r="BG175" s="35">
        <v>0</v>
      </c>
      <c r="BH175" s="35"/>
      <c r="BI175" s="35">
        <v>0</v>
      </c>
      <c r="BJ175" s="35"/>
      <c r="BK175" s="35">
        <v>0</v>
      </c>
      <c r="BL175" s="35"/>
      <c r="BM175" s="35">
        <f t="shared" si="38"/>
        <v>0</v>
      </c>
      <c r="BN175" s="54" t="s">
        <v>347</v>
      </c>
    </row>
    <row r="176" spans="1:67" ht="12.75" hidden="1" customHeight="1">
      <c r="A176" s="35" t="s">
        <v>215</v>
      </c>
      <c r="C176" s="35" t="s">
        <v>22</v>
      </c>
      <c r="D176" s="35"/>
      <c r="E176" s="35">
        <f t="shared" si="34"/>
        <v>0</v>
      </c>
      <c r="F176" s="35"/>
      <c r="G176" s="35">
        <v>0</v>
      </c>
      <c r="H176" s="35"/>
      <c r="I176" s="35">
        <v>0</v>
      </c>
      <c r="J176" s="35"/>
      <c r="K176" s="35">
        <f t="shared" si="35"/>
        <v>0</v>
      </c>
      <c r="L176" s="35"/>
      <c r="M176" s="35">
        <v>0</v>
      </c>
      <c r="N176" s="35"/>
      <c r="O176" s="35">
        <v>0</v>
      </c>
      <c r="P176" s="35"/>
      <c r="Q176" s="35">
        <v>0</v>
      </c>
      <c r="R176" s="35"/>
      <c r="S176" s="35">
        <v>0</v>
      </c>
      <c r="T176" s="35"/>
      <c r="U176" s="35">
        <v>0</v>
      </c>
      <c r="V176" s="35"/>
      <c r="W176" s="35">
        <f t="shared" si="40"/>
        <v>0</v>
      </c>
      <c r="X176" s="35"/>
      <c r="Y176" s="35" t="s">
        <v>215</v>
      </c>
      <c r="Z176" s="55"/>
      <c r="AA176" s="35" t="s">
        <v>22</v>
      </c>
      <c r="AB176" s="35"/>
      <c r="AC176" s="35">
        <v>0</v>
      </c>
      <c r="AD176" s="35"/>
      <c r="AE176" s="35">
        <v>0</v>
      </c>
      <c r="AF176" s="35"/>
      <c r="AG176" s="35">
        <v>0</v>
      </c>
      <c r="AH176" s="35"/>
      <c r="AI176" s="45">
        <f t="shared" si="39"/>
        <v>0</v>
      </c>
      <c r="AJ176" s="45"/>
      <c r="AK176" s="35">
        <v>0</v>
      </c>
      <c r="AL176" s="35"/>
      <c r="AM176" s="35">
        <v>0</v>
      </c>
      <c r="AN176" s="35"/>
      <c r="AO176" s="35">
        <v>0</v>
      </c>
      <c r="AP176" s="35"/>
      <c r="AQ176" s="35">
        <v>0</v>
      </c>
      <c r="AR176" s="35"/>
      <c r="AS176" s="45">
        <f t="shared" si="41"/>
        <v>0</v>
      </c>
      <c r="AT176" s="45"/>
      <c r="AU176" s="35">
        <v>0</v>
      </c>
      <c r="AV176" s="35"/>
      <c r="AW176" s="35">
        <v>0</v>
      </c>
      <c r="AX176" s="35"/>
      <c r="AY176" s="35">
        <f t="shared" si="42"/>
        <v>0</v>
      </c>
      <c r="AZ176" s="35"/>
      <c r="BA176" s="35" t="s">
        <v>215</v>
      </c>
      <c r="BB176" s="55"/>
      <c r="BC176" s="35" t="s">
        <v>22</v>
      </c>
      <c r="BD176" s="35"/>
      <c r="BE176" s="35">
        <v>0</v>
      </c>
      <c r="BF176" s="35"/>
      <c r="BG176" s="35">
        <v>0</v>
      </c>
      <c r="BH176" s="35"/>
      <c r="BI176" s="35">
        <v>0</v>
      </c>
      <c r="BJ176" s="35"/>
      <c r="BK176" s="35">
        <v>0</v>
      </c>
      <c r="BL176" s="35"/>
      <c r="BM176" s="35">
        <f t="shared" si="38"/>
        <v>0</v>
      </c>
      <c r="BN176" s="54" t="s">
        <v>347</v>
      </c>
    </row>
    <row r="177" spans="1:68" ht="12.75" hidden="1" customHeight="1">
      <c r="A177" s="35" t="s">
        <v>216</v>
      </c>
      <c r="C177" s="35" t="s">
        <v>45</v>
      </c>
      <c r="D177" s="35"/>
      <c r="E177" s="35">
        <f t="shared" si="34"/>
        <v>0</v>
      </c>
      <c r="F177" s="35"/>
      <c r="G177" s="35"/>
      <c r="H177" s="35"/>
      <c r="I177" s="35"/>
      <c r="J177" s="35"/>
      <c r="K177" s="35">
        <f t="shared" si="35"/>
        <v>0</v>
      </c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>
        <f t="shared" si="40"/>
        <v>0</v>
      </c>
      <c r="X177" s="35"/>
      <c r="Y177" s="35" t="s">
        <v>216</v>
      </c>
      <c r="Z177" s="55"/>
      <c r="AA177" s="35" t="s">
        <v>45</v>
      </c>
      <c r="AB177" s="35"/>
      <c r="AC177" s="35"/>
      <c r="AD177" s="35"/>
      <c r="AE177" s="35"/>
      <c r="AF177" s="35"/>
      <c r="AG177" s="35"/>
      <c r="AH177" s="35"/>
      <c r="AI177" s="45">
        <f t="shared" si="39"/>
        <v>0</v>
      </c>
      <c r="AJ177" s="45"/>
      <c r="AK177" s="35"/>
      <c r="AL177" s="35"/>
      <c r="AM177" s="35"/>
      <c r="AN177" s="35"/>
      <c r="AO177" s="35"/>
      <c r="AP177" s="35"/>
      <c r="AQ177" s="35"/>
      <c r="AR177" s="35"/>
      <c r="AS177" s="45">
        <f t="shared" si="41"/>
        <v>0</v>
      </c>
      <c r="AT177" s="45"/>
      <c r="AU177" s="35">
        <v>0</v>
      </c>
      <c r="AV177" s="35"/>
      <c r="AW177" s="35">
        <v>0</v>
      </c>
      <c r="AX177" s="35"/>
      <c r="AY177" s="35">
        <f t="shared" si="42"/>
        <v>0</v>
      </c>
      <c r="AZ177" s="35"/>
      <c r="BA177" s="35" t="s">
        <v>216</v>
      </c>
      <c r="BB177" s="55"/>
      <c r="BC177" s="35" t="s">
        <v>45</v>
      </c>
      <c r="BD177" s="35"/>
      <c r="BE177" s="35"/>
      <c r="BF177" s="35"/>
      <c r="BG177" s="35"/>
      <c r="BH177" s="35"/>
      <c r="BI177" s="35"/>
      <c r="BJ177" s="35"/>
      <c r="BK177" s="35"/>
      <c r="BL177" s="35"/>
      <c r="BM177" s="35">
        <f t="shared" si="38"/>
        <v>0</v>
      </c>
      <c r="BN177" s="54" t="s">
        <v>347</v>
      </c>
    </row>
    <row r="178" spans="1:68" ht="12.75" hidden="1" customHeight="1">
      <c r="A178" s="35" t="s">
        <v>217</v>
      </c>
      <c r="C178" s="35" t="s">
        <v>43</v>
      </c>
      <c r="D178" s="35"/>
      <c r="E178" s="35">
        <f t="shared" si="34"/>
        <v>0</v>
      </c>
      <c r="F178" s="35"/>
      <c r="G178" s="35">
        <v>0</v>
      </c>
      <c r="H178" s="35"/>
      <c r="I178" s="35">
        <v>0</v>
      </c>
      <c r="J178" s="35"/>
      <c r="K178" s="35">
        <f t="shared" si="35"/>
        <v>0</v>
      </c>
      <c r="L178" s="35"/>
      <c r="M178" s="35">
        <v>0</v>
      </c>
      <c r="N178" s="35"/>
      <c r="O178" s="35">
        <v>0</v>
      </c>
      <c r="P178" s="35"/>
      <c r="Q178" s="35">
        <v>0</v>
      </c>
      <c r="R178" s="35"/>
      <c r="S178" s="35">
        <v>0</v>
      </c>
      <c r="T178" s="35"/>
      <c r="U178" s="35">
        <v>0</v>
      </c>
      <c r="V178" s="35"/>
      <c r="W178" s="35">
        <f t="shared" si="40"/>
        <v>0</v>
      </c>
      <c r="X178" s="35"/>
      <c r="Y178" s="35" t="s">
        <v>217</v>
      </c>
      <c r="Z178" s="55"/>
      <c r="AA178" s="35" t="s">
        <v>43</v>
      </c>
      <c r="AB178" s="35"/>
      <c r="AC178" s="35">
        <v>0</v>
      </c>
      <c r="AD178" s="35"/>
      <c r="AE178" s="35">
        <v>0</v>
      </c>
      <c r="AF178" s="35"/>
      <c r="AG178" s="35">
        <v>0</v>
      </c>
      <c r="AH178" s="35"/>
      <c r="AI178" s="45">
        <f t="shared" si="39"/>
        <v>0</v>
      </c>
      <c r="AJ178" s="45"/>
      <c r="AK178" s="35">
        <v>0</v>
      </c>
      <c r="AL178" s="35"/>
      <c r="AM178" s="35">
        <v>0</v>
      </c>
      <c r="AN178" s="35"/>
      <c r="AO178" s="35">
        <v>0</v>
      </c>
      <c r="AP178" s="35"/>
      <c r="AQ178" s="35">
        <v>0</v>
      </c>
      <c r="AR178" s="35"/>
      <c r="AS178" s="45">
        <f t="shared" si="41"/>
        <v>0</v>
      </c>
      <c r="AT178" s="45"/>
      <c r="AU178" s="35">
        <v>0</v>
      </c>
      <c r="AV178" s="35"/>
      <c r="AW178" s="35">
        <v>0</v>
      </c>
      <c r="AX178" s="35"/>
      <c r="AY178" s="35">
        <f t="shared" si="42"/>
        <v>0</v>
      </c>
      <c r="AZ178" s="35"/>
      <c r="BA178" s="35" t="s">
        <v>217</v>
      </c>
      <c r="BB178" s="55"/>
      <c r="BC178" s="35" t="s">
        <v>43</v>
      </c>
      <c r="BD178" s="35"/>
      <c r="BE178" s="35">
        <v>0</v>
      </c>
      <c r="BF178" s="35"/>
      <c r="BG178" s="35">
        <v>0</v>
      </c>
      <c r="BH178" s="35"/>
      <c r="BI178" s="35">
        <v>0</v>
      </c>
      <c r="BJ178" s="35"/>
      <c r="BK178" s="35">
        <v>0</v>
      </c>
      <c r="BL178" s="35"/>
      <c r="BM178" s="35">
        <f t="shared" si="38"/>
        <v>0</v>
      </c>
      <c r="BN178" s="54" t="s">
        <v>347</v>
      </c>
    </row>
    <row r="179" spans="1:68" ht="12.75" hidden="1" customHeight="1">
      <c r="A179" s="35" t="s">
        <v>218</v>
      </c>
      <c r="C179" s="35" t="s">
        <v>27</v>
      </c>
      <c r="D179" s="35"/>
      <c r="E179" s="35">
        <f t="shared" si="34"/>
        <v>0</v>
      </c>
      <c r="F179" s="35"/>
      <c r="G179" s="35">
        <v>0</v>
      </c>
      <c r="H179" s="35"/>
      <c r="I179" s="35">
        <v>0</v>
      </c>
      <c r="J179" s="35"/>
      <c r="K179" s="35">
        <f t="shared" si="35"/>
        <v>0</v>
      </c>
      <c r="L179" s="35"/>
      <c r="M179" s="35">
        <v>0</v>
      </c>
      <c r="N179" s="35"/>
      <c r="O179" s="35">
        <v>0</v>
      </c>
      <c r="P179" s="35"/>
      <c r="Q179" s="35">
        <v>0</v>
      </c>
      <c r="R179" s="35"/>
      <c r="S179" s="35">
        <v>0</v>
      </c>
      <c r="T179" s="35"/>
      <c r="U179" s="35">
        <v>0</v>
      </c>
      <c r="V179" s="35"/>
      <c r="W179" s="35">
        <f t="shared" si="40"/>
        <v>0</v>
      </c>
      <c r="X179" s="35"/>
      <c r="Y179" s="35" t="s">
        <v>218</v>
      </c>
      <c r="Z179" s="55"/>
      <c r="AA179" s="35" t="s">
        <v>27</v>
      </c>
      <c r="AB179" s="35"/>
      <c r="AC179" s="35">
        <v>0</v>
      </c>
      <c r="AD179" s="35"/>
      <c r="AE179" s="35">
        <v>0</v>
      </c>
      <c r="AF179" s="35"/>
      <c r="AG179" s="35">
        <v>0</v>
      </c>
      <c r="AH179" s="35"/>
      <c r="AI179" s="45">
        <f t="shared" si="39"/>
        <v>0</v>
      </c>
      <c r="AJ179" s="45"/>
      <c r="AK179" s="35">
        <v>0</v>
      </c>
      <c r="AL179" s="35"/>
      <c r="AM179" s="35">
        <v>0</v>
      </c>
      <c r="AN179" s="35"/>
      <c r="AO179" s="35">
        <v>0</v>
      </c>
      <c r="AP179" s="35"/>
      <c r="AQ179" s="35">
        <v>0</v>
      </c>
      <c r="AR179" s="35"/>
      <c r="AS179" s="45">
        <f t="shared" si="41"/>
        <v>0</v>
      </c>
      <c r="AT179" s="45"/>
      <c r="AU179" s="35">
        <v>0</v>
      </c>
      <c r="AV179" s="35"/>
      <c r="AW179" s="35">
        <v>0</v>
      </c>
      <c r="AX179" s="35"/>
      <c r="AY179" s="35">
        <f t="shared" si="42"/>
        <v>0</v>
      </c>
      <c r="AZ179" s="35"/>
      <c r="BA179" s="35" t="s">
        <v>218</v>
      </c>
      <c r="BB179" s="55"/>
      <c r="BC179" s="35" t="s">
        <v>27</v>
      </c>
      <c r="BD179" s="35"/>
      <c r="BE179" s="35">
        <v>0</v>
      </c>
      <c r="BF179" s="35"/>
      <c r="BG179" s="35">
        <v>0</v>
      </c>
      <c r="BH179" s="35"/>
      <c r="BI179" s="35">
        <v>0</v>
      </c>
      <c r="BJ179" s="35"/>
      <c r="BK179" s="35">
        <v>0</v>
      </c>
      <c r="BL179" s="35"/>
      <c r="BM179" s="35">
        <f t="shared" si="38"/>
        <v>0</v>
      </c>
      <c r="BN179" s="54" t="s">
        <v>347</v>
      </c>
      <c r="BO179" s="35"/>
      <c r="BP179" s="35"/>
    </row>
    <row r="180" spans="1:68" ht="12.75" hidden="1" customHeight="1">
      <c r="A180" s="35" t="s">
        <v>219</v>
      </c>
      <c r="C180" s="35" t="s">
        <v>199</v>
      </c>
      <c r="D180" s="35"/>
      <c r="E180" s="35">
        <f t="shared" si="34"/>
        <v>0</v>
      </c>
      <c r="F180" s="35"/>
      <c r="G180" s="35"/>
      <c r="H180" s="35"/>
      <c r="I180" s="35"/>
      <c r="J180" s="35"/>
      <c r="K180" s="35">
        <f t="shared" si="35"/>
        <v>0</v>
      </c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>
        <f t="shared" si="40"/>
        <v>0</v>
      </c>
      <c r="X180" s="35"/>
      <c r="Y180" s="35" t="s">
        <v>219</v>
      </c>
      <c r="Z180" s="55"/>
      <c r="AA180" s="35" t="s">
        <v>199</v>
      </c>
      <c r="AB180" s="35"/>
      <c r="AC180" s="35"/>
      <c r="AD180" s="35"/>
      <c r="AE180" s="35"/>
      <c r="AF180" s="35"/>
      <c r="AG180" s="35"/>
      <c r="AH180" s="35"/>
      <c r="AI180" s="45">
        <f t="shared" si="39"/>
        <v>0</v>
      </c>
      <c r="AJ180" s="45"/>
      <c r="AK180" s="35"/>
      <c r="AL180" s="35"/>
      <c r="AM180" s="35"/>
      <c r="AN180" s="35"/>
      <c r="AO180" s="35"/>
      <c r="AP180" s="35"/>
      <c r="AQ180" s="35"/>
      <c r="AR180" s="35"/>
      <c r="AS180" s="45">
        <f t="shared" si="41"/>
        <v>0</v>
      </c>
      <c r="AT180" s="45"/>
      <c r="AU180" s="35">
        <v>0</v>
      </c>
      <c r="AV180" s="35"/>
      <c r="AW180" s="35">
        <v>0</v>
      </c>
      <c r="AX180" s="35"/>
      <c r="AY180" s="35">
        <f t="shared" si="42"/>
        <v>0</v>
      </c>
      <c r="AZ180" s="35"/>
      <c r="BA180" s="35" t="s">
        <v>219</v>
      </c>
      <c r="BB180" s="55"/>
      <c r="BC180" s="35" t="s">
        <v>199</v>
      </c>
      <c r="BD180" s="35"/>
      <c r="BE180" s="35"/>
      <c r="BF180" s="35"/>
      <c r="BG180" s="35"/>
      <c r="BH180" s="35"/>
      <c r="BI180" s="35"/>
      <c r="BJ180" s="35"/>
      <c r="BK180" s="35"/>
      <c r="BL180" s="35"/>
      <c r="BM180" s="35">
        <f t="shared" si="38"/>
        <v>0</v>
      </c>
      <c r="BN180" s="54" t="s">
        <v>347</v>
      </c>
    </row>
    <row r="181" spans="1:68" ht="12.75" hidden="1" customHeight="1">
      <c r="A181" s="35" t="s">
        <v>220</v>
      </c>
      <c r="C181" s="35" t="s">
        <v>66</v>
      </c>
      <c r="D181" s="35"/>
      <c r="E181" s="35">
        <f t="shared" si="34"/>
        <v>0</v>
      </c>
      <c r="F181" s="35"/>
      <c r="G181" s="35">
        <v>0</v>
      </c>
      <c r="H181" s="35"/>
      <c r="I181" s="35">
        <v>0</v>
      </c>
      <c r="J181" s="35"/>
      <c r="K181" s="35">
        <f t="shared" si="35"/>
        <v>0</v>
      </c>
      <c r="L181" s="35"/>
      <c r="M181" s="35">
        <v>0</v>
      </c>
      <c r="N181" s="35"/>
      <c r="O181" s="35">
        <v>0</v>
      </c>
      <c r="P181" s="35"/>
      <c r="Q181" s="35">
        <v>0</v>
      </c>
      <c r="R181" s="35"/>
      <c r="S181" s="35">
        <v>0</v>
      </c>
      <c r="T181" s="35"/>
      <c r="U181" s="35">
        <v>0</v>
      </c>
      <c r="V181" s="35"/>
      <c r="W181" s="35">
        <f t="shared" si="40"/>
        <v>0</v>
      </c>
      <c r="X181" s="35"/>
      <c r="Y181" s="35" t="s">
        <v>220</v>
      </c>
      <c r="Z181" s="55"/>
      <c r="AA181" s="35" t="s">
        <v>66</v>
      </c>
      <c r="AB181" s="35"/>
      <c r="AC181" s="35">
        <v>0</v>
      </c>
      <c r="AD181" s="35"/>
      <c r="AE181" s="35">
        <v>0</v>
      </c>
      <c r="AF181" s="35"/>
      <c r="AG181" s="35">
        <v>0</v>
      </c>
      <c r="AH181" s="35"/>
      <c r="AI181" s="45">
        <f t="shared" si="39"/>
        <v>0</v>
      </c>
      <c r="AJ181" s="45"/>
      <c r="AK181" s="35">
        <v>0</v>
      </c>
      <c r="AL181" s="35"/>
      <c r="AM181" s="35">
        <v>0</v>
      </c>
      <c r="AN181" s="35"/>
      <c r="AO181" s="35">
        <v>0</v>
      </c>
      <c r="AP181" s="35"/>
      <c r="AQ181" s="35">
        <v>0</v>
      </c>
      <c r="AR181" s="35"/>
      <c r="AS181" s="45">
        <f t="shared" si="41"/>
        <v>0</v>
      </c>
      <c r="AT181" s="45"/>
      <c r="AU181" s="35">
        <v>0</v>
      </c>
      <c r="AV181" s="35"/>
      <c r="AW181" s="35">
        <v>0</v>
      </c>
      <c r="AX181" s="35"/>
      <c r="AY181" s="35">
        <f t="shared" si="42"/>
        <v>0</v>
      </c>
      <c r="AZ181" s="35"/>
      <c r="BA181" s="35" t="s">
        <v>220</v>
      </c>
      <c r="BB181" s="55"/>
      <c r="BC181" s="35" t="s">
        <v>66</v>
      </c>
      <c r="BD181" s="35"/>
      <c r="BE181" s="35">
        <v>0</v>
      </c>
      <c r="BF181" s="35"/>
      <c r="BG181" s="35">
        <v>0</v>
      </c>
      <c r="BH181" s="35"/>
      <c r="BI181" s="35">
        <v>0</v>
      </c>
      <c r="BJ181" s="35"/>
      <c r="BK181" s="35">
        <v>0</v>
      </c>
      <c r="BL181" s="35"/>
      <c r="BM181" s="35">
        <f t="shared" si="38"/>
        <v>0</v>
      </c>
      <c r="BN181" s="89" t="s">
        <v>347</v>
      </c>
    </row>
    <row r="182" spans="1:68" ht="12.75" hidden="1" customHeight="1">
      <c r="A182" s="35" t="s">
        <v>221</v>
      </c>
      <c r="C182" s="35" t="s">
        <v>27</v>
      </c>
      <c r="D182" s="35"/>
      <c r="E182" s="35">
        <f t="shared" si="34"/>
        <v>0</v>
      </c>
      <c r="F182" s="35"/>
      <c r="G182" s="35">
        <v>0</v>
      </c>
      <c r="H182" s="35"/>
      <c r="I182" s="35">
        <v>0</v>
      </c>
      <c r="J182" s="35"/>
      <c r="K182" s="35">
        <f t="shared" si="35"/>
        <v>0</v>
      </c>
      <c r="L182" s="35"/>
      <c r="M182" s="35">
        <v>0</v>
      </c>
      <c r="N182" s="35"/>
      <c r="O182" s="35">
        <v>0</v>
      </c>
      <c r="P182" s="35"/>
      <c r="Q182" s="35">
        <v>0</v>
      </c>
      <c r="R182" s="35"/>
      <c r="S182" s="35">
        <v>0</v>
      </c>
      <c r="T182" s="35"/>
      <c r="U182" s="35">
        <v>0</v>
      </c>
      <c r="V182" s="35"/>
      <c r="W182" s="35">
        <f t="shared" si="40"/>
        <v>0</v>
      </c>
      <c r="X182" s="35"/>
      <c r="Y182" s="35" t="s">
        <v>221</v>
      </c>
      <c r="Z182" s="55"/>
      <c r="AA182" s="35" t="s">
        <v>27</v>
      </c>
      <c r="AB182" s="35"/>
      <c r="AC182" s="35">
        <v>0</v>
      </c>
      <c r="AD182" s="35"/>
      <c r="AE182" s="35">
        <v>0</v>
      </c>
      <c r="AF182" s="35"/>
      <c r="AG182" s="35">
        <v>0</v>
      </c>
      <c r="AH182" s="35"/>
      <c r="AI182" s="45">
        <f t="shared" si="39"/>
        <v>0</v>
      </c>
      <c r="AJ182" s="45"/>
      <c r="AK182" s="35">
        <v>0</v>
      </c>
      <c r="AL182" s="35"/>
      <c r="AM182" s="35">
        <v>0</v>
      </c>
      <c r="AN182" s="35"/>
      <c r="AO182" s="35">
        <v>0</v>
      </c>
      <c r="AP182" s="35"/>
      <c r="AQ182" s="35">
        <v>0</v>
      </c>
      <c r="AR182" s="35"/>
      <c r="AS182" s="45">
        <f t="shared" si="41"/>
        <v>0</v>
      </c>
      <c r="AT182" s="45"/>
      <c r="AU182" s="35">
        <v>0</v>
      </c>
      <c r="AV182" s="35"/>
      <c r="AW182" s="35">
        <v>0</v>
      </c>
      <c r="AX182" s="35"/>
      <c r="AY182" s="35">
        <f t="shared" si="42"/>
        <v>0</v>
      </c>
      <c r="AZ182" s="35"/>
      <c r="BA182" s="35" t="s">
        <v>221</v>
      </c>
      <c r="BB182" s="55"/>
      <c r="BC182" s="35" t="s">
        <v>27</v>
      </c>
      <c r="BD182" s="35"/>
      <c r="BE182" s="35">
        <v>0</v>
      </c>
      <c r="BF182" s="35"/>
      <c r="BG182" s="35">
        <v>0</v>
      </c>
      <c r="BH182" s="35"/>
      <c r="BI182" s="35">
        <v>0</v>
      </c>
      <c r="BJ182" s="35"/>
      <c r="BK182" s="35">
        <v>0</v>
      </c>
      <c r="BL182" s="35"/>
      <c r="BM182" s="35">
        <f t="shared" si="38"/>
        <v>0</v>
      </c>
      <c r="BN182" s="89" t="s">
        <v>347</v>
      </c>
    </row>
    <row r="183" spans="1:68" ht="12.75" hidden="1" customHeight="1">
      <c r="A183" s="35" t="s">
        <v>222</v>
      </c>
      <c r="C183" s="35" t="s">
        <v>47</v>
      </c>
      <c r="D183" s="35"/>
      <c r="E183" s="35">
        <f t="shared" si="34"/>
        <v>0</v>
      </c>
      <c r="F183" s="35"/>
      <c r="G183" s="35">
        <v>0</v>
      </c>
      <c r="H183" s="35"/>
      <c r="I183" s="35">
        <v>0</v>
      </c>
      <c r="J183" s="35"/>
      <c r="K183" s="35">
        <f t="shared" si="35"/>
        <v>0</v>
      </c>
      <c r="L183" s="35"/>
      <c r="M183" s="35">
        <v>0</v>
      </c>
      <c r="N183" s="35"/>
      <c r="O183" s="35">
        <v>0</v>
      </c>
      <c r="P183" s="35"/>
      <c r="Q183" s="35">
        <v>0</v>
      </c>
      <c r="R183" s="35"/>
      <c r="S183" s="35">
        <v>0</v>
      </c>
      <c r="T183" s="35"/>
      <c r="U183" s="35">
        <v>0</v>
      </c>
      <c r="V183" s="35"/>
      <c r="W183" s="35">
        <f t="shared" si="40"/>
        <v>0</v>
      </c>
      <c r="X183" s="35"/>
      <c r="Y183" s="35" t="s">
        <v>222</v>
      </c>
      <c r="Z183" s="55"/>
      <c r="AA183" s="35" t="s">
        <v>47</v>
      </c>
      <c r="AB183" s="35"/>
      <c r="AC183" s="35">
        <v>0</v>
      </c>
      <c r="AD183" s="35"/>
      <c r="AE183" s="35">
        <v>0</v>
      </c>
      <c r="AF183" s="35"/>
      <c r="AG183" s="35">
        <v>0</v>
      </c>
      <c r="AH183" s="35"/>
      <c r="AI183" s="45">
        <f t="shared" si="39"/>
        <v>0</v>
      </c>
      <c r="AJ183" s="45"/>
      <c r="AK183" s="35">
        <v>0</v>
      </c>
      <c r="AL183" s="35"/>
      <c r="AM183" s="35">
        <v>0</v>
      </c>
      <c r="AN183" s="35"/>
      <c r="AO183" s="35">
        <v>0</v>
      </c>
      <c r="AP183" s="35"/>
      <c r="AQ183" s="35">
        <v>0</v>
      </c>
      <c r="AR183" s="35"/>
      <c r="AS183" s="45">
        <f t="shared" si="41"/>
        <v>0</v>
      </c>
      <c r="AT183" s="45"/>
      <c r="AU183" s="35">
        <v>0</v>
      </c>
      <c r="AV183" s="35"/>
      <c r="AW183" s="35">
        <v>0</v>
      </c>
      <c r="AX183" s="35"/>
      <c r="AY183" s="35">
        <f t="shared" si="42"/>
        <v>0</v>
      </c>
      <c r="AZ183" s="35"/>
      <c r="BA183" s="35" t="s">
        <v>222</v>
      </c>
      <c r="BB183" s="55"/>
      <c r="BC183" s="35" t="s">
        <v>47</v>
      </c>
      <c r="BD183" s="35"/>
      <c r="BE183" s="35">
        <v>0</v>
      </c>
      <c r="BF183" s="35"/>
      <c r="BG183" s="35">
        <v>0</v>
      </c>
      <c r="BH183" s="35"/>
      <c r="BI183" s="35">
        <v>0</v>
      </c>
      <c r="BJ183" s="35"/>
      <c r="BK183" s="35">
        <v>0</v>
      </c>
      <c r="BL183" s="35"/>
      <c r="BM183" s="35">
        <f t="shared" si="38"/>
        <v>0</v>
      </c>
      <c r="BN183" s="89" t="s">
        <v>347</v>
      </c>
    </row>
    <row r="184" spans="1:68" ht="12.75" hidden="1" customHeight="1">
      <c r="A184" s="35" t="s">
        <v>223</v>
      </c>
      <c r="C184" s="35" t="s">
        <v>94</v>
      </c>
      <c r="D184" s="35"/>
      <c r="E184" s="35">
        <f t="shared" si="34"/>
        <v>0</v>
      </c>
      <c r="F184" s="35"/>
      <c r="G184" s="35">
        <v>0</v>
      </c>
      <c r="H184" s="35"/>
      <c r="I184" s="35">
        <v>0</v>
      </c>
      <c r="J184" s="35"/>
      <c r="K184" s="35">
        <f t="shared" si="35"/>
        <v>0</v>
      </c>
      <c r="L184" s="35"/>
      <c r="M184" s="35">
        <v>0</v>
      </c>
      <c r="N184" s="35"/>
      <c r="O184" s="35">
        <v>0</v>
      </c>
      <c r="P184" s="35"/>
      <c r="Q184" s="35">
        <v>0</v>
      </c>
      <c r="R184" s="35"/>
      <c r="S184" s="35">
        <v>0</v>
      </c>
      <c r="T184" s="35"/>
      <c r="U184" s="35">
        <v>0</v>
      </c>
      <c r="V184" s="35"/>
      <c r="W184" s="35">
        <f t="shared" si="40"/>
        <v>0</v>
      </c>
      <c r="X184" s="35"/>
      <c r="Y184" s="35" t="s">
        <v>223</v>
      </c>
      <c r="Z184" s="55"/>
      <c r="AA184" s="35" t="s">
        <v>94</v>
      </c>
      <c r="AB184" s="35"/>
      <c r="AC184" s="35">
        <v>0</v>
      </c>
      <c r="AD184" s="35"/>
      <c r="AE184" s="35">
        <v>0</v>
      </c>
      <c r="AF184" s="35"/>
      <c r="AG184" s="35">
        <v>0</v>
      </c>
      <c r="AH184" s="35"/>
      <c r="AI184" s="45">
        <f t="shared" si="39"/>
        <v>0</v>
      </c>
      <c r="AJ184" s="45"/>
      <c r="AK184" s="35">
        <v>0</v>
      </c>
      <c r="AL184" s="35"/>
      <c r="AM184" s="35">
        <v>0</v>
      </c>
      <c r="AN184" s="35"/>
      <c r="AO184" s="35">
        <v>0</v>
      </c>
      <c r="AP184" s="35"/>
      <c r="AQ184" s="35">
        <v>0</v>
      </c>
      <c r="AR184" s="35"/>
      <c r="AS184" s="45">
        <f t="shared" si="41"/>
        <v>0</v>
      </c>
      <c r="AT184" s="45"/>
      <c r="AU184" s="35">
        <v>0</v>
      </c>
      <c r="AV184" s="35"/>
      <c r="AW184" s="35">
        <v>0</v>
      </c>
      <c r="AX184" s="35"/>
      <c r="AY184" s="35">
        <f t="shared" si="42"/>
        <v>0</v>
      </c>
      <c r="AZ184" s="35"/>
      <c r="BA184" s="35" t="s">
        <v>223</v>
      </c>
      <c r="BB184" s="55"/>
      <c r="BC184" s="35" t="s">
        <v>94</v>
      </c>
      <c r="BD184" s="35"/>
      <c r="BE184" s="35">
        <v>0</v>
      </c>
      <c r="BF184" s="35"/>
      <c r="BG184" s="35">
        <v>0</v>
      </c>
      <c r="BH184" s="35"/>
      <c r="BI184" s="35">
        <v>0</v>
      </c>
      <c r="BJ184" s="35"/>
      <c r="BK184" s="35">
        <v>0</v>
      </c>
      <c r="BL184" s="35"/>
      <c r="BM184" s="35">
        <f t="shared" si="38"/>
        <v>0</v>
      </c>
      <c r="BN184" s="89" t="s">
        <v>347</v>
      </c>
    </row>
    <row r="185" spans="1:68" ht="12.75" hidden="1" customHeight="1">
      <c r="A185" s="35" t="s">
        <v>76</v>
      </c>
      <c r="C185" s="35" t="s">
        <v>132</v>
      </c>
      <c r="D185" s="35"/>
      <c r="E185" s="35">
        <f t="shared" si="34"/>
        <v>0</v>
      </c>
      <c r="F185" s="35"/>
      <c r="G185" s="35">
        <v>0</v>
      </c>
      <c r="H185" s="35"/>
      <c r="I185" s="35">
        <v>0</v>
      </c>
      <c r="J185" s="35"/>
      <c r="K185" s="35">
        <f t="shared" si="35"/>
        <v>0</v>
      </c>
      <c r="L185" s="35"/>
      <c r="M185" s="35">
        <v>0</v>
      </c>
      <c r="N185" s="35"/>
      <c r="O185" s="35">
        <v>0</v>
      </c>
      <c r="P185" s="35"/>
      <c r="Q185" s="35">
        <v>0</v>
      </c>
      <c r="R185" s="35"/>
      <c r="S185" s="35">
        <v>0</v>
      </c>
      <c r="T185" s="35"/>
      <c r="U185" s="35">
        <v>0</v>
      </c>
      <c r="V185" s="35"/>
      <c r="W185" s="35">
        <f t="shared" si="40"/>
        <v>0</v>
      </c>
      <c r="X185" s="35"/>
      <c r="Y185" s="35" t="s">
        <v>76</v>
      </c>
      <c r="Z185" s="55"/>
      <c r="AA185" s="35" t="s">
        <v>132</v>
      </c>
      <c r="AB185" s="35"/>
      <c r="AC185" s="35">
        <v>0</v>
      </c>
      <c r="AD185" s="35"/>
      <c r="AE185" s="35">
        <v>0</v>
      </c>
      <c r="AF185" s="35"/>
      <c r="AG185" s="35">
        <v>0</v>
      </c>
      <c r="AH185" s="35"/>
      <c r="AI185" s="45">
        <f t="shared" si="39"/>
        <v>0</v>
      </c>
      <c r="AJ185" s="45"/>
      <c r="AK185" s="35">
        <v>0</v>
      </c>
      <c r="AL185" s="35"/>
      <c r="AM185" s="35">
        <v>0</v>
      </c>
      <c r="AN185" s="35"/>
      <c r="AO185" s="35">
        <v>0</v>
      </c>
      <c r="AP185" s="35"/>
      <c r="AQ185" s="35">
        <v>0</v>
      </c>
      <c r="AR185" s="35"/>
      <c r="AS185" s="45">
        <f t="shared" si="41"/>
        <v>0</v>
      </c>
      <c r="AT185" s="45"/>
      <c r="AU185" s="35">
        <v>0</v>
      </c>
      <c r="AV185" s="35"/>
      <c r="AW185" s="35">
        <v>0</v>
      </c>
      <c r="AX185" s="35"/>
      <c r="AY185" s="35">
        <f t="shared" si="42"/>
        <v>0</v>
      </c>
      <c r="AZ185" s="35"/>
      <c r="BA185" s="35" t="s">
        <v>76</v>
      </c>
      <c r="BB185" s="55"/>
      <c r="BC185" s="35" t="s">
        <v>132</v>
      </c>
      <c r="BD185" s="35"/>
      <c r="BE185" s="35">
        <v>0</v>
      </c>
      <c r="BF185" s="35"/>
      <c r="BG185" s="35">
        <v>0</v>
      </c>
      <c r="BH185" s="35"/>
      <c r="BI185" s="35">
        <v>0</v>
      </c>
      <c r="BJ185" s="35"/>
      <c r="BK185" s="35">
        <v>0</v>
      </c>
      <c r="BL185" s="35"/>
      <c r="BM185" s="35">
        <f t="shared" si="38"/>
        <v>0</v>
      </c>
      <c r="BN185" s="54" t="s">
        <v>347</v>
      </c>
    </row>
    <row r="186" spans="1:68" ht="12.75" hidden="1" customHeight="1">
      <c r="A186" s="35" t="s">
        <v>224</v>
      </c>
      <c r="C186" s="35" t="s">
        <v>27</v>
      </c>
      <c r="D186" s="35"/>
      <c r="E186" s="35">
        <f t="shared" si="34"/>
        <v>0</v>
      </c>
      <c r="F186" s="35"/>
      <c r="G186" s="35">
        <v>0</v>
      </c>
      <c r="H186" s="35"/>
      <c r="I186" s="35">
        <v>0</v>
      </c>
      <c r="J186" s="35"/>
      <c r="K186" s="35">
        <f t="shared" si="35"/>
        <v>0</v>
      </c>
      <c r="L186" s="35"/>
      <c r="M186" s="35">
        <v>0</v>
      </c>
      <c r="N186" s="35"/>
      <c r="O186" s="35">
        <v>0</v>
      </c>
      <c r="P186" s="35"/>
      <c r="Q186" s="35">
        <v>0</v>
      </c>
      <c r="R186" s="35"/>
      <c r="S186" s="35">
        <v>0</v>
      </c>
      <c r="T186" s="35"/>
      <c r="U186" s="35">
        <v>0</v>
      </c>
      <c r="V186" s="35"/>
      <c r="W186" s="35">
        <f t="shared" si="40"/>
        <v>0</v>
      </c>
      <c r="X186" s="35"/>
      <c r="Y186" s="35" t="s">
        <v>224</v>
      </c>
      <c r="Z186" s="55"/>
      <c r="AA186" s="35" t="s">
        <v>27</v>
      </c>
      <c r="AB186" s="35"/>
      <c r="AC186" s="35">
        <v>0</v>
      </c>
      <c r="AD186" s="35"/>
      <c r="AE186" s="35">
        <v>0</v>
      </c>
      <c r="AF186" s="35"/>
      <c r="AG186" s="35">
        <v>0</v>
      </c>
      <c r="AH186" s="35"/>
      <c r="AI186" s="45">
        <f t="shared" si="39"/>
        <v>0</v>
      </c>
      <c r="AJ186" s="45"/>
      <c r="AK186" s="35">
        <v>0</v>
      </c>
      <c r="AL186" s="35"/>
      <c r="AM186" s="35">
        <v>0</v>
      </c>
      <c r="AN186" s="35"/>
      <c r="AO186" s="35">
        <v>0</v>
      </c>
      <c r="AP186" s="35"/>
      <c r="AQ186" s="35">
        <v>0</v>
      </c>
      <c r="AR186" s="35"/>
      <c r="AS186" s="45">
        <f t="shared" si="41"/>
        <v>0</v>
      </c>
      <c r="AT186" s="45"/>
      <c r="AU186" s="35">
        <v>0</v>
      </c>
      <c r="AV186" s="35"/>
      <c r="AW186" s="35">
        <v>0</v>
      </c>
      <c r="AX186" s="35"/>
      <c r="AY186" s="35">
        <f t="shared" si="42"/>
        <v>0</v>
      </c>
      <c r="AZ186" s="35"/>
      <c r="BA186" s="35" t="s">
        <v>224</v>
      </c>
      <c r="BB186" s="55"/>
      <c r="BC186" s="35" t="s">
        <v>27</v>
      </c>
      <c r="BD186" s="35"/>
      <c r="BE186" s="35">
        <v>0</v>
      </c>
      <c r="BF186" s="35"/>
      <c r="BG186" s="35">
        <v>0</v>
      </c>
      <c r="BH186" s="35"/>
      <c r="BI186" s="35">
        <v>0</v>
      </c>
      <c r="BJ186" s="35"/>
      <c r="BK186" s="35">
        <v>0</v>
      </c>
      <c r="BL186" s="35"/>
      <c r="BM186" s="35">
        <f t="shared" si="38"/>
        <v>0</v>
      </c>
      <c r="BN186" s="54" t="s">
        <v>347</v>
      </c>
      <c r="BO186" s="35"/>
      <c r="BP186" s="35"/>
    </row>
    <row r="187" spans="1:68" ht="12.75" hidden="1" customHeight="1">
      <c r="A187" s="35" t="s">
        <v>225</v>
      </c>
      <c r="C187" s="35" t="s">
        <v>27</v>
      </c>
      <c r="D187" s="35"/>
      <c r="E187" s="35">
        <f t="shared" si="34"/>
        <v>0</v>
      </c>
      <c r="F187" s="35"/>
      <c r="G187" s="35">
        <v>0</v>
      </c>
      <c r="H187" s="35"/>
      <c r="I187" s="35">
        <v>0</v>
      </c>
      <c r="J187" s="35"/>
      <c r="K187" s="35">
        <f t="shared" si="35"/>
        <v>0</v>
      </c>
      <c r="L187" s="35"/>
      <c r="M187" s="35">
        <v>0</v>
      </c>
      <c r="N187" s="35"/>
      <c r="O187" s="35">
        <v>0</v>
      </c>
      <c r="P187" s="35"/>
      <c r="Q187" s="35">
        <v>0</v>
      </c>
      <c r="R187" s="35"/>
      <c r="S187" s="35">
        <v>0</v>
      </c>
      <c r="T187" s="35"/>
      <c r="U187" s="35">
        <v>0</v>
      </c>
      <c r="V187" s="35"/>
      <c r="W187" s="35">
        <f t="shared" si="40"/>
        <v>0</v>
      </c>
      <c r="X187" s="35"/>
      <c r="Y187" s="35" t="s">
        <v>225</v>
      </c>
      <c r="Z187" s="55"/>
      <c r="AA187" s="35" t="s">
        <v>27</v>
      </c>
      <c r="AB187" s="35"/>
      <c r="AC187" s="35">
        <v>0</v>
      </c>
      <c r="AD187" s="35"/>
      <c r="AE187" s="35">
        <v>0</v>
      </c>
      <c r="AF187" s="35"/>
      <c r="AG187" s="35">
        <v>0</v>
      </c>
      <c r="AH187" s="35"/>
      <c r="AI187" s="45">
        <f t="shared" si="39"/>
        <v>0</v>
      </c>
      <c r="AJ187" s="45"/>
      <c r="AK187" s="35">
        <v>0</v>
      </c>
      <c r="AL187" s="35"/>
      <c r="AM187" s="35">
        <v>0</v>
      </c>
      <c r="AN187" s="35"/>
      <c r="AO187" s="35">
        <v>0</v>
      </c>
      <c r="AP187" s="35"/>
      <c r="AQ187" s="35">
        <v>0</v>
      </c>
      <c r="AR187" s="35"/>
      <c r="AS187" s="45">
        <f t="shared" si="41"/>
        <v>0</v>
      </c>
      <c r="AT187" s="45"/>
      <c r="AU187" s="35">
        <v>0</v>
      </c>
      <c r="AV187" s="35"/>
      <c r="AW187" s="35">
        <v>0</v>
      </c>
      <c r="AX187" s="35"/>
      <c r="AY187" s="35">
        <f t="shared" si="42"/>
        <v>0</v>
      </c>
      <c r="AZ187" s="35"/>
      <c r="BA187" s="35" t="s">
        <v>225</v>
      </c>
      <c r="BB187" s="55"/>
      <c r="BC187" s="35" t="s">
        <v>27</v>
      </c>
      <c r="BD187" s="35"/>
      <c r="BE187" s="35">
        <v>0</v>
      </c>
      <c r="BF187" s="35"/>
      <c r="BG187" s="35">
        <v>0</v>
      </c>
      <c r="BH187" s="35"/>
      <c r="BI187" s="35">
        <v>0</v>
      </c>
      <c r="BJ187" s="35"/>
      <c r="BK187" s="35">
        <v>0</v>
      </c>
      <c r="BL187" s="35"/>
      <c r="BM187" s="35">
        <f t="shared" si="38"/>
        <v>0</v>
      </c>
      <c r="BN187" s="54" t="s">
        <v>347</v>
      </c>
    </row>
    <row r="188" spans="1:68" ht="12.75" hidden="1" customHeight="1">
      <c r="A188" s="35" t="s">
        <v>226</v>
      </c>
      <c r="C188" s="35" t="s">
        <v>45</v>
      </c>
      <c r="D188" s="35"/>
      <c r="E188" s="35">
        <f t="shared" si="34"/>
        <v>0</v>
      </c>
      <c r="F188" s="35"/>
      <c r="G188" s="35">
        <v>0</v>
      </c>
      <c r="H188" s="35"/>
      <c r="I188" s="35">
        <v>0</v>
      </c>
      <c r="J188" s="35"/>
      <c r="K188" s="35">
        <f t="shared" si="35"/>
        <v>0</v>
      </c>
      <c r="L188" s="35"/>
      <c r="M188" s="35">
        <v>0</v>
      </c>
      <c r="N188" s="35"/>
      <c r="O188" s="35">
        <v>0</v>
      </c>
      <c r="P188" s="35"/>
      <c r="Q188" s="35">
        <v>0</v>
      </c>
      <c r="R188" s="35"/>
      <c r="S188" s="35">
        <v>0</v>
      </c>
      <c r="T188" s="35"/>
      <c r="U188" s="35">
        <v>0</v>
      </c>
      <c r="V188" s="35"/>
      <c r="W188" s="35">
        <f t="shared" si="40"/>
        <v>0</v>
      </c>
      <c r="X188" s="35"/>
      <c r="Y188" s="35" t="s">
        <v>226</v>
      </c>
      <c r="Z188" s="55"/>
      <c r="AA188" s="35" t="s">
        <v>45</v>
      </c>
      <c r="AB188" s="35"/>
      <c r="AC188" s="35">
        <v>0</v>
      </c>
      <c r="AD188" s="35"/>
      <c r="AE188" s="35">
        <v>0</v>
      </c>
      <c r="AF188" s="35"/>
      <c r="AG188" s="35">
        <v>0</v>
      </c>
      <c r="AH188" s="35"/>
      <c r="AI188" s="45">
        <f t="shared" si="39"/>
        <v>0</v>
      </c>
      <c r="AJ188" s="45"/>
      <c r="AK188" s="35">
        <v>0</v>
      </c>
      <c r="AL188" s="35"/>
      <c r="AM188" s="35">
        <v>0</v>
      </c>
      <c r="AN188" s="35"/>
      <c r="AO188" s="35">
        <v>0</v>
      </c>
      <c r="AP188" s="35"/>
      <c r="AQ188" s="35">
        <v>0</v>
      </c>
      <c r="AR188" s="35"/>
      <c r="AS188" s="45">
        <f t="shared" si="41"/>
        <v>0</v>
      </c>
      <c r="AT188" s="45"/>
      <c r="AU188" s="35">
        <v>0</v>
      </c>
      <c r="AV188" s="35"/>
      <c r="AW188" s="35">
        <v>0</v>
      </c>
      <c r="AX188" s="35"/>
      <c r="AY188" s="35">
        <f t="shared" si="42"/>
        <v>0</v>
      </c>
      <c r="AZ188" s="35"/>
      <c r="BA188" s="35" t="s">
        <v>226</v>
      </c>
      <c r="BB188" s="55"/>
      <c r="BC188" s="35" t="s">
        <v>45</v>
      </c>
      <c r="BD188" s="35"/>
      <c r="BE188" s="35">
        <v>0</v>
      </c>
      <c r="BF188" s="35"/>
      <c r="BG188" s="35">
        <v>0</v>
      </c>
      <c r="BH188" s="35"/>
      <c r="BI188" s="35">
        <v>0</v>
      </c>
      <c r="BJ188" s="35"/>
      <c r="BK188" s="35">
        <v>0</v>
      </c>
      <c r="BL188" s="35"/>
      <c r="BM188" s="35">
        <f t="shared" si="38"/>
        <v>0</v>
      </c>
      <c r="BN188" s="54" t="s">
        <v>347</v>
      </c>
    </row>
    <row r="189" spans="1:68" ht="12.75" hidden="1" customHeight="1">
      <c r="A189" s="35" t="s">
        <v>227</v>
      </c>
      <c r="C189" s="35" t="s">
        <v>17</v>
      </c>
      <c r="D189" s="35"/>
      <c r="E189" s="35">
        <f t="shared" si="34"/>
        <v>0</v>
      </c>
      <c r="F189" s="35"/>
      <c r="G189" s="35">
        <v>0</v>
      </c>
      <c r="H189" s="35"/>
      <c r="I189" s="35">
        <v>0</v>
      </c>
      <c r="J189" s="35"/>
      <c r="K189" s="35">
        <f t="shared" si="35"/>
        <v>0</v>
      </c>
      <c r="L189" s="35"/>
      <c r="M189" s="35">
        <v>0</v>
      </c>
      <c r="N189" s="35"/>
      <c r="O189" s="35">
        <v>0</v>
      </c>
      <c r="P189" s="35"/>
      <c r="Q189" s="35">
        <v>0</v>
      </c>
      <c r="R189" s="35"/>
      <c r="S189" s="35">
        <v>0</v>
      </c>
      <c r="T189" s="35"/>
      <c r="U189" s="35">
        <v>0</v>
      </c>
      <c r="V189" s="35"/>
      <c r="W189" s="35">
        <f t="shared" si="40"/>
        <v>0</v>
      </c>
      <c r="X189" s="35"/>
      <c r="Y189" s="35" t="s">
        <v>227</v>
      </c>
      <c r="Z189" s="55"/>
      <c r="AA189" s="35" t="s">
        <v>17</v>
      </c>
      <c r="AB189" s="35"/>
      <c r="AC189" s="35">
        <v>0</v>
      </c>
      <c r="AD189" s="35"/>
      <c r="AE189" s="35">
        <v>0</v>
      </c>
      <c r="AF189" s="35"/>
      <c r="AG189" s="35">
        <v>0</v>
      </c>
      <c r="AH189" s="35"/>
      <c r="AI189" s="45">
        <f t="shared" si="39"/>
        <v>0</v>
      </c>
      <c r="AJ189" s="45"/>
      <c r="AK189" s="35">
        <v>0</v>
      </c>
      <c r="AL189" s="35"/>
      <c r="AM189" s="35">
        <v>0</v>
      </c>
      <c r="AN189" s="35"/>
      <c r="AO189" s="35">
        <v>0</v>
      </c>
      <c r="AP189" s="35"/>
      <c r="AQ189" s="35">
        <v>0</v>
      </c>
      <c r="AR189" s="35"/>
      <c r="AS189" s="45">
        <f t="shared" si="41"/>
        <v>0</v>
      </c>
      <c r="AT189" s="45"/>
      <c r="AU189" s="35">
        <v>0</v>
      </c>
      <c r="AV189" s="35"/>
      <c r="AW189" s="35">
        <v>0</v>
      </c>
      <c r="AX189" s="35"/>
      <c r="AY189" s="35">
        <f t="shared" si="42"/>
        <v>0</v>
      </c>
      <c r="AZ189" s="35"/>
      <c r="BA189" s="35" t="s">
        <v>227</v>
      </c>
      <c r="BB189" s="55"/>
      <c r="BC189" s="35" t="s">
        <v>17</v>
      </c>
      <c r="BD189" s="35"/>
      <c r="BE189" s="35">
        <v>0</v>
      </c>
      <c r="BF189" s="35"/>
      <c r="BG189" s="35">
        <v>0</v>
      </c>
      <c r="BH189" s="35"/>
      <c r="BI189" s="35">
        <v>0</v>
      </c>
      <c r="BJ189" s="35"/>
      <c r="BK189" s="35">
        <v>0</v>
      </c>
      <c r="BL189" s="35"/>
      <c r="BM189" s="35">
        <v>0</v>
      </c>
      <c r="BN189" s="54" t="s">
        <v>347</v>
      </c>
    </row>
    <row r="190" spans="1:68" ht="12.75" customHeight="1">
      <c r="A190" s="35" t="s">
        <v>228</v>
      </c>
      <c r="C190" s="35" t="s">
        <v>153</v>
      </c>
      <c r="D190" s="35"/>
      <c r="E190" s="35">
        <f t="shared" si="34"/>
        <v>9019896</v>
      </c>
      <c r="F190" s="35"/>
      <c r="G190" s="35">
        <v>10894997</v>
      </c>
      <c r="H190" s="35"/>
      <c r="I190" s="35">
        <v>19914893</v>
      </c>
      <c r="J190" s="35"/>
      <c r="K190" s="35">
        <f t="shared" si="35"/>
        <v>7178207</v>
      </c>
      <c r="L190" s="35"/>
      <c r="M190" s="35">
        <v>156362</v>
      </c>
      <c r="N190" s="35"/>
      <c r="O190" s="35">
        <v>7334569</v>
      </c>
      <c r="P190" s="35"/>
      <c r="Q190" s="35">
        <v>6404572</v>
      </c>
      <c r="R190" s="35"/>
      <c r="S190" s="35">
        <v>0</v>
      </c>
      <c r="T190" s="35"/>
      <c r="U190" s="35">
        <v>6175752</v>
      </c>
      <c r="V190" s="35"/>
      <c r="W190" s="35">
        <f t="shared" si="40"/>
        <v>12580324</v>
      </c>
      <c r="X190" s="35"/>
      <c r="Y190" s="35" t="s">
        <v>228</v>
      </c>
      <c r="Z190" s="55"/>
      <c r="AA190" s="35" t="s">
        <v>153</v>
      </c>
      <c r="AB190" s="35"/>
      <c r="AC190" s="35">
        <v>12526802</v>
      </c>
      <c r="AD190" s="35"/>
      <c r="AE190" s="35">
        <v>10780191</v>
      </c>
      <c r="AF190" s="35"/>
      <c r="AG190" s="35">
        <v>568791</v>
      </c>
      <c r="AH190" s="35"/>
      <c r="AI190" s="45">
        <f t="shared" si="39"/>
        <v>1177820</v>
      </c>
      <c r="AJ190" s="45"/>
      <c r="AK190" s="35">
        <v>-35539</v>
      </c>
      <c r="AL190" s="35"/>
      <c r="AM190" s="35">
        <v>0</v>
      </c>
      <c r="AN190" s="35"/>
      <c r="AO190" s="35">
        <v>0</v>
      </c>
      <c r="AP190" s="35"/>
      <c r="AQ190" s="35">
        <v>0</v>
      </c>
      <c r="AR190" s="35"/>
      <c r="AS190" s="45">
        <f t="shared" si="41"/>
        <v>1142281</v>
      </c>
      <c r="AT190" s="45"/>
      <c r="AU190" s="35">
        <v>0</v>
      </c>
      <c r="AV190" s="35"/>
      <c r="AW190" s="35">
        <v>0</v>
      </c>
      <c r="AX190" s="35"/>
      <c r="AY190" s="35">
        <f t="shared" si="42"/>
        <v>1841689</v>
      </c>
      <c r="AZ190" s="35"/>
      <c r="BA190" s="35" t="s">
        <v>228</v>
      </c>
      <c r="BB190" s="55"/>
      <c r="BC190" s="35" t="s">
        <v>153</v>
      </c>
      <c r="BD190" s="35"/>
      <c r="BE190" s="35">
        <v>0</v>
      </c>
      <c r="BF190" s="35"/>
      <c r="BG190" s="35">
        <v>0</v>
      </c>
      <c r="BH190" s="35"/>
      <c r="BI190" s="35">
        <v>0</v>
      </c>
      <c r="BJ190" s="35"/>
      <c r="BK190" s="35">
        <v>156362</v>
      </c>
      <c r="BL190" s="35"/>
      <c r="BM190" s="35">
        <f t="shared" ref="BM190:BM229" si="43">SUM(BE190:BK190)</f>
        <v>156362</v>
      </c>
      <c r="BN190" s="54" t="s">
        <v>347</v>
      </c>
    </row>
    <row r="191" spans="1:68" ht="12.75" hidden="1" customHeight="1">
      <c r="A191" s="35" t="s">
        <v>229</v>
      </c>
      <c r="C191" s="35" t="s">
        <v>228</v>
      </c>
      <c r="D191" s="35"/>
      <c r="E191" s="35">
        <f t="shared" si="34"/>
        <v>0</v>
      </c>
      <c r="F191" s="35"/>
      <c r="G191" s="35">
        <v>0</v>
      </c>
      <c r="H191" s="35"/>
      <c r="I191" s="35">
        <v>0</v>
      </c>
      <c r="J191" s="35"/>
      <c r="K191" s="35">
        <f t="shared" si="35"/>
        <v>0</v>
      </c>
      <c r="L191" s="35"/>
      <c r="M191" s="35">
        <v>0</v>
      </c>
      <c r="N191" s="35"/>
      <c r="O191" s="35">
        <v>0</v>
      </c>
      <c r="P191" s="35"/>
      <c r="Q191" s="35">
        <v>0</v>
      </c>
      <c r="R191" s="35"/>
      <c r="S191" s="35">
        <v>0</v>
      </c>
      <c r="T191" s="35"/>
      <c r="U191" s="35">
        <v>0</v>
      </c>
      <c r="V191" s="35"/>
      <c r="W191" s="35">
        <f t="shared" si="40"/>
        <v>0</v>
      </c>
      <c r="X191" s="35"/>
      <c r="Y191" s="35" t="s">
        <v>229</v>
      </c>
      <c r="Z191" s="55"/>
      <c r="AA191" s="35" t="s">
        <v>228</v>
      </c>
      <c r="AB191" s="35"/>
      <c r="AC191" s="35">
        <v>0</v>
      </c>
      <c r="AD191" s="35"/>
      <c r="AE191" s="35">
        <v>0</v>
      </c>
      <c r="AF191" s="35"/>
      <c r="AG191" s="35">
        <v>0</v>
      </c>
      <c r="AH191" s="35"/>
      <c r="AI191" s="45">
        <f t="shared" si="39"/>
        <v>0</v>
      </c>
      <c r="AJ191" s="45"/>
      <c r="AK191" s="35">
        <v>0</v>
      </c>
      <c r="AL191" s="35"/>
      <c r="AM191" s="35">
        <v>0</v>
      </c>
      <c r="AN191" s="35"/>
      <c r="AO191" s="35">
        <v>0</v>
      </c>
      <c r="AP191" s="35"/>
      <c r="AQ191" s="35">
        <v>0</v>
      </c>
      <c r="AR191" s="35"/>
      <c r="AS191" s="45">
        <f t="shared" si="41"/>
        <v>0</v>
      </c>
      <c r="AT191" s="45"/>
      <c r="AU191" s="35">
        <v>0</v>
      </c>
      <c r="AV191" s="35"/>
      <c r="AW191" s="35">
        <v>0</v>
      </c>
      <c r="AX191" s="35"/>
      <c r="AY191" s="35">
        <f t="shared" si="42"/>
        <v>0</v>
      </c>
      <c r="AZ191" s="35"/>
      <c r="BA191" s="35" t="s">
        <v>229</v>
      </c>
      <c r="BB191" s="55"/>
      <c r="BC191" s="35" t="s">
        <v>228</v>
      </c>
      <c r="BD191" s="35"/>
      <c r="BE191" s="35">
        <v>0</v>
      </c>
      <c r="BF191" s="35"/>
      <c r="BG191" s="35">
        <v>0</v>
      </c>
      <c r="BH191" s="35"/>
      <c r="BI191" s="35">
        <v>0</v>
      </c>
      <c r="BJ191" s="35"/>
      <c r="BK191" s="35">
        <v>0</v>
      </c>
      <c r="BL191" s="35"/>
      <c r="BM191" s="35">
        <f t="shared" si="43"/>
        <v>0</v>
      </c>
      <c r="BN191" s="54" t="s">
        <v>347</v>
      </c>
    </row>
    <row r="192" spans="1:68" ht="12.75" hidden="1" customHeight="1">
      <c r="A192" s="35" t="s">
        <v>230</v>
      </c>
      <c r="C192" s="35" t="s">
        <v>45</v>
      </c>
      <c r="D192" s="35"/>
      <c r="E192" s="35">
        <f t="shared" si="34"/>
        <v>0</v>
      </c>
      <c r="F192" s="35"/>
      <c r="G192" s="35"/>
      <c r="H192" s="35"/>
      <c r="I192" s="35"/>
      <c r="J192" s="35"/>
      <c r="K192" s="35">
        <f t="shared" si="35"/>
        <v>0</v>
      </c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>
        <f t="shared" si="40"/>
        <v>0</v>
      </c>
      <c r="X192" s="35"/>
      <c r="Y192" s="35" t="s">
        <v>230</v>
      </c>
      <c r="Z192" s="55"/>
      <c r="AA192" s="35" t="s">
        <v>45</v>
      </c>
      <c r="AB192" s="35"/>
      <c r="AC192" s="35"/>
      <c r="AD192" s="35"/>
      <c r="AE192" s="35"/>
      <c r="AF192" s="35"/>
      <c r="AG192" s="35"/>
      <c r="AH192" s="35"/>
      <c r="AI192" s="45">
        <f t="shared" si="39"/>
        <v>0</v>
      </c>
      <c r="AJ192" s="45"/>
      <c r="AK192" s="35"/>
      <c r="AL192" s="35"/>
      <c r="AM192" s="35"/>
      <c r="AN192" s="35"/>
      <c r="AO192" s="35"/>
      <c r="AP192" s="35"/>
      <c r="AQ192" s="35"/>
      <c r="AR192" s="35"/>
      <c r="AS192" s="45">
        <f t="shared" si="41"/>
        <v>0</v>
      </c>
      <c r="AT192" s="45"/>
      <c r="AU192" s="35">
        <v>0</v>
      </c>
      <c r="AV192" s="35"/>
      <c r="AW192" s="35">
        <v>0</v>
      </c>
      <c r="AX192" s="35"/>
      <c r="AY192" s="35">
        <f t="shared" si="42"/>
        <v>0</v>
      </c>
      <c r="AZ192" s="35"/>
      <c r="BA192" s="35" t="s">
        <v>230</v>
      </c>
      <c r="BB192" s="55"/>
      <c r="BC192" s="35" t="s">
        <v>45</v>
      </c>
      <c r="BD192" s="35"/>
      <c r="BE192" s="35"/>
      <c r="BF192" s="35"/>
      <c r="BG192" s="35"/>
      <c r="BH192" s="35"/>
      <c r="BI192" s="35"/>
      <c r="BJ192" s="35"/>
      <c r="BK192" s="35"/>
      <c r="BL192" s="35"/>
      <c r="BM192" s="35">
        <f t="shared" si="43"/>
        <v>0</v>
      </c>
      <c r="BN192" s="54" t="s">
        <v>347</v>
      </c>
    </row>
    <row r="193" spans="1:74" ht="12.75" hidden="1" customHeight="1">
      <c r="A193" s="35" t="s">
        <v>231</v>
      </c>
      <c r="C193" s="35" t="s">
        <v>27</v>
      </c>
      <c r="D193" s="35"/>
      <c r="E193" s="35">
        <f t="shared" si="34"/>
        <v>0</v>
      </c>
      <c r="F193" s="35"/>
      <c r="G193" s="35">
        <v>0</v>
      </c>
      <c r="H193" s="35"/>
      <c r="I193" s="35">
        <v>0</v>
      </c>
      <c r="J193" s="35"/>
      <c r="K193" s="35">
        <f t="shared" si="35"/>
        <v>0</v>
      </c>
      <c r="L193" s="35"/>
      <c r="M193" s="35">
        <v>0</v>
      </c>
      <c r="N193" s="35"/>
      <c r="O193" s="35">
        <v>0</v>
      </c>
      <c r="P193" s="35"/>
      <c r="Q193" s="35">
        <v>0</v>
      </c>
      <c r="R193" s="35"/>
      <c r="S193" s="35">
        <v>0</v>
      </c>
      <c r="T193" s="35"/>
      <c r="U193" s="35">
        <v>0</v>
      </c>
      <c r="V193" s="35"/>
      <c r="W193" s="35">
        <f t="shared" si="40"/>
        <v>0</v>
      </c>
      <c r="X193" s="35"/>
      <c r="Y193" s="35" t="s">
        <v>231</v>
      </c>
      <c r="Z193" s="55"/>
      <c r="AA193" s="35" t="s">
        <v>27</v>
      </c>
      <c r="AB193" s="35"/>
      <c r="AC193" s="35">
        <v>0</v>
      </c>
      <c r="AD193" s="35"/>
      <c r="AE193" s="35">
        <v>0</v>
      </c>
      <c r="AF193" s="35"/>
      <c r="AG193" s="35">
        <v>0</v>
      </c>
      <c r="AH193" s="35"/>
      <c r="AI193" s="45">
        <v>0</v>
      </c>
      <c r="AJ193" s="45"/>
      <c r="AK193" s="35">
        <v>0</v>
      </c>
      <c r="AL193" s="35"/>
      <c r="AM193" s="35">
        <v>0</v>
      </c>
      <c r="AN193" s="35"/>
      <c r="AO193" s="35">
        <v>0</v>
      </c>
      <c r="AP193" s="35"/>
      <c r="AQ193" s="35">
        <v>0</v>
      </c>
      <c r="AR193" s="35"/>
      <c r="AS193" s="45">
        <f t="shared" si="41"/>
        <v>0</v>
      </c>
      <c r="AT193" s="45"/>
      <c r="AU193" s="35">
        <v>0</v>
      </c>
      <c r="AV193" s="35"/>
      <c r="AW193" s="35">
        <v>0</v>
      </c>
      <c r="AX193" s="35"/>
      <c r="AY193" s="35">
        <f t="shared" si="42"/>
        <v>0</v>
      </c>
      <c r="AZ193" s="35"/>
      <c r="BA193" s="35" t="s">
        <v>231</v>
      </c>
      <c r="BB193" s="55"/>
      <c r="BC193" s="35" t="s">
        <v>27</v>
      </c>
      <c r="BD193" s="35"/>
      <c r="BE193" s="35">
        <v>0</v>
      </c>
      <c r="BF193" s="35"/>
      <c r="BG193" s="35">
        <v>0</v>
      </c>
      <c r="BH193" s="35"/>
      <c r="BI193" s="35">
        <v>0</v>
      </c>
      <c r="BJ193" s="35"/>
      <c r="BK193" s="35">
        <v>0</v>
      </c>
      <c r="BL193" s="35"/>
      <c r="BM193" s="35">
        <f t="shared" si="43"/>
        <v>0</v>
      </c>
      <c r="BN193" s="54" t="s">
        <v>347</v>
      </c>
    </row>
    <row r="194" spans="1:74" ht="12.75" hidden="1" customHeight="1">
      <c r="A194" s="35" t="s">
        <v>232</v>
      </c>
      <c r="C194" s="35" t="s">
        <v>27</v>
      </c>
      <c r="D194" s="35"/>
      <c r="E194" s="35">
        <f t="shared" si="34"/>
        <v>0</v>
      </c>
      <c r="F194" s="35"/>
      <c r="G194" s="35">
        <v>0</v>
      </c>
      <c r="H194" s="35"/>
      <c r="I194" s="35">
        <v>0</v>
      </c>
      <c r="J194" s="35"/>
      <c r="K194" s="35">
        <f t="shared" si="35"/>
        <v>0</v>
      </c>
      <c r="L194" s="35"/>
      <c r="M194" s="35">
        <v>0</v>
      </c>
      <c r="N194" s="35"/>
      <c r="O194" s="35">
        <v>0</v>
      </c>
      <c r="P194" s="35"/>
      <c r="Q194" s="35">
        <v>0</v>
      </c>
      <c r="R194" s="35"/>
      <c r="S194" s="35">
        <v>0</v>
      </c>
      <c r="T194" s="35"/>
      <c r="U194" s="35">
        <v>0</v>
      </c>
      <c r="V194" s="35"/>
      <c r="W194" s="35">
        <f t="shared" si="40"/>
        <v>0</v>
      </c>
      <c r="X194" s="35"/>
      <c r="Y194" s="35" t="s">
        <v>232</v>
      </c>
      <c r="Z194" s="55"/>
      <c r="AA194" s="35" t="s">
        <v>27</v>
      </c>
      <c r="AB194" s="35"/>
      <c r="AC194" s="35">
        <v>0</v>
      </c>
      <c r="AD194" s="35"/>
      <c r="AE194" s="35">
        <v>0</v>
      </c>
      <c r="AF194" s="35"/>
      <c r="AG194" s="35">
        <v>0</v>
      </c>
      <c r="AH194" s="35"/>
      <c r="AI194" s="45">
        <f t="shared" ref="AI194:AI203" si="44">+AC194-AE194-AG194</f>
        <v>0</v>
      </c>
      <c r="AJ194" s="45"/>
      <c r="AK194" s="35">
        <v>0</v>
      </c>
      <c r="AL194" s="35"/>
      <c r="AM194" s="35">
        <v>0</v>
      </c>
      <c r="AN194" s="35"/>
      <c r="AO194" s="35">
        <v>0</v>
      </c>
      <c r="AP194" s="35"/>
      <c r="AQ194" s="35">
        <v>0</v>
      </c>
      <c r="AR194" s="35"/>
      <c r="AS194" s="45">
        <f t="shared" si="41"/>
        <v>0</v>
      </c>
      <c r="AT194" s="45"/>
      <c r="AU194" s="35">
        <v>0</v>
      </c>
      <c r="AV194" s="35"/>
      <c r="AW194" s="35">
        <v>0</v>
      </c>
      <c r="AX194" s="35"/>
      <c r="AY194" s="35">
        <f t="shared" si="42"/>
        <v>0</v>
      </c>
      <c r="AZ194" s="35"/>
      <c r="BA194" s="35" t="s">
        <v>232</v>
      </c>
      <c r="BB194" s="55"/>
      <c r="BC194" s="35" t="s">
        <v>27</v>
      </c>
      <c r="BD194" s="35"/>
      <c r="BE194" s="35">
        <v>0</v>
      </c>
      <c r="BF194" s="35"/>
      <c r="BG194" s="35">
        <v>0</v>
      </c>
      <c r="BH194" s="35"/>
      <c r="BI194" s="35">
        <v>0</v>
      </c>
      <c r="BJ194" s="35"/>
      <c r="BK194" s="35">
        <v>0</v>
      </c>
      <c r="BL194" s="35"/>
      <c r="BM194" s="35">
        <f t="shared" si="43"/>
        <v>0</v>
      </c>
      <c r="BN194" s="54" t="s">
        <v>347</v>
      </c>
      <c r="BO194" s="35"/>
      <c r="BP194" s="35"/>
      <c r="BQ194" s="35"/>
      <c r="BR194" s="35"/>
      <c r="BS194" s="35"/>
      <c r="BT194" s="35"/>
      <c r="BU194" s="35"/>
      <c r="BV194" s="35"/>
    </row>
    <row r="195" spans="1:74" ht="12.75" hidden="1" customHeight="1">
      <c r="A195" s="35" t="s">
        <v>233</v>
      </c>
      <c r="C195" s="35" t="s">
        <v>111</v>
      </c>
      <c r="D195" s="35"/>
      <c r="E195" s="35">
        <f t="shared" si="34"/>
        <v>0</v>
      </c>
      <c r="F195" s="35"/>
      <c r="G195" s="35">
        <v>0</v>
      </c>
      <c r="H195" s="35"/>
      <c r="I195" s="35">
        <v>0</v>
      </c>
      <c r="J195" s="35"/>
      <c r="K195" s="35">
        <f t="shared" si="35"/>
        <v>0</v>
      </c>
      <c r="L195" s="35"/>
      <c r="M195" s="35">
        <v>0</v>
      </c>
      <c r="N195" s="35"/>
      <c r="O195" s="35">
        <v>0</v>
      </c>
      <c r="P195" s="35"/>
      <c r="Q195" s="35">
        <v>0</v>
      </c>
      <c r="R195" s="35"/>
      <c r="S195" s="35">
        <v>0</v>
      </c>
      <c r="T195" s="35"/>
      <c r="U195" s="35">
        <v>0</v>
      </c>
      <c r="V195" s="35"/>
      <c r="W195" s="35">
        <f t="shared" si="40"/>
        <v>0</v>
      </c>
      <c r="X195" s="35"/>
      <c r="Y195" s="35" t="s">
        <v>233</v>
      </c>
      <c r="Z195" s="55"/>
      <c r="AA195" s="35" t="s">
        <v>111</v>
      </c>
      <c r="AB195" s="35"/>
      <c r="AC195" s="35">
        <v>0</v>
      </c>
      <c r="AD195" s="35"/>
      <c r="AE195" s="35">
        <v>0</v>
      </c>
      <c r="AF195" s="35"/>
      <c r="AG195" s="35">
        <v>0</v>
      </c>
      <c r="AH195" s="35"/>
      <c r="AI195" s="45">
        <f t="shared" si="44"/>
        <v>0</v>
      </c>
      <c r="AJ195" s="45"/>
      <c r="AK195" s="35">
        <v>0</v>
      </c>
      <c r="AL195" s="35"/>
      <c r="AM195" s="35">
        <v>0</v>
      </c>
      <c r="AN195" s="35"/>
      <c r="AO195" s="35">
        <v>0</v>
      </c>
      <c r="AP195" s="35"/>
      <c r="AQ195" s="35">
        <v>0</v>
      </c>
      <c r="AR195" s="35"/>
      <c r="AS195" s="45">
        <f t="shared" si="41"/>
        <v>0</v>
      </c>
      <c r="AT195" s="45"/>
      <c r="AU195" s="35">
        <v>0</v>
      </c>
      <c r="AV195" s="35"/>
      <c r="AW195" s="35">
        <v>0</v>
      </c>
      <c r="AX195" s="35"/>
      <c r="AY195" s="35">
        <f t="shared" si="42"/>
        <v>0</v>
      </c>
      <c r="AZ195" s="35"/>
      <c r="BA195" s="35" t="s">
        <v>233</v>
      </c>
      <c r="BB195" s="55"/>
      <c r="BC195" s="35" t="s">
        <v>111</v>
      </c>
      <c r="BD195" s="35"/>
      <c r="BE195" s="35">
        <v>0</v>
      </c>
      <c r="BF195" s="35"/>
      <c r="BG195" s="35">
        <v>0</v>
      </c>
      <c r="BH195" s="35"/>
      <c r="BI195" s="35">
        <v>0</v>
      </c>
      <c r="BJ195" s="35"/>
      <c r="BK195" s="35">
        <v>0</v>
      </c>
      <c r="BL195" s="35"/>
      <c r="BM195" s="35">
        <f t="shared" si="43"/>
        <v>0</v>
      </c>
      <c r="BN195" s="54" t="s">
        <v>347</v>
      </c>
      <c r="BO195" s="35"/>
      <c r="BP195" s="35"/>
      <c r="BQ195" s="35"/>
      <c r="BR195" s="35"/>
      <c r="BS195" s="35"/>
      <c r="BT195" s="35"/>
      <c r="BU195" s="35"/>
      <c r="BV195" s="35"/>
    </row>
    <row r="196" spans="1:74" ht="12.75" hidden="1" customHeight="1">
      <c r="A196" s="35" t="s">
        <v>234</v>
      </c>
      <c r="C196" s="35" t="s">
        <v>45</v>
      </c>
      <c r="D196" s="35"/>
      <c r="E196" s="35">
        <f t="shared" si="34"/>
        <v>0</v>
      </c>
      <c r="F196" s="35"/>
      <c r="G196" s="35">
        <v>0</v>
      </c>
      <c r="H196" s="35"/>
      <c r="I196" s="35">
        <v>0</v>
      </c>
      <c r="J196" s="35"/>
      <c r="K196" s="35">
        <f t="shared" si="35"/>
        <v>0</v>
      </c>
      <c r="L196" s="35"/>
      <c r="M196" s="35">
        <v>0</v>
      </c>
      <c r="N196" s="35"/>
      <c r="O196" s="35">
        <v>0</v>
      </c>
      <c r="P196" s="35"/>
      <c r="Q196" s="35">
        <v>0</v>
      </c>
      <c r="R196" s="35"/>
      <c r="S196" s="35">
        <v>0</v>
      </c>
      <c r="T196" s="35"/>
      <c r="U196" s="35">
        <v>0</v>
      </c>
      <c r="V196" s="35"/>
      <c r="W196" s="35">
        <f t="shared" si="40"/>
        <v>0</v>
      </c>
      <c r="X196" s="35"/>
      <c r="Y196" s="35" t="s">
        <v>234</v>
      </c>
      <c r="Z196" s="55"/>
      <c r="AA196" s="35" t="s">
        <v>45</v>
      </c>
      <c r="AB196" s="35"/>
      <c r="AC196" s="35">
        <v>0</v>
      </c>
      <c r="AD196" s="35"/>
      <c r="AE196" s="35">
        <v>0</v>
      </c>
      <c r="AF196" s="35"/>
      <c r="AG196" s="35">
        <v>0</v>
      </c>
      <c r="AH196" s="35"/>
      <c r="AI196" s="45">
        <f t="shared" si="44"/>
        <v>0</v>
      </c>
      <c r="AJ196" s="45"/>
      <c r="AK196" s="35">
        <v>0</v>
      </c>
      <c r="AL196" s="35"/>
      <c r="AM196" s="35">
        <v>0</v>
      </c>
      <c r="AN196" s="35"/>
      <c r="AO196" s="35">
        <v>0</v>
      </c>
      <c r="AP196" s="35"/>
      <c r="AQ196" s="35">
        <v>0</v>
      </c>
      <c r="AR196" s="35"/>
      <c r="AS196" s="45">
        <f t="shared" si="41"/>
        <v>0</v>
      </c>
      <c r="AT196" s="45"/>
      <c r="AU196" s="35">
        <v>0</v>
      </c>
      <c r="AV196" s="35"/>
      <c r="AW196" s="35">
        <v>0</v>
      </c>
      <c r="AX196" s="35"/>
      <c r="AY196" s="35">
        <f t="shared" si="42"/>
        <v>0</v>
      </c>
      <c r="AZ196" s="35"/>
      <c r="BA196" s="35" t="s">
        <v>234</v>
      </c>
      <c r="BB196" s="55"/>
      <c r="BC196" s="35" t="s">
        <v>45</v>
      </c>
      <c r="BD196" s="35"/>
      <c r="BE196" s="35">
        <v>0</v>
      </c>
      <c r="BF196" s="35"/>
      <c r="BG196" s="35">
        <v>0</v>
      </c>
      <c r="BH196" s="35"/>
      <c r="BI196" s="35">
        <v>0</v>
      </c>
      <c r="BJ196" s="35"/>
      <c r="BK196" s="35">
        <v>0</v>
      </c>
      <c r="BL196" s="35"/>
      <c r="BM196" s="35">
        <f t="shared" si="43"/>
        <v>0</v>
      </c>
      <c r="BN196" s="54" t="s">
        <v>347</v>
      </c>
      <c r="BO196" s="35" t="s">
        <v>371</v>
      </c>
      <c r="BP196" s="35"/>
      <c r="BQ196" s="35"/>
      <c r="BR196" s="35"/>
      <c r="BS196" s="35"/>
      <c r="BT196" s="35"/>
      <c r="BU196" s="35"/>
      <c r="BV196" s="35"/>
    </row>
    <row r="197" spans="1:74" ht="12.75" hidden="1" customHeight="1">
      <c r="A197" s="35" t="s">
        <v>235</v>
      </c>
      <c r="C197" s="35" t="s">
        <v>183</v>
      </c>
      <c r="D197" s="35"/>
      <c r="E197" s="35">
        <f t="shared" si="34"/>
        <v>0</v>
      </c>
      <c r="F197" s="35"/>
      <c r="G197" s="35">
        <v>0</v>
      </c>
      <c r="H197" s="35"/>
      <c r="I197" s="35">
        <v>0</v>
      </c>
      <c r="J197" s="35"/>
      <c r="K197" s="35">
        <f t="shared" si="35"/>
        <v>0</v>
      </c>
      <c r="L197" s="35"/>
      <c r="M197" s="35">
        <v>0</v>
      </c>
      <c r="N197" s="35"/>
      <c r="O197" s="35">
        <v>0</v>
      </c>
      <c r="P197" s="35"/>
      <c r="Q197" s="35">
        <v>0</v>
      </c>
      <c r="R197" s="35"/>
      <c r="S197" s="35">
        <v>0</v>
      </c>
      <c r="T197" s="35"/>
      <c r="U197" s="35">
        <v>0</v>
      </c>
      <c r="V197" s="35"/>
      <c r="W197" s="35">
        <f t="shared" si="40"/>
        <v>0</v>
      </c>
      <c r="X197" s="35"/>
      <c r="Y197" s="35" t="s">
        <v>235</v>
      </c>
      <c r="Z197" s="55"/>
      <c r="AA197" s="35" t="s">
        <v>183</v>
      </c>
      <c r="AB197" s="35"/>
      <c r="AC197" s="35">
        <v>0</v>
      </c>
      <c r="AD197" s="35"/>
      <c r="AE197" s="35">
        <v>0</v>
      </c>
      <c r="AF197" s="35"/>
      <c r="AG197" s="35">
        <v>0</v>
      </c>
      <c r="AH197" s="35"/>
      <c r="AI197" s="45">
        <f t="shared" si="44"/>
        <v>0</v>
      </c>
      <c r="AJ197" s="45"/>
      <c r="AK197" s="35">
        <v>0</v>
      </c>
      <c r="AL197" s="35"/>
      <c r="AM197" s="35">
        <v>0</v>
      </c>
      <c r="AN197" s="35"/>
      <c r="AO197" s="35">
        <v>0</v>
      </c>
      <c r="AP197" s="35"/>
      <c r="AQ197" s="35">
        <v>0</v>
      </c>
      <c r="AR197" s="35"/>
      <c r="AS197" s="45">
        <f t="shared" si="41"/>
        <v>0</v>
      </c>
      <c r="AT197" s="45"/>
      <c r="AU197" s="35">
        <v>0</v>
      </c>
      <c r="AV197" s="35"/>
      <c r="AW197" s="35">
        <v>0</v>
      </c>
      <c r="AX197" s="35"/>
      <c r="AY197" s="35">
        <f t="shared" si="42"/>
        <v>0</v>
      </c>
      <c r="AZ197" s="35"/>
      <c r="BA197" s="35" t="s">
        <v>235</v>
      </c>
      <c r="BB197" s="55"/>
      <c r="BC197" s="35" t="s">
        <v>183</v>
      </c>
      <c r="BD197" s="35"/>
      <c r="BE197" s="35">
        <v>0</v>
      </c>
      <c r="BF197" s="35"/>
      <c r="BG197" s="35">
        <v>0</v>
      </c>
      <c r="BH197" s="35"/>
      <c r="BI197" s="35">
        <v>0</v>
      </c>
      <c r="BJ197" s="35"/>
      <c r="BK197" s="35">
        <v>0</v>
      </c>
      <c r="BL197" s="35"/>
      <c r="BM197" s="35">
        <f t="shared" si="43"/>
        <v>0</v>
      </c>
      <c r="BN197" s="54" t="s">
        <v>347</v>
      </c>
      <c r="BO197" s="35"/>
      <c r="BP197" s="35"/>
    </row>
    <row r="198" spans="1:74" ht="12.75" hidden="1" customHeight="1">
      <c r="A198" s="35" t="s">
        <v>236</v>
      </c>
      <c r="C198" s="35" t="s">
        <v>45</v>
      </c>
      <c r="D198" s="35"/>
      <c r="E198" s="35">
        <f t="shared" si="34"/>
        <v>0</v>
      </c>
      <c r="F198" s="35"/>
      <c r="G198" s="35">
        <v>0</v>
      </c>
      <c r="H198" s="35"/>
      <c r="I198" s="35">
        <v>0</v>
      </c>
      <c r="J198" s="35"/>
      <c r="K198" s="35">
        <f t="shared" si="35"/>
        <v>0</v>
      </c>
      <c r="L198" s="35"/>
      <c r="M198" s="35">
        <v>0</v>
      </c>
      <c r="N198" s="35"/>
      <c r="O198" s="35">
        <v>0</v>
      </c>
      <c r="P198" s="35"/>
      <c r="Q198" s="35">
        <v>0</v>
      </c>
      <c r="R198" s="35"/>
      <c r="S198" s="35">
        <v>0</v>
      </c>
      <c r="T198" s="35"/>
      <c r="U198" s="35">
        <v>0</v>
      </c>
      <c r="V198" s="35"/>
      <c r="W198" s="35">
        <f t="shared" si="40"/>
        <v>0</v>
      </c>
      <c r="X198" s="35"/>
      <c r="Y198" s="35" t="s">
        <v>236</v>
      </c>
      <c r="Z198" s="55"/>
      <c r="AA198" s="35" t="s">
        <v>45</v>
      </c>
      <c r="AB198" s="35"/>
      <c r="AC198" s="35">
        <v>0</v>
      </c>
      <c r="AD198" s="35"/>
      <c r="AE198" s="35">
        <v>0</v>
      </c>
      <c r="AF198" s="35"/>
      <c r="AG198" s="35">
        <v>0</v>
      </c>
      <c r="AH198" s="35"/>
      <c r="AI198" s="45">
        <f t="shared" si="44"/>
        <v>0</v>
      </c>
      <c r="AJ198" s="45"/>
      <c r="AK198" s="35">
        <v>0</v>
      </c>
      <c r="AL198" s="35"/>
      <c r="AM198" s="35">
        <v>0</v>
      </c>
      <c r="AN198" s="35"/>
      <c r="AO198" s="35">
        <v>0</v>
      </c>
      <c r="AP198" s="35"/>
      <c r="AQ198" s="35">
        <v>0</v>
      </c>
      <c r="AR198" s="35"/>
      <c r="AS198" s="45">
        <f t="shared" si="41"/>
        <v>0</v>
      </c>
      <c r="AT198" s="45"/>
      <c r="AU198" s="35">
        <v>0</v>
      </c>
      <c r="AV198" s="35"/>
      <c r="AW198" s="35">
        <v>0</v>
      </c>
      <c r="AX198" s="35"/>
      <c r="AY198" s="35">
        <f t="shared" si="42"/>
        <v>0</v>
      </c>
      <c r="AZ198" s="35"/>
      <c r="BA198" s="35" t="s">
        <v>236</v>
      </c>
      <c r="BB198" s="55"/>
      <c r="BC198" s="35" t="s">
        <v>45</v>
      </c>
      <c r="BD198" s="35"/>
      <c r="BE198" s="35">
        <v>0</v>
      </c>
      <c r="BF198" s="35"/>
      <c r="BG198" s="35">
        <v>0</v>
      </c>
      <c r="BH198" s="35"/>
      <c r="BI198" s="35">
        <v>0</v>
      </c>
      <c r="BJ198" s="35"/>
      <c r="BK198" s="35">
        <v>0</v>
      </c>
      <c r="BL198" s="35"/>
      <c r="BM198" s="35">
        <f t="shared" si="43"/>
        <v>0</v>
      </c>
      <c r="BN198" s="54" t="s">
        <v>347</v>
      </c>
    </row>
    <row r="199" spans="1:74" ht="12.75" customHeight="1">
      <c r="A199" s="35" t="s">
        <v>237</v>
      </c>
      <c r="C199" s="35" t="s">
        <v>33</v>
      </c>
      <c r="D199" s="35"/>
      <c r="E199" s="35">
        <f t="shared" si="34"/>
        <v>7959800</v>
      </c>
      <c r="F199" s="35"/>
      <c r="G199" s="35">
        <v>8361614</v>
      </c>
      <c r="H199" s="35"/>
      <c r="I199" s="35">
        <v>16321414</v>
      </c>
      <c r="J199" s="35"/>
      <c r="K199" s="35">
        <f t="shared" si="35"/>
        <v>923583</v>
      </c>
      <c r="L199" s="35"/>
      <c r="M199" s="35">
        <v>6027324</v>
      </c>
      <c r="N199" s="35"/>
      <c r="O199" s="35">
        <v>6950907</v>
      </c>
      <c r="P199" s="35"/>
      <c r="Q199" s="35">
        <v>944736</v>
      </c>
      <c r="R199" s="35"/>
      <c r="S199" s="35">
        <v>0</v>
      </c>
      <c r="T199" s="35"/>
      <c r="U199" s="35">
        <v>2424939</v>
      </c>
      <c r="V199" s="35"/>
      <c r="W199" s="35">
        <f t="shared" si="40"/>
        <v>3369675</v>
      </c>
      <c r="X199" s="35"/>
      <c r="Y199" s="35" t="s">
        <v>237</v>
      </c>
      <c r="Z199" s="55"/>
      <c r="AA199" s="35" t="s">
        <v>33</v>
      </c>
      <c r="AB199" s="35"/>
      <c r="AC199" s="35">
        <v>4857537</v>
      </c>
      <c r="AD199" s="35"/>
      <c r="AE199" s="35">
        <v>4590467</v>
      </c>
      <c r="AF199" s="35"/>
      <c r="AG199" s="35">
        <v>112982</v>
      </c>
      <c r="AH199" s="35"/>
      <c r="AI199" s="45">
        <f t="shared" si="44"/>
        <v>154088</v>
      </c>
      <c r="AJ199" s="45"/>
      <c r="AK199" s="35">
        <v>-197035</v>
      </c>
      <c r="AL199" s="35"/>
      <c r="AM199" s="35">
        <v>0</v>
      </c>
      <c r="AN199" s="35"/>
      <c r="AO199" s="35">
        <v>0</v>
      </c>
      <c r="AP199" s="35"/>
      <c r="AQ199" s="35">
        <v>0</v>
      </c>
      <c r="AR199" s="35"/>
      <c r="AS199" s="45">
        <f t="shared" si="41"/>
        <v>-42947</v>
      </c>
      <c r="AT199" s="45"/>
      <c r="AU199" s="35">
        <v>0</v>
      </c>
      <c r="AV199" s="35"/>
      <c r="AW199" s="35">
        <v>0</v>
      </c>
      <c r="AX199" s="35"/>
      <c r="AY199" s="35">
        <f t="shared" si="42"/>
        <v>7036217</v>
      </c>
      <c r="AZ199" s="35"/>
      <c r="BA199" s="35" t="s">
        <v>237</v>
      </c>
      <c r="BB199" s="55"/>
      <c r="BC199" s="35" t="s">
        <v>33</v>
      </c>
      <c r="BD199" s="35"/>
      <c r="BE199" s="35">
        <v>6018952</v>
      </c>
      <c r="BF199" s="35"/>
      <c r="BG199" s="35">
        <v>0</v>
      </c>
      <c r="BH199" s="35"/>
      <c r="BI199" s="35">
        <v>0</v>
      </c>
      <c r="BJ199" s="35"/>
      <c r="BK199" s="35">
        <v>8372</v>
      </c>
      <c r="BL199" s="35"/>
      <c r="BM199" s="35">
        <f t="shared" si="43"/>
        <v>6027324</v>
      </c>
      <c r="BN199" s="54" t="s">
        <v>347</v>
      </c>
    </row>
    <row r="200" spans="1:74" ht="12.75" customHeight="1">
      <c r="A200" s="64" t="s">
        <v>238</v>
      </c>
      <c r="B200" s="90"/>
      <c r="C200" s="64" t="s">
        <v>239</v>
      </c>
      <c r="D200" s="64"/>
      <c r="E200" s="35">
        <f t="shared" si="34"/>
        <v>9040487</v>
      </c>
      <c r="F200" s="35"/>
      <c r="G200" s="35">
        <v>8557552</v>
      </c>
      <c r="H200" s="35"/>
      <c r="I200" s="35">
        <v>17598039</v>
      </c>
      <c r="J200" s="35"/>
      <c r="K200" s="35">
        <f t="shared" si="35"/>
        <v>2790143</v>
      </c>
      <c r="L200" s="35"/>
      <c r="M200" s="35">
        <v>1635798</v>
      </c>
      <c r="N200" s="35"/>
      <c r="O200" s="35">
        <v>4425941</v>
      </c>
      <c r="P200" s="35"/>
      <c r="Q200" s="35">
        <v>4113418</v>
      </c>
      <c r="R200" s="35"/>
      <c r="S200" s="35">
        <v>0</v>
      </c>
      <c r="T200" s="35"/>
      <c r="U200" s="35">
        <v>9058680</v>
      </c>
      <c r="V200" s="35"/>
      <c r="W200" s="35">
        <f t="shared" si="40"/>
        <v>13172098</v>
      </c>
      <c r="X200" s="64"/>
      <c r="Y200" s="64" t="s">
        <v>238</v>
      </c>
      <c r="Z200" s="90"/>
      <c r="AA200" s="64" t="s">
        <v>239</v>
      </c>
      <c r="AB200" s="64"/>
      <c r="AC200" s="35">
        <v>12894352</v>
      </c>
      <c r="AD200" s="35"/>
      <c r="AE200" s="35">
        <v>12210925</v>
      </c>
      <c r="AF200" s="35"/>
      <c r="AG200" s="35">
        <v>565584</v>
      </c>
      <c r="AH200" s="35"/>
      <c r="AI200" s="45">
        <f t="shared" si="44"/>
        <v>117843</v>
      </c>
      <c r="AJ200" s="45"/>
      <c r="AK200" s="35">
        <v>23591</v>
      </c>
      <c r="AL200" s="35"/>
      <c r="AM200" s="35">
        <v>816208</v>
      </c>
      <c r="AN200" s="35"/>
      <c r="AO200" s="35">
        <v>0</v>
      </c>
      <c r="AP200" s="35"/>
      <c r="AQ200" s="35">
        <v>0</v>
      </c>
      <c r="AR200" s="35"/>
      <c r="AS200" s="45">
        <f>+AI200+AK200+AM200-AO200+AQ200</f>
        <v>957642</v>
      </c>
      <c r="AT200" s="45"/>
      <c r="AU200" s="35">
        <v>0</v>
      </c>
      <c r="AV200" s="35"/>
      <c r="AW200" s="35">
        <v>0</v>
      </c>
      <c r="AX200" s="35"/>
      <c r="AY200" s="35">
        <f t="shared" si="42"/>
        <v>6250344</v>
      </c>
      <c r="AZ200" s="35"/>
      <c r="BA200" s="64" t="s">
        <v>238</v>
      </c>
      <c r="BB200" s="90"/>
      <c r="BC200" s="64" t="s">
        <v>239</v>
      </c>
      <c r="BD200" s="64"/>
      <c r="BE200" s="35">
        <v>1438441</v>
      </c>
      <c r="BF200" s="35"/>
      <c r="BG200" s="35">
        <v>0</v>
      </c>
      <c r="BH200" s="35"/>
      <c r="BI200" s="35">
        <v>0</v>
      </c>
      <c r="BJ200" s="35"/>
      <c r="BK200" s="35">
        <v>197357</v>
      </c>
      <c r="BL200" s="35"/>
      <c r="BM200" s="35">
        <f t="shared" si="43"/>
        <v>1635798</v>
      </c>
      <c r="BN200" s="54" t="s">
        <v>347</v>
      </c>
    </row>
    <row r="201" spans="1:74" ht="12.75" hidden="1" customHeight="1">
      <c r="A201" s="35" t="s">
        <v>487</v>
      </c>
      <c r="B201" s="55"/>
      <c r="C201" s="35" t="s">
        <v>249</v>
      </c>
      <c r="D201" s="35"/>
      <c r="E201" s="35">
        <f t="shared" si="34"/>
        <v>0</v>
      </c>
      <c r="F201" s="35"/>
      <c r="G201" s="35">
        <v>0</v>
      </c>
      <c r="H201" s="35"/>
      <c r="I201" s="35">
        <v>0</v>
      </c>
      <c r="J201" s="35"/>
      <c r="K201" s="35">
        <f t="shared" si="35"/>
        <v>0</v>
      </c>
      <c r="L201" s="35"/>
      <c r="M201" s="35">
        <v>0</v>
      </c>
      <c r="N201" s="35"/>
      <c r="O201" s="35">
        <v>0</v>
      </c>
      <c r="P201" s="35"/>
      <c r="Q201" s="35">
        <v>0</v>
      </c>
      <c r="R201" s="35"/>
      <c r="S201" s="35">
        <v>0</v>
      </c>
      <c r="T201" s="35"/>
      <c r="U201" s="35">
        <v>0</v>
      </c>
      <c r="V201" s="35"/>
      <c r="W201" s="35">
        <f t="shared" si="40"/>
        <v>0</v>
      </c>
      <c r="X201" s="35"/>
      <c r="Y201" s="35" t="s">
        <v>487</v>
      </c>
      <c r="Z201" s="55"/>
      <c r="AA201" s="35" t="s">
        <v>249</v>
      </c>
      <c r="AB201" s="35"/>
      <c r="AC201" s="35">
        <v>0</v>
      </c>
      <c r="AD201" s="35"/>
      <c r="AE201" s="35">
        <v>0</v>
      </c>
      <c r="AF201" s="35"/>
      <c r="AG201" s="35">
        <v>0</v>
      </c>
      <c r="AH201" s="35"/>
      <c r="AI201" s="45">
        <f t="shared" si="44"/>
        <v>0</v>
      </c>
      <c r="AJ201" s="45"/>
      <c r="AK201" s="35">
        <v>0</v>
      </c>
      <c r="AL201" s="35"/>
      <c r="AM201" s="35">
        <v>0</v>
      </c>
      <c r="AN201" s="35"/>
      <c r="AO201" s="35">
        <v>0</v>
      </c>
      <c r="AP201" s="35"/>
      <c r="AQ201" s="35">
        <v>0</v>
      </c>
      <c r="AR201" s="35"/>
      <c r="AS201" s="45">
        <f t="shared" si="41"/>
        <v>0</v>
      </c>
      <c r="AT201" s="45"/>
      <c r="AU201" s="35">
        <v>0</v>
      </c>
      <c r="AV201" s="35"/>
      <c r="AW201" s="35">
        <v>0</v>
      </c>
      <c r="AX201" s="35"/>
      <c r="AY201" s="35">
        <f t="shared" si="42"/>
        <v>0</v>
      </c>
      <c r="AZ201" s="35"/>
      <c r="BA201" s="35" t="s">
        <v>487</v>
      </c>
      <c r="BB201" s="55"/>
      <c r="BC201" s="35" t="s">
        <v>249</v>
      </c>
      <c r="BD201" s="35"/>
      <c r="BE201" s="35">
        <v>0</v>
      </c>
      <c r="BF201" s="35"/>
      <c r="BG201" s="35">
        <v>0</v>
      </c>
      <c r="BH201" s="35"/>
      <c r="BI201" s="35">
        <v>0</v>
      </c>
      <c r="BJ201" s="35"/>
      <c r="BK201" s="35">
        <v>0</v>
      </c>
      <c r="BL201" s="35"/>
      <c r="BM201" s="35">
        <f t="shared" si="43"/>
        <v>0</v>
      </c>
      <c r="BN201" s="54"/>
    </row>
    <row r="202" spans="1:74" ht="12.75" hidden="1" customHeight="1">
      <c r="A202" s="35" t="s">
        <v>240</v>
      </c>
      <c r="C202" s="35" t="s">
        <v>13</v>
      </c>
      <c r="D202" s="35"/>
      <c r="E202" s="35">
        <f t="shared" si="34"/>
        <v>0</v>
      </c>
      <c r="F202" s="35"/>
      <c r="G202" s="35">
        <v>0</v>
      </c>
      <c r="H202" s="35"/>
      <c r="I202" s="35">
        <v>0</v>
      </c>
      <c r="J202" s="35"/>
      <c r="K202" s="35">
        <f t="shared" si="35"/>
        <v>0</v>
      </c>
      <c r="L202" s="35"/>
      <c r="M202" s="35">
        <v>0</v>
      </c>
      <c r="N202" s="35"/>
      <c r="O202" s="35">
        <v>0</v>
      </c>
      <c r="P202" s="35"/>
      <c r="Q202" s="35">
        <v>0</v>
      </c>
      <c r="R202" s="35"/>
      <c r="S202" s="35">
        <v>0</v>
      </c>
      <c r="T202" s="35"/>
      <c r="U202" s="35">
        <v>0</v>
      </c>
      <c r="V202" s="35"/>
      <c r="W202" s="35">
        <f t="shared" si="40"/>
        <v>0</v>
      </c>
      <c r="X202" s="35"/>
      <c r="Y202" s="35" t="s">
        <v>240</v>
      </c>
      <c r="Z202" s="55"/>
      <c r="AA202" s="35" t="s">
        <v>13</v>
      </c>
      <c r="AB202" s="35"/>
      <c r="AC202" s="35">
        <v>0</v>
      </c>
      <c r="AD202" s="35"/>
      <c r="AE202" s="35">
        <v>0</v>
      </c>
      <c r="AF202" s="35"/>
      <c r="AG202" s="35">
        <v>0</v>
      </c>
      <c r="AH202" s="35"/>
      <c r="AI202" s="45">
        <f t="shared" si="44"/>
        <v>0</v>
      </c>
      <c r="AJ202" s="45"/>
      <c r="AK202" s="35">
        <v>0</v>
      </c>
      <c r="AL202" s="35"/>
      <c r="AM202" s="35">
        <v>0</v>
      </c>
      <c r="AN202" s="35"/>
      <c r="AO202" s="35">
        <v>0</v>
      </c>
      <c r="AP202" s="35"/>
      <c r="AQ202" s="35">
        <v>0</v>
      </c>
      <c r="AR202" s="35"/>
      <c r="AS202" s="45">
        <f t="shared" si="41"/>
        <v>0</v>
      </c>
      <c r="AT202" s="45"/>
      <c r="AU202" s="35">
        <v>0</v>
      </c>
      <c r="AV202" s="35"/>
      <c r="AW202" s="35">
        <v>0</v>
      </c>
      <c r="AX202" s="35"/>
      <c r="AY202" s="35">
        <f t="shared" si="42"/>
        <v>0</v>
      </c>
      <c r="AZ202" s="35"/>
      <c r="BA202" s="35" t="s">
        <v>240</v>
      </c>
      <c r="BB202" s="55"/>
      <c r="BC202" s="35" t="s">
        <v>13</v>
      </c>
      <c r="BD202" s="35"/>
      <c r="BE202" s="35">
        <v>0</v>
      </c>
      <c r="BF202" s="35"/>
      <c r="BG202" s="35">
        <v>0</v>
      </c>
      <c r="BH202" s="35"/>
      <c r="BI202" s="35">
        <v>0</v>
      </c>
      <c r="BJ202" s="35"/>
      <c r="BK202" s="35">
        <v>0</v>
      </c>
      <c r="BL202" s="35"/>
      <c r="BM202" s="35">
        <f t="shared" si="43"/>
        <v>0</v>
      </c>
      <c r="BN202" s="54" t="s">
        <v>347</v>
      </c>
      <c r="BO202" s="35" t="s">
        <v>371</v>
      </c>
      <c r="BP202" s="35"/>
    </row>
    <row r="203" spans="1:74" ht="12.75" hidden="1" customHeight="1">
      <c r="A203" s="35" t="s">
        <v>241</v>
      </c>
      <c r="C203" s="35" t="s">
        <v>22</v>
      </c>
      <c r="D203" s="35"/>
      <c r="E203" s="35">
        <f t="shared" si="34"/>
        <v>0</v>
      </c>
      <c r="F203" s="35"/>
      <c r="G203" s="35">
        <v>0</v>
      </c>
      <c r="H203" s="35"/>
      <c r="I203" s="35">
        <v>0</v>
      </c>
      <c r="J203" s="35"/>
      <c r="K203" s="35">
        <f t="shared" si="35"/>
        <v>0</v>
      </c>
      <c r="L203" s="35"/>
      <c r="M203" s="35">
        <v>0</v>
      </c>
      <c r="N203" s="35"/>
      <c r="O203" s="35">
        <v>0</v>
      </c>
      <c r="P203" s="35"/>
      <c r="Q203" s="35">
        <v>0</v>
      </c>
      <c r="R203" s="35"/>
      <c r="S203" s="35">
        <v>0</v>
      </c>
      <c r="T203" s="35"/>
      <c r="U203" s="35">
        <v>0</v>
      </c>
      <c r="V203" s="35"/>
      <c r="W203" s="35">
        <f t="shared" ref="W203:W214" si="45">SUM(Q203:U203)</f>
        <v>0</v>
      </c>
      <c r="X203" s="35"/>
      <c r="Y203" s="35" t="s">
        <v>241</v>
      </c>
      <c r="Z203" s="55"/>
      <c r="AA203" s="35" t="s">
        <v>22</v>
      </c>
      <c r="AB203" s="35"/>
      <c r="AC203" s="35">
        <v>0</v>
      </c>
      <c r="AD203" s="35"/>
      <c r="AE203" s="35">
        <v>0</v>
      </c>
      <c r="AF203" s="35"/>
      <c r="AG203" s="35">
        <v>0</v>
      </c>
      <c r="AH203" s="35"/>
      <c r="AI203" s="45">
        <f t="shared" si="44"/>
        <v>0</v>
      </c>
      <c r="AJ203" s="45"/>
      <c r="AK203" s="35">
        <v>0</v>
      </c>
      <c r="AL203" s="35"/>
      <c r="AM203" s="35">
        <v>0</v>
      </c>
      <c r="AN203" s="35"/>
      <c r="AO203" s="35">
        <v>0</v>
      </c>
      <c r="AP203" s="35"/>
      <c r="AQ203" s="35">
        <v>0</v>
      </c>
      <c r="AR203" s="35"/>
      <c r="AS203" s="45">
        <f t="shared" si="41"/>
        <v>0</v>
      </c>
      <c r="AT203" s="45"/>
      <c r="AU203" s="35">
        <v>0</v>
      </c>
      <c r="AV203" s="35"/>
      <c r="AW203" s="35">
        <v>0</v>
      </c>
      <c r="AX203" s="35"/>
      <c r="AY203" s="35">
        <f t="shared" si="42"/>
        <v>0</v>
      </c>
      <c r="AZ203" s="35"/>
      <c r="BA203" s="35" t="s">
        <v>241</v>
      </c>
      <c r="BB203" s="55"/>
      <c r="BC203" s="35" t="s">
        <v>22</v>
      </c>
      <c r="BD203" s="35"/>
      <c r="BE203" s="35">
        <v>0</v>
      </c>
      <c r="BF203" s="35"/>
      <c r="BG203" s="35">
        <v>0</v>
      </c>
      <c r="BH203" s="35"/>
      <c r="BI203" s="35">
        <v>0</v>
      </c>
      <c r="BJ203" s="35"/>
      <c r="BK203" s="35">
        <v>0</v>
      </c>
      <c r="BL203" s="35"/>
      <c r="BM203" s="35">
        <f t="shared" si="43"/>
        <v>0</v>
      </c>
      <c r="BN203" s="54" t="s">
        <v>347</v>
      </c>
    </row>
    <row r="204" spans="1:74" ht="12.75" hidden="1" customHeight="1">
      <c r="A204" s="35" t="s">
        <v>242</v>
      </c>
      <c r="C204" s="35" t="s">
        <v>27</v>
      </c>
      <c r="D204" s="35"/>
      <c r="E204" s="35">
        <f t="shared" ref="E204:E247" si="46">I204-G204</f>
        <v>0</v>
      </c>
      <c r="F204" s="35"/>
      <c r="G204" s="35">
        <v>0</v>
      </c>
      <c r="H204" s="35"/>
      <c r="I204" s="35">
        <v>0</v>
      </c>
      <c r="J204" s="35"/>
      <c r="K204" s="35">
        <f t="shared" ref="K204:K247" si="47">O204-M204</f>
        <v>0</v>
      </c>
      <c r="L204" s="35"/>
      <c r="M204" s="35">
        <v>0</v>
      </c>
      <c r="N204" s="35"/>
      <c r="O204" s="35">
        <v>0</v>
      </c>
      <c r="P204" s="35"/>
      <c r="Q204" s="35">
        <v>0</v>
      </c>
      <c r="R204" s="35"/>
      <c r="S204" s="35">
        <v>0</v>
      </c>
      <c r="T204" s="35"/>
      <c r="U204" s="35">
        <v>0</v>
      </c>
      <c r="V204" s="35"/>
      <c r="W204" s="35">
        <f t="shared" si="45"/>
        <v>0</v>
      </c>
      <c r="X204" s="35"/>
      <c r="Y204" s="35" t="s">
        <v>242</v>
      </c>
      <c r="Z204" s="55"/>
      <c r="AA204" s="35" t="s">
        <v>27</v>
      </c>
      <c r="AB204" s="35"/>
      <c r="AC204" s="35">
        <v>0</v>
      </c>
      <c r="AD204" s="35"/>
      <c r="AE204" s="35">
        <v>0</v>
      </c>
      <c r="AF204" s="35"/>
      <c r="AG204" s="35">
        <v>0</v>
      </c>
      <c r="AH204" s="35"/>
      <c r="AI204" s="45">
        <v>0</v>
      </c>
      <c r="AJ204" s="45"/>
      <c r="AK204" s="35">
        <v>0</v>
      </c>
      <c r="AL204" s="35"/>
      <c r="AM204" s="35">
        <v>0</v>
      </c>
      <c r="AN204" s="35"/>
      <c r="AO204" s="35">
        <v>0</v>
      </c>
      <c r="AP204" s="35"/>
      <c r="AQ204" s="35">
        <v>0</v>
      </c>
      <c r="AR204" s="35"/>
      <c r="AS204" s="45">
        <f t="shared" si="41"/>
        <v>0</v>
      </c>
      <c r="AT204" s="45"/>
      <c r="AU204" s="35">
        <v>0</v>
      </c>
      <c r="AV204" s="35"/>
      <c r="AW204" s="35">
        <v>0</v>
      </c>
      <c r="AX204" s="35"/>
      <c r="AY204" s="35">
        <f t="shared" si="42"/>
        <v>0</v>
      </c>
      <c r="AZ204" s="35"/>
      <c r="BA204" s="35" t="s">
        <v>242</v>
      </c>
      <c r="BB204" s="55"/>
      <c r="BC204" s="35" t="s">
        <v>27</v>
      </c>
      <c r="BD204" s="35"/>
      <c r="BE204" s="35">
        <v>0</v>
      </c>
      <c r="BF204" s="35"/>
      <c r="BG204" s="35">
        <v>0</v>
      </c>
      <c r="BH204" s="35"/>
      <c r="BI204" s="35">
        <v>0</v>
      </c>
      <c r="BJ204" s="35"/>
      <c r="BK204" s="35">
        <v>0</v>
      </c>
      <c r="BL204" s="35"/>
      <c r="BM204" s="35">
        <f t="shared" si="43"/>
        <v>0</v>
      </c>
      <c r="BN204" s="54" t="s">
        <v>347</v>
      </c>
    </row>
    <row r="205" spans="1:74" ht="12.75" hidden="1" customHeight="1">
      <c r="A205" s="35" t="s">
        <v>243</v>
      </c>
      <c r="C205" s="35" t="s">
        <v>163</v>
      </c>
      <c r="D205" s="35"/>
      <c r="E205" s="35">
        <f t="shared" si="46"/>
        <v>0</v>
      </c>
      <c r="F205" s="35"/>
      <c r="G205" s="35">
        <v>0</v>
      </c>
      <c r="H205" s="35"/>
      <c r="I205" s="35">
        <v>0</v>
      </c>
      <c r="J205" s="35"/>
      <c r="K205" s="35">
        <f t="shared" si="47"/>
        <v>0</v>
      </c>
      <c r="L205" s="35"/>
      <c r="M205" s="35">
        <v>0</v>
      </c>
      <c r="N205" s="35"/>
      <c r="O205" s="35">
        <v>0</v>
      </c>
      <c r="P205" s="35"/>
      <c r="Q205" s="35">
        <v>0</v>
      </c>
      <c r="R205" s="35"/>
      <c r="S205" s="35">
        <v>0</v>
      </c>
      <c r="T205" s="35"/>
      <c r="U205" s="35">
        <v>0</v>
      </c>
      <c r="V205" s="35"/>
      <c r="W205" s="35">
        <f t="shared" si="45"/>
        <v>0</v>
      </c>
      <c r="X205" s="35"/>
      <c r="Y205" s="35" t="s">
        <v>243</v>
      </c>
      <c r="Z205" s="55"/>
      <c r="AA205" s="35" t="s">
        <v>163</v>
      </c>
      <c r="AB205" s="35"/>
      <c r="AC205" s="35">
        <v>0</v>
      </c>
      <c r="AD205" s="35"/>
      <c r="AE205" s="35">
        <v>0</v>
      </c>
      <c r="AF205" s="35"/>
      <c r="AG205" s="35">
        <v>0</v>
      </c>
      <c r="AH205" s="35"/>
      <c r="AI205" s="45">
        <f t="shared" ref="AI205:AI229" si="48">+AC205-AE205-AG205</f>
        <v>0</v>
      </c>
      <c r="AJ205" s="45"/>
      <c r="AK205" s="35">
        <v>0</v>
      </c>
      <c r="AL205" s="35"/>
      <c r="AM205" s="35">
        <v>0</v>
      </c>
      <c r="AN205" s="35"/>
      <c r="AO205" s="35">
        <v>0</v>
      </c>
      <c r="AP205" s="35"/>
      <c r="AQ205" s="35">
        <v>0</v>
      </c>
      <c r="AR205" s="35"/>
      <c r="AS205" s="45">
        <f t="shared" si="41"/>
        <v>0</v>
      </c>
      <c r="AT205" s="45"/>
      <c r="AU205" s="35">
        <v>0</v>
      </c>
      <c r="AV205" s="35"/>
      <c r="AW205" s="35">
        <v>0</v>
      </c>
      <c r="AX205" s="35"/>
      <c r="AY205" s="35">
        <f t="shared" si="42"/>
        <v>0</v>
      </c>
      <c r="AZ205" s="35"/>
      <c r="BA205" s="35" t="s">
        <v>243</v>
      </c>
      <c r="BB205" s="55"/>
      <c r="BC205" s="35" t="s">
        <v>163</v>
      </c>
      <c r="BD205" s="35"/>
      <c r="BE205" s="35">
        <v>0</v>
      </c>
      <c r="BF205" s="35"/>
      <c r="BG205" s="35">
        <v>0</v>
      </c>
      <c r="BH205" s="35"/>
      <c r="BI205" s="35">
        <v>0</v>
      </c>
      <c r="BJ205" s="35"/>
      <c r="BK205" s="35">
        <v>0</v>
      </c>
      <c r="BL205" s="35"/>
      <c r="BM205" s="35">
        <f t="shared" si="43"/>
        <v>0</v>
      </c>
      <c r="BN205" s="89" t="s">
        <v>347</v>
      </c>
    </row>
    <row r="206" spans="1:74" ht="12.75" hidden="1" customHeight="1">
      <c r="A206" s="35" t="s">
        <v>244</v>
      </c>
      <c r="C206" s="35" t="s">
        <v>13</v>
      </c>
      <c r="D206" s="35"/>
      <c r="E206" s="35">
        <f t="shared" si="46"/>
        <v>0</v>
      </c>
      <c r="F206" s="35"/>
      <c r="G206" s="35">
        <v>0</v>
      </c>
      <c r="H206" s="35"/>
      <c r="I206" s="35">
        <v>0</v>
      </c>
      <c r="J206" s="35"/>
      <c r="K206" s="35">
        <f t="shared" si="47"/>
        <v>0</v>
      </c>
      <c r="L206" s="35"/>
      <c r="M206" s="35">
        <v>0</v>
      </c>
      <c r="N206" s="35"/>
      <c r="O206" s="35">
        <v>0</v>
      </c>
      <c r="P206" s="35"/>
      <c r="Q206" s="35">
        <v>0</v>
      </c>
      <c r="R206" s="35"/>
      <c r="S206" s="35">
        <v>0</v>
      </c>
      <c r="T206" s="35"/>
      <c r="U206" s="35">
        <v>0</v>
      </c>
      <c r="V206" s="35"/>
      <c r="W206" s="35">
        <f t="shared" si="45"/>
        <v>0</v>
      </c>
      <c r="X206" s="35"/>
      <c r="Y206" s="35" t="s">
        <v>244</v>
      </c>
      <c r="Z206" s="55"/>
      <c r="AA206" s="35" t="s">
        <v>13</v>
      </c>
      <c r="AB206" s="35"/>
      <c r="AC206" s="35">
        <v>0</v>
      </c>
      <c r="AD206" s="35"/>
      <c r="AE206" s="35">
        <v>0</v>
      </c>
      <c r="AF206" s="35"/>
      <c r="AG206" s="35">
        <v>0</v>
      </c>
      <c r="AH206" s="35"/>
      <c r="AI206" s="45">
        <f t="shared" si="48"/>
        <v>0</v>
      </c>
      <c r="AJ206" s="45"/>
      <c r="AK206" s="35">
        <v>0</v>
      </c>
      <c r="AL206" s="35"/>
      <c r="AM206" s="35">
        <v>0</v>
      </c>
      <c r="AN206" s="35"/>
      <c r="AO206" s="35">
        <v>0</v>
      </c>
      <c r="AP206" s="35"/>
      <c r="AQ206" s="35">
        <v>0</v>
      </c>
      <c r="AR206" s="35"/>
      <c r="AS206" s="45">
        <f t="shared" ref="AS206:AS239" si="49">+AI206+AK206+AM206-AO206+AQ206</f>
        <v>0</v>
      </c>
      <c r="AT206" s="45"/>
      <c r="AU206" s="35">
        <v>0</v>
      </c>
      <c r="AV206" s="35"/>
      <c r="AW206" s="35">
        <v>0</v>
      </c>
      <c r="AX206" s="35"/>
      <c r="AY206" s="35">
        <f t="shared" ref="AY206:AY237" si="50">+E206-K206</f>
        <v>0</v>
      </c>
      <c r="AZ206" s="35"/>
      <c r="BA206" s="35" t="s">
        <v>244</v>
      </c>
      <c r="BB206" s="55"/>
      <c r="BC206" s="35" t="s">
        <v>13</v>
      </c>
      <c r="BD206" s="35"/>
      <c r="BE206" s="35">
        <v>0</v>
      </c>
      <c r="BF206" s="35"/>
      <c r="BG206" s="35">
        <v>0</v>
      </c>
      <c r="BH206" s="35"/>
      <c r="BI206" s="35">
        <v>0</v>
      </c>
      <c r="BJ206" s="35"/>
      <c r="BK206" s="35">
        <v>0</v>
      </c>
      <c r="BL206" s="35"/>
      <c r="BM206" s="35">
        <f t="shared" si="43"/>
        <v>0</v>
      </c>
      <c r="BN206" s="54" t="s">
        <v>347</v>
      </c>
    </row>
    <row r="207" spans="1:74" ht="12.75" hidden="1" customHeight="1">
      <c r="A207" s="35" t="s">
        <v>245</v>
      </c>
      <c r="C207" s="35" t="s">
        <v>110</v>
      </c>
      <c r="D207" s="35"/>
      <c r="E207" s="35">
        <f t="shared" si="46"/>
        <v>0</v>
      </c>
      <c r="F207" s="35"/>
      <c r="G207" s="35">
        <v>0</v>
      </c>
      <c r="H207" s="35"/>
      <c r="I207" s="35">
        <v>0</v>
      </c>
      <c r="J207" s="35"/>
      <c r="K207" s="35">
        <f t="shared" si="47"/>
        <v>0</v>
      </c>
      <c r="L207" s="35"/>
      <c r="M207" s="35">
        <v>0</v>
      </c>
      <c r="N207" s="35"/>
      <c r="O207" s="35">
        <v>0</v>
      </c>
      <c r="P207" s="35"/>
      <c r="Q207" s="35">
        <v>0</v>
      </c>
      <c r="R207" s="35"/>
      <c r="S207" s="35">
        <v>0</v>
      </c>
      <c r="T207" s="35"/>
      <c r="U207" s="35">
        <v>0</v>
      </c>
      <c r="V207" s="35"/>
      <c r="W207" s="35">
        <f t="shared" si="45"/>
        <v>0</v>
      </c>
      <c r="X207" s="35"/>
      <c r="Y207" s="35" t="s">
        <v>245</v>
      </c>
      <c r="Z207" s="55"/>
      <c r="AA207" s="35" t="s">
        <v>110</v>
      </c>
      <c r="AB207" s="35"/>
      <c r="AC207" s="35">
        <v>0</v>
      </c>
      <c r="AD207" s="35"/>
      <c r="AE207" s="35">
        <v>0</v>
      </c>
      <c r="AF207" s="35"/>
      <c r="AG207" s="35">
        <v>0</v>
      </c>
      <c r="AH207" s="35"/>
      <c r="AI207" s="45">
        <f t="shared" si="48"/>
        <v>0</v>
      </c>
      <c r="AJ207" s="45"/>
      <c r="AK207" s="35">
        <v>0</v>
      </c>
      <c r="AL207" s="35"/>
      <c r="AM207" s="35">
        <v>0</v>
      </c>
      <c r="AN207" s="35"/>
      <c r="AO207" s="35">
        <v>0</v>
      </c>
      <c r="AP207" s="35"/>
      <c r="AQ207" s="35">
        <v>0</v>
      </c>
      <c r="AR207" s="35"/>
      <c r="AS207" s="45">
        <f t="shared" si="49"/>
        <v>0</v>
      </c>
      <c r="AT207" s="45"/>
      <c r="AU207" s="35">
        <v>0</v>
      </c>
      <c r="AV207" s="35"/>
      <c r="AW207" s="35">
        <v>0</v>
      </c>
      <c r="AX207" s="35"/>
      <c r="AY207" s="35">
        <f t="shared" si="50"/>
        <v>0</v>
      </c>
      <c r="AZ207" s="35"/>
      <c r="BA207" s="35" t="s">
        <v>245</v>
      </c>
      <c r="BB207" s="55"/>
      <c r="BC207" s="35" t="s">
        <v>110</v>
      </c>
      <c r="BD207" s="35"/>
      <c r="BE207" s="35">
        <v>0</v>
      </c>
      <c r="BF207" s="35"/>
      <c r="BG207" s="35">
        <v>0</v>
      </c>
      <c r="BH207" s="35"/>
      <c r="BI207" s="35">
        <v>0</v>
      </c>
      <c r="BJ207" s="35"/>
      <c r="BK207" s="35">
        <v>0</v>
      </c>
      <c r="BL207" s="35"/>
      <c r="BM207" s="35">
        <f t="shared" si="43"/>
        <v>0</v>
      </c>
      <c r="BN207" s="54" t="s">
        <v>347</v>
      </c>
    </row>
    <row r="208" spans="1:74" ht="12.75" customHeight="1">
      <c r="A208" s="35" t="s">
        <v>246</v>
      </c>
      <c r="C208" s="35" t="s">
        <v>209</v>
      </c>
      <c r="D208" s="35"/>
      <c r="E208" s="35">
        <f t="shared" si="46"/>
        <v>4682459</v>
      </c>
      <c r="F208" s="35"/>
      <c r="G208" s="35">
        <v>8530048</v>
      </c>
      <c r="H208" s="35"/>
      <c r="I208" s="35">
        <v>13212507</v>
      </c>
      <c r="J208" s="35"/>
      <c r="K208" s="35">
        <f t="shared" si="47"/>
        <v>2523326</v>
      </c>
      <c r="L208" s="35"/>
      <c r="M208" s="35">
        <v>559599</v>
      </c>
      <c r="N208" s="35"/>
      <c r="O208" s="35">
        <v>3082925</v>
      </c>
      <c r="P208" s="35"/>
      <c r="Q208" s="35">
        <v>6612548</v>
      </c>
      <c r="R208" s="35"/>
      <c r="S208" s="35">
        <v>0</v>
      </c>
      <c r="T208" s="35"/>
      <c r="U208" s="35">
        <v>3517034</v>
      </c>
      <c r="V208" s="35"/>
      <c r="W208" s="35">
        <f t="shared" si="45"/>
        <v>10129582</v>
      </c>
      <c r="X208" s="35"/>
      <c r="Y208" s="35" t="s">
        <v>246</v>
      </c>
      <c r="Z208" s="55"/>
      <c r="AA208" s="35" t="s">
        <v>209</v>
      </c>
      <c r="AB208" s="35"/>
      <c r="AC208" s="35">
        <v>9288136</v>
      </c>
      <c r="AD208" s="35"/>
      <c r="AE208" s="35">
        <v>7875894</v>
      </c>
      <c r="AF208" s="35"/>
      <c r="AG208" s="35">
        <v>387666</v>
      </c>
      <c r="AH208" s="35"/>
      <c r="AI208" s="45">
        <f t="shared" si="48"/>
        <v>1024576</v>
      </c>
      <c r="AJ208" s="45"/>
      <c r="AK208" s="35">
        <v>-2910</v>
      </c>
      <c r="AL208" s="35"/>
      <c r="AM208" s="35">
        <v>0</v>
      </c>
      <c r="AN208" s="35"/>
      <c r="AO208" s="35">
        <v>465034</v>
      </c>
      <c r="AP208" s="35"/>
      <c r="AQ208" s="35">
        <v>67993</v>
      </c>
      <c r="AR208" s="35"/>
      <c r="AS208" s="45">
        <f t="shared" si="49"/>
        <v>624625</v>
      </c>
      <c r="AT208" s="45"/>
      <c r="AU208" s="35">
        <v>0</v>
      </c>
      <c r="AV208" s="35"/>
      <c r="AW208" s="35">
        <v>0</v>
      </c>
      <c r="AX208" s="35"/>
      <c r="AY208" s="35">
        <f t="shared" si="50"/>
        <v>2159133</v>
      </c>
      <c r="AZ208" s="35"/>
      <c r="BA208" s="35" t="s">
        <v>246</v>
      </c>
      <c r="BB208" s="55"/>
      <c r="BC208" s="35" t="s">
        <v>209</v>
      </c>
      <c r="BD208" s="35"/>
      <c r="BE208" s="35">
        <v>395000</v>
      </c>
      <c r="BF208" s="35"/>
      <c r="BG208" s="35">
        <v>0</v>
      </c>
      <c r="BH208" s="35"/>
      <c r="BI208" s="35">
        <v>0</v>
      </c>
      <c r="BJ208" s="35"/>
      <c r="BK208" s="35">
        <v>164599</v>
      </c>
      <c r="BL208" s="35"/>
      <c r="BM208" s="35">
        <f t="shared" si="43"/>
        <v>559599</v>
      </c>
      <c r="BN208" s="54" t="s">
        <v>347</v>
      </c>
      <c r="BO208" s="55" t="s">
        <v>315</v>
      </c>
    </row>
    <row r="209" spans="1:66" ht="12.75" hidden="1" customHeight="1">
      <c r="A209" s="35" t="s">
        <v>247</v>
      </c>
      <c r="B209" s="55"/>
      <c r="C209" s="35" t="s">
        <v>163</v>
      </c>
      <c r="D209" s="35"/>
      <c r="E209" s="35">
        <f t="shared" si="46"/>
        <v>0</v>
      </c>
      <c r="F209" s="35"/>
      <c r="G209" s="35">
        <v>0</v>
      </c>
      <c r="H209" s="35"/>
      <c r="I209" s="35">
        <v>0</v>
      </c>
      <c r="J209" s="35"/>
      <c r="K209" s="35">
        <f t="shared" si="47"/>
        <v>0</v>
      </c>
      <c r="L209" s="35"/>
      <c r="M209" s="35">
        <v>0</v>
      </c>
      <c r="N209" s="35"/>
      <c r="O209" s="35">
        <v>0</v>
      </c>
      <c r="P209" s="35"/>
      <c r="Q209" s="35">
        <v>0</v>
      </c>
      <c r="R209" s="35"/>
      <c r="S209" s="35">
        <v>0</v>
      </c>
      <c r="T209" s="35"/>
      <c r="U209" s="35">
        <v>0</v>
      </c>
      <c r="V209" s="35"/>
      <c r="W209" s="35">
        <f t="shared" si="45"/>
        <v>0</v>
      </c>
      <c r="X209" s="35"/>
      <c r="Y209" s="35" t="s">
        <v>247</v>
      </c>
      <c r="Z209" s="55"/>
      <c r="AA209" s="35" t="s">
        <v>163</v>
      </c>
      <c r="AB209" s="35"/>
      <c r="AC209" s="35">
        <v>0</v>
      </c>
      <c r="AD209" s="35"/>
      <c r="AE209" s="35">
        <v>0</v>
      </c>
      <c r="AF209" s="35"/>
      <c r="AG209" s="35">
        <v>0</v>
      </c>
      <c r="AH209" s="35"/>
      <c r="AI209" s="45">
        <f t="shared" si="48"/>
        <v>0</v>
      </c>
      <c r="AJ209" s="45"/>
      <c r="AK209" s="35">
        <v>0</v>
      </c>
      <c r="AL209" s="35"/>
      <c r="AM209" s="35">
        <v>0</v>
      </c>
      <c r="AN209" s="35"/>
      <c r="AO209" s="35">
        <v>0</v>
      </c>
      <c r="AP209" s="35"/>
      <c r="AQ209" s="35">
        <v>0</v>
      </c>
      <c r="AR209" s="35"/>
      <c r="AS209" s="45">
        <f t="shared" si="49"/>
        <v>0</v>
      </c>
      <c r="AT209" s="45"/>
      <c r="AU209" s="35">
        <v>0</v>
      </c>
      <c r="AV209" s="35"/>
      <c r="AW209" s="35">
        <v>0</v>
      </c>
      <c r="AX209" s="35"/>
      <c r="AY209" s="35">
        <f t="shared" si="50"/>
        <v>0</v>
      </c>
      <c r="AZ209" s="35"/>
      <c r="BA209" s="35" t="s">
        <v>247</v>
      </c>
      <c r="BB209" s="55"/>
      <c r="BC209" s="35" t="s">
        <v>163</v>
      </c>
      <c r="BD209" s="35"/>
      <c r="BE209" s="35">
        <v>0</v>
      </c>
      <c r="BF209" s="35"/>
      <c r="BG209" s="35">
        <v>0</v>
      </c>
      <c r="BH209" s="35"/>
      <c r="BI209" s="35">
        <v>0</v>
      </c>
      <c r="BJ209" s="35"/>
      <c r="BK209" s="35">
        <v>0</v>
      </c>
      <c r="BL209" s="35"/>
      <c r="BM209" s="35">
        <f t="shared" si="43"/>
        <v>0</v>
      </c>
      <c r="BN209" s="54" t="s">
        <v>347</v>
      </c>
    </row>
    <row r="210" spans="1:66" ht="12.75" hidden="1" customHeight="1">
      <c r="A210" s="35" t="s">
        <v>248</v>
      </c>
      <c r="B210" s="55"/>
      <c r="C210" s="35" t="s">
        <v>249</v>
      </c>
      <c r="D210" s="35"/>
      <c r="E210" s="35">
        <f t="shared" si="46"/>
        <v>0</v>
      </c>
      <c r="F210" s="35"/>
      <c r="G210" s="35">
        <v>0</v>
      </c>
      <c r="H210" s="35"/>
      <c r="I210" s="35">
        <v>0</v>
      </c>
      <c r="J210" s="35"/>
      <c r="K210" s="35">
        <f t="shared" si="47"/>
        <v>0</v>
      </c>
      <c r="L210" s="35"/>
      <c r="M210" s="35">
        <v>0</v>
      </c>
      <c r="N210" s="35"/>
      <c r="O210" s="35">
        <v>0</v>
      </c>
      <c r="P210" s="35"/>
      <c r="Q210" s="35">
        <v>0</v>
      </c>
      <c r="R210" s="35"/>
      <c r="S210" s="35">
        <v>0</v>
      </c>
      <c r="T210" s="35"/>
      <c r="U210" s="35">
        <v>0</v>
      </c>
      <c r="V210" s="35"/>
      <c r="W210" s="35">
        <f t="shared" si="45"/>
        <v>0</v>
      </c>
      <c r="X210" s="35"/>
      <c r="Y210" s="35" t="s">
        <v>248</v>
      </c>
      <c r="Z210" s="55"/>
      <c r="AA210" s="35" t="s">
        <v>249</v>
      </c>
      <c r="AB210" s="35"/>
      <c r="AC210" s="35">
        <v>0</v>
      </c>
      <c r="AD210" s="35"/>
      <c r="AE210" s="35">
        <v>0</v>
      </c>
      <c r="AF210" s="35"/>
      <c r="AG210" s="35">
        <v>0</v>
      </c>
      <c r="AH210" s="35"/>
      <c r="AI210" s="45">
        <f t="shared" si="48"/>
        <v>0</v>
      </c>
      <c r="AJ210" s="45"/>
      <c r="AK210" s="35">
        <v>0</v>
      </c>
      <c r="AL210" s="35"/>
      <c r="AM210" s="35">
        <v>0</v>
      </c>
      <c r="AN210" s="35"/>
      <c r="AO210" s="35">
        <v>0</v>
      </c>
      <c r="AP210" s="35"/>
      <c r="AQ210" s="35">
        <v>0</v>
      </c>
      <c r="AR210" s="35"/>
      <c r="AS210" s="45">
        <f t="shared" si="49"/>
        <v>0</v>
      </c>
      <c r="AT210" s="45"/>
      <c r="AU210" s="35">
        <v>0</v>
      </c>
      <c r="AV210" s="35"/>
      <c r="AW210" s="35">
        <v>0</v>
      </c>
      <c r="AX210" s="35"/>
      <c r="AY210" s="35">
        <f t="shared" si="50"/>
        <v>0</v>
      </c>
      <c r="AZ210" s="35"/>
      <c r="BA210" s="35" t="s">
        <v>248</v>
      </c>
      <c r="BB210" s="55"/>
      <c r="BC210" s="35" t="s">
        <v>249</v>
      </c>
      <c r="BD210" s="35"/>
      <c r="BE210" s="35">
        <v>0</v>
      </c>
      <c r="BF210" s="35"/>
      <c r="BG210" s="35">
        <v>0</v>
      </c>
      <c r="BH210" s="35"/>
      <c r="BI210" s="35">
        <v>0</v>
      </c>
      <c r="BJ210" s="35"/>
      <c r="BK210" s="35">
        <v>0</v>
      </c>
      <c r="BL210" s="35"/>
      <c r="BM210" s="35">
        <f t="shared" si="43"/>
        <v>0</v>
      </c>
      <c r="BN210" s="54"/>
    </row>
    <row r="211" spans="1:66" ht="12.75" hidden="1" customHeight="1">
      <c r="A211" s="35" t="s">
        <v>250</v>
      </c>
      <c r="C211" s="35" t="s">
        <v>103</v>
      </c>
      <c r="D211" s="35"/>
      <c r="E211" s="35">
        <f t="shared" si="46"/>
        <v>0</v>
      </c>
      <c r="F211" s="35"/>
      <c r="G211" s="35">
        <v>0</v>
      </c>
      <c r="H211" s="35"/>
      <c r="I211" s="35">
        <v>0</v>
      </c>
      <c r="J211" s="35"/>
      <c r="K211" s="35">
        <f t="shared" si="47"/>
        <v>0</v>
      </c>
      <c r="L211" s="35"/>
      <c r="M211" s="35">
        <v>0</v>
      </c>
      <c r="N211" s="35"/>
      <c r="O211" s="35">
        <v>0</v>
      </c>
      <c r="P211" s="35"/>
      <c r="Q211" s="35">
        <v>0</v>
      </c>
      <c r="R211" s="35"/>
      <c r="S211" s="35">
        <v>0</v>
      </c>
      <c r="T211" s="35"/>
      <c r="U211" s="35">
        <v>0</v>
      </c>
      <c r="V211" s="35"/>
      <c r="W211" s="35">
        <f t="shared" si="45"/>
        <v>0</v>
      </c>
      <c r="X211" s="35"/>
      <c r="Y211" s="35" t="s">
        <v>250</v>
      </c>
      <c r="Z211" s="55"/>
      <c r="AA211" s="35" t="s">
        <v>103</v>
      </c>
      <c r="AB211" s="35"/>
      <c r="AC211" s="35">
        <v>0</v>
      </c>
      <c r="AD211" s="35"/>
      <c r="AE211" s="35">
        <v>0</v>
      </c>
      <c r="AF211" s="35"/>
      <c r="AG211" s="35">
        <v>0</v>
      </c>
      <c r="AH211" s="35"/>
      <c r="AI211" s="45">
        <f t="shared" si="48"/>
        <v>0</v>
      </c>
      <c r="AJ211" s="45"/>
      <c r="AK211" s="35">
        <v>0</v>
      </c>
      <c r="AL211" s="35"/>
      <c r="AM211" s="35">
        <v>0</v>
      </c>
      <c r="AN211" s="35"/>
      <c r="AO211" s="35">
        <v>0</v>
      </c>
      <c r="AP211" s="35"/>
      <c r="AQ211" s="35">
        <v>0</v>
      </c>
      <c r="AR211" s="35"/>
      <c r="AS211" s="45">
        <f t="shared" si="49"/>
        <v>0</v>
      </c>
      <c r="AT211" s="45"/>
      <c r="AU211" s="35">
        <v>0</v>
      </c>
      <c r="AV211" s="35"/>
      <c r="AW211" s="35">
        <v>0</v>
      </c>
      <c r="AX211" s="35"/>
      <c r="AY211" s="35">
        <f t="shared" si="50"/>
        <v>0</v>
      </c>
      <c r="AZ211" s="35"/>
      <c r="BA211" s="35" t="s">
        <v>250</v>
      </c>
      <c r="BB211" s="55"/>
      <c r="BC211" s="35" t="s">
        <v>103</v>
      </c>
      <c r="BD211" s="35"/>
      <c r="BE211" s="35">
        <v>0</v>
      </c>
      <c r="BF211" s="35"/>
      <c r="BG211" s="35">
        <v>0</v>
      </c>
      <c r="BH211" s="35"/>
      <c r="BI211" s="35">
        <v>0</v>
      </c>
      <c r="BJ211" s="35"/>
      <c r="BK211" s="35">
        <v>0</v>
      </c>
      <c r="BL211" s="35"/>
      <c r="BM211" s="35">
        <f t="shared" si="43"/>
        <v>0</v>
      </c>
      <c r="BN211" s="54" t="s">
        <v>347</v>
      </c>
    </row>
    <row r="212" spans="1:66" ht="12.75" hidden="1" customHeight="1">
      <c r="A212" s="35" t="s">
        <v>251</v>
      </c>
      <c r="C212" s="35" t="s">
        <v>66</v>
      </c>
      <c r="D212" s="35"/>
      <c r="E212" s="35">
        <f t="shared" si="46"/>
        <v>0</v>
      </c>
      <c r="F212" s="35"/>
      <c r="G212" s="35"/>
      <c r="H212" s="35"/>
      <c r="I212" s="35"/>
      <c r="J212" s="35"/>
      <c r="K212" s="35">
        <f t="shared" si="47"/>
        <v>0</v>
      </c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>
        <f t="shared" si="45"/>
        <v>0</v>
      </c>
      <c r="X212" s="35"/>
      <c r="Y212" s="35" t="s">
        <v>251</v>
      </c>
      <c r="Z212" s="55"/>
      <c r="AA212" s="35" t="s">
        <v>66</v>
      </c>
      <c r="AB212" s="35"/>
      <c r="AC212" s="35"/>
      <c r="AD212" s="35"/>
      <c r="AE212" s="35"/>
      <c r="AF212" s="35"/>
      <c r="AG212" s="35"/>
      <c r="AH212" s="35"/>
      <c r="AI212" s="45">
        <f t="shared" si="48"/>
        <v>0</v>
      </c>
      <c r="AJ212" s="45"/>
      <c r="AK212" s="35"/>
      <c r="AL212" s="35"/>
      <c r="AM212" s="35"/>
      <c r="AN212" s="35"/>
      <c r="AO212" s="35"/>
      <c r="AP212" s="35"/>
      <c r="AQ212" s="35"/>
      <c r="AR212" s="35"/>
      <c r="AS212" s="45">
        <f t="shared" si="49"/>
        <v>0</v>
      </c>
      <c r="AT212" s="45"/>
      <c r="AU212" s="35">
        <v>0</v>
      </c>
      <c r="AV212" s="35"/>
      <c r="AW212" s="35">
        <v>0</v>
      </c>
      <c r="AX212" s="35"/>
      <c r="AY212" s="35">
        <f t="shared" si="50"/>
        <v>0</v>
      </c>
      <c r="AZ212" s="35"/>
      <c r="BA212" s="35" t="s">
        <v>251</v>
      </c>
      <c r="BB212" s="55"/>
      <c r="BC212" s="35" t="s">
        <v>66</v>
      </c>
      <c r="BD212" s="35"/>
      <c r="BE212" s="35"/>
      <c r="BF212" s="35"/>
      <c r="BG212" s="35"/>
      <c r="BH212" s="35"/>
      <c r="BI212" s="35"/>
      <c r="BJ212" s="35"/>
      <c r="BK212" s="35"/>
      <c r="BL212" s="35"/>
      <c r="BM212" s="35">
        <f t="shared" si="43"/>
        <v>0</v>
      </c>
      <c r="BN212" s="54" t="s">
        <v>347</v>
      </c>
    </row>
    <row r="213" spans="1:66" ht="12.75" hidden="1" customHeight="1">
      <c r="A213" s="35" t="s">
        <v>252</v>
      </c>
      <c r="C213" s="35" t="s">
        <v>209</v>
      </c>
      <c r="D213" s="35"/>
      <c r="E213" s="35">
        <f t="shared" si="46"/>
        <v>0</v>
      </c>
      <c r="F213" s="35"/>
      <c r="G213" s="35">
        <v>0</v>
      </c>
      <c r="H213" s="35"/>
      <c r="I213" s="35">
        <v>0</v>
      </c>
      <c r="J213" s="35"/>
      <c r="K213" s="35">
        <f t="shared" si="47"/>
        <v>0</v>
      </c>
      <c r="L213" s="35"/>
      <c r="M213" s="35">
        <v>0</v>
      </c>
      <c r="N213" s="35"/>
      <c r="O213" s="35">
        <v>0</v>
      </c>
      <c r="P213" s="35"/>
      <c r="Q213" s="35">
        <v>0</v>
      </c>
      <c r="R213" s="35"/>
      <c r="S213" s="35">
        <v>0</v>
      </c>
      <c r="T213" s="35"/>
      <c r="U213" s="35">
        <v>0</v>
      </c>
      <c r="V213" s="35"/>
      <c r="W213" s="35">
        <f t="shared" si="45"/>
        <v>0</v>
      </c>
      <c r="X213" s="35"/>
      <c r="Y213" s="35" t="s">
        <v>252</v>
      </c>
      <c r="Z213" s="55"/>
      <c r="AA213" s="35" t="s">
        <v>209</v>
      </c>
      <c r="AB213" s="35"/>
      <c r="AC213" s="35">
        <v>0</v>
      </c>
      <c r="AD213" s="35"/>
      <c r="AE213" s="35">
        <v>0</v>
      </c>
      <c r="AF213" s="35"/>
      <c r="AG213" s="35">
        <v>0</v>
      </c>
      <c r="AH213" s="35"/>
      <c r="AI213" s="45">
        <f t="shared" si="48"/>
        <v>0</v>
      </c>
      <c r="AJ213" s="45"/>
      <c r="AK213" s="35">
        <v>0</v>
      </c>
      <c r="AL213" s="35"/>
      <c r="AM213" s="35">
        <v>0</v>
      </c>
      <c r="AN213" s="35"/>
      <c r="AO213" s="35">
        <v>0</v>
      </c>
      <c r="AP213" s="35"/>
      <c r="AQ213" s="35">
        <v>0</v>
      </c>
      <c r="AR213" s="35"/>
      <c r="AS213" s="45">
        <f t="shared" si="49"/>
        <v>0</v>
      </c>
      <c r="AT213" s="45"/>
      <c r="AU213" s="35">
        <v>0</v>
      </c>
      <c r="AV213" s="35"/>
      <c r="AW213" s="35">
        <v>0</v>
      </c>
      <c r="AX213" s="35"/>
      <c r="AY213" s="35">
        <f t="shared" si="50"/>
        <v>0</v>
      </c>
      <c r="AZ213" s="35"/>
      <c r="BA213" s="35" t="s">
        <v>252</v>
      </c>
      <c r="BB213" s="55"/>
      <c r="BC213" s="35" t="s">
        <v>209</v>
      </c>
      <c r="BD213" s="35"/>
      <c r="BE213" s="35">
        <v>0</v>
      </c>
      <c r="BF213" s="35"/>
      <c r="BG213" s="35">
        <v>0</v>
      </c>
      <c r="BH213" s="35"/>
      <c r="BI213" s="35">
        <v>0</v>
      </c>
      <c r="BJ213" s="35"/>
      <c r="BK213" s="35">
        <v>0</v>
      </c>
      <c r="BL213" s="35"/>
      <c r="BM213" s="35">
        <f t="shared" si="43"/>
        <v>0</v>
      </c>
      <c r="BN213" s="54" t="s">
        <v>347</v>
      </c>
    </row>
    <row r="214" spans="1:66" ht="12.75" hidden="1" customHeight="1">
      <c r="A214" s="35" t="s">
        <v>253</v>
      </c>
      <c r="C214" s="35" t="s">
        <v>13</v>
      </c>
      <c r="D214" s="35"/>
      <c r="E214" s="35">
        <f t="shared" si="46"/>
        <v>0</v>
      </c>
      <c r="F214" s="35"/>
      <c r="G214" s="35">
        <v>0</v>
      </c>
      <c r="H214" s="35"/>
      <c r="I214" s="35">
        <v>0</v>
      </c>
      <c r="J214" s="35"/>
      <c r="K214" s="35">
        <f t="shared" si="47"/>
        <v>0</v>
      </c>
      <c r="L214" s="35"/>
      <c r="M214" s="35">
        <v>0</v>
      </c>
      <c r="N214" s="35"/>
      <c r="O214" s="35">
        <v>0</v>
      </c>
      <c r="P214" s="35"/>
      <c r="Q214" s="35">
        <v>0</v>
      </c>
      <c r="R214" s="35"/>
      <c r="S214" s="35">
        <v>0</v>
      </c>
      <c r="T214" s="35"/>
      <c r="U214" s="35">
        <v>0</v>
      </c>
      <c r="V214" s="35"/>
      <c r="W214" s="35">
        <f t="shared" si="45"/>
        <v>0</v>
      </c>
      <c r="X214" s="35"/>
      <c r="Y214" s="35" t="s">
        <v>253</v>
      </c>
      <c r="Z214" s="55"/>
      <c r="AA214" s="35" t="s">
        <v>13</v>
      </c>
      <c r="AB214" s="35"/>
      <c r="AC214" s="35">
        <v>0</v>
      </c>
      <c r="AD214" s="35"/>
      <c r="AE214" s="35">
        <v>0</v>
      </c>
      <c r="AF214" s="35"/>
      <c r="AG214" s="35">
        <v>0</v>
      </c>
      <c r="AH214" s="35"/>
      <c r="AI214" s="45">
        <f t="shared" si="48"/>
        <v>0</v>
      </c>
      <c r="AJ214" s="45"/>
      <c r="AK214" s="35">
        <v>0</v>
      </c>
      <c r="AL214" s="35"/>
      <c r="AM214" s="35">
        <v>0</v>
      </c>
      <c r="AN214" s="35"/>
      <c r="AO214" s="35">
        <v>0</v>
      </c>
      <c r="AP214" s="35"/>
      <c r="AQ214" s="35">
        <v>0</v>
      </c>
      <c r="AR214" s="35"/>
      <c r="AS214" s="45">
        <f t="shared" si="49"/>
        <v>0</v>
      </c>
      <c r="AT214" s="45"/>
      <c r="AU214" s="35">
        <v>0</v>
      </c>
      <c r="AV214" s="35"/>
      <c r="AW214" s="35">
        <v>0</v>
      </c>
      <c r="AX214" s="35"/>
      <c r="AY214" s="35">
        <f t="shared" si="50"/>
        <v>0</v>
      </c>
      <c r="AZ214" s="35"/>
      <c r="BA214" s="35" t="s">
        <v>253</v>
      </c>
      <c r="BB214" s="55"/>
      <c r="BC214" s="35" t="s">
        <v>13</v>
      </c>
      <c r="BD214" s="35"/>
      <c r="BE214" s="35">
        <v>0</v>
      </c>
      <c r="BF214" s="35"/>
      <c r="BG214" s="35">
        <v>0</v>
      </c>
      <c r="BH214" s="35"/>
      <c r="BI214" s="35">
        <v>0</v>
      </c>
      <c r="BJ214" s="35"/>
      <c r="BK214" s="35">
        <v>0</v>
      </c>
      <c r="BL214" s="35"/>
      <c r="BM214" s="35">
        <f t="shared" si="43"/>
        <v>0</v>
      </c>
      <c r="BN214" s="54" t="s">
        <v>347</v>
      </c>
    </row>
    <row r="215" spans="1:66" ht="12.75" hidden="1" customHeight="1">
      <c r="A215" s="35" t="s">
        <v>254</v>
      </c>
      <c r="C215" s="35" t="s">
        <v>89</v>
      </c>
      <c r="D215" s="35"/>
      <c r="E215" s="35">
        <f t="shared" si="46"/>
        <v>0</v>
      </c>
      <c r="F215" s="35"/>
      <c r="G215" s="35">
        <v>0</v>
      </c>
      <c r="H215" s="35"/>
      <c r="I215" s="35">
        <v>0</v>
      </c>
      <c r="J215" s="35"/>
      <c r="K215" s="35">
        <f t="shared" si="47"/>
        <v>0</v>
      </c>
      <c r="L215" s="35"/>
      <c r="M215" s="35">
        <v>0</v>
      </c>
      <c r="N215" s="35"/>
      <c r="O215" s="35">
        <v>0</v>
      </c>
      <c r="P215" s="35"/>
      <c r="Q215" s="35">
        <v>0</v>
      </c>
      <c r="R215" s="35"/>
      <c r="S215" s="35">
        <v>0</v>
      </c>
      <c r="T215" s="35"/>
      <c r="U215" s="35">
        <v>0</v>
      </c>
      <c r="V215" s="35"/>
      <c r="W215" s="35">
        <v>0</v>
      </c>
      <c r="X215" s="35"/>
      <c r="Y215" s="35" t="s">
        <v>254</v>
      </c>
      <c r="Z215" s="55"/>
      <c r="AA215" s="35" t="s">
        <v>89</v>
      </c>
      <c r="AB215" s="35"/>
      <c r="AC215" s="35">
        <v>0</v>
      </c>
      <c r="AD215" s="35"/>
      <c r="AE215" s="35">
        <v>0</v>
      </c>
      <c r="AF215" s="35"/>
      <c r="AG215" s="35">
        <v>0</v>
      </c>
      <c r="AH215" s="35"/>
      <c r="AI215" s="45">
        <f t="shared" si="48"/>
        <v>0</v>
      </c>
      <c r="AJ215" s="45"/>
      <c r="AK215" s="35">
        <v>0</v>
      </c>
      <c r="AL215" s="35"/>
      <c r="AM215" s="35">
        <v>0</v>
      </c>
      <c r="AN215" s="35"/>
      <c r="AO215" s="35">
        <v>0</v>
      </c>
      <c r="AP215" s="35"/>
      <c r="AQ215" s="35">
        <v>0</v>
      </c>
      <c r="AR215" s="35"/>
      <c r="AS215" s="45">
        <f t="shared" si="49"/>
        <v>0</v>
      </c>
      <c r="AT215" s="45"/>
      <c r="AU215" s="35">
        <v>0</v>
      </c>
      <c r="AV215" s="35"/>
      <c r="AW215" s="35">
        <v>0</v>
      </c>
      <c r="AX215" s="35"/>
      <c r="AY215" s="35">
        <f t="shared" si="50"/>
        <v>0</v>
      </c>
      <c r="AZ215" s="35"/>
      <c r="BA215" s="35" t="s">
        <v>254</v>
      </c>
      <c r="BB215" s="55"/>
      <c r="BC215" s="35" t="s">
        <v>89</v>
      </c>
      <c r="BD215" s="35"/>
      <c r="BE215" s="35">
        <v>0</v>
      </c>
      <c r="BF215" s="35"/>
      <c r="BG215" s="35">
        <v>0</v>
      </c>
      <c r="BH215" s="35"/>
      <c r="BI215" s="35">
        <v>0</v>
      </c>
      <c r="BJ215" s="35"/>
      <c r="BK215" s="35">
        <v>0</v>
      </c>
      <c r="BL215" s="35"/>
      <c r="BM215" s="35">
        <f t="shared" si="43"/>
        <v>0</v>
      </c>
      <c r="BN215" s="54" t="s">
        <v>347</v>
      </c>
    </row>
    <row r="216" spans="1:66" ht="12.75" hidden="1" customHeight="1">
      <c r="A216" s="35" t="s">
        <v>159</v>
      </c>
      <c r="C216" s="35" t="s">
        <v>66</v>
      </c>
      <c r="D216" s="35"/>
      <c r="E216" s="35">
        <f t="shared" si="46"/>
        <v>0</v>
      </c>
      <c r="F216" s="35"/>
      <c r="G216" s="35">
        <v>0</v>
      </c>
      <c r="H216" s="35"/>
      <c r="I216" s="35">
        <v>0</v>
      </c>
      <c r="J216" s="35"/>
      <c r="K216" s="35">
        <f t="shared" si="47"/>
        <v>0</v>
      </c>
      <c r="L216" s="35"/>
      <c r="M216" s="35">
        <v>0</v>
      </c>
      <c r="N216" s="35"/>
      <c r="O216" s="35">
        <v>0</v>
      </c>
      <c r="P216" s="35"/>
      <c r="Q216" s="35">
        <v>0</v>
      </c>
      <c r="R216" s="35"/>
      <c r="S216" s="35">
        <v>0</v>
      </c>
      <c r="T216" s="35"/>
      <c r="U216" s="35">
        <v>0</v>
      </c>
      <c r="V216" s="35"/>
      <c r="W216" s="35">
        <f t="shared" ref="W216:W228" si="51">SUM(Q216:U216)</f>
        <v>0</v>
      </c>
      <c r="X216" s="35"/>
      <c r="Y216" s="35" t="s">
        <v>159</v>
      </c>
      <c r="Z216" s="55"/>
      <c r="AA216" s="35" t="s">
        <v>66</v>
      </c>
      <c r="AB216" s="35"/>
      <c r="AC216" s="35">
        <v>0</v>
      </c>
      <c r="AD216" s="35"/>
      <c r="AE216" s="35">
        <v>0</v>
      </c>
      <c r="AF216" s="35"/>
      <c r="AG216" s="35">
        <v>0</v>
      </c>
      <c r="AH216" s="35"/>
      <c r="AI216" s="45">
        <f t="shared" si="48"/>
        <v>0</v>
      </c>
      <c r="AJ216" s="45"/>
      <c r="AK216" s="35">
        <v>0</v>
      </c>
      <c r="AL216" s="35"/>
      <c r="AM216" s="35">
        <v>0</v>
      </c>
      <c r="AN216" s="35"/>
      <c r="AO216" s="35">
        <v>0</v>
      </c>
      <c r="AP216" s="35"/>
      <c r="AQ216" s="35">
        <v>0</v>
      </c>
      <c r="AR216" s="35"/>
      <c r="AS216" s="45">
        <f t="shared" si="49"/>
        <v>0</v>
      </c>
      <c r="AT216" s="45"/>
      <c r="AU216" s="35">
        <v>0</v>
      </c>
      <c r="AV216" s="35"/>
      <c r="AW216" s="35">
        <v>0</v>
      </c>
      <c r="AX216" s="35"/>
      <c r="AY216" s="35">
        <f t="shared" si="50"/>
        <v>0</v>
      </c>
      <c r="AZ216" s="35"/>
      <c r="BA216" s="35" t="s">
        <v>159</v>
      </c>
      <c r="BB216" s="55"/>
      <c r="BC216" s="35" t="s">
        <v>66</v>
      </c>
      <c r="BD216" s="35"/>
      <c r="BE216" s="35">
        <v>0</v>
      </c>
      <c r="BF216" s="35"/>
      <c r="BG216" s="35">
        <v>0</v>
      </c>
      <c r="BH216" s="35"/>
      <c r="BI216" s="35">
        <v>0</v>
      </c>
      <c r="BJ216" s="35"/>
      <c r="BK216" s="35">
        <v>0</v>
      </c>
      <c r="BL216" s="35"/>
      <c r="BM216" s="35">
        <f t="shared" si="43"/>
        <v>0</v>
      </c>
      <c r="BN216" s="54" t="s">
        <v>347</v>
      </c>
    </row>
    <row r="217" spans="1:66" ht="12.75" hidden="1" customHeight="1">
      <c r="A217" s="35" t="s">
        <v>255</v>
      </c>
      <c r="C217" s="35" t="s">
        <v>27</v>
      </c>
      <c r="D217" s="35"/>
      <c r="E217" s="35">
        <f t="shared" si="46"/>
        <v>0</v>
      </c>
      <c r="F217" s="35"/>
      <c r="G217" s="35"/>
      <c r="H217" s="35"/>
      <c r="I217" s="35"/>
      <c r="J217" s="35"/>
      <c r="K217" s="35">
        <f t="shared" si="47"/>
        <v>0</v>
      </c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>
        <f t="shared" si="51"/>
        <v>0</v>
      </c>
      <c r="X217" s="35"/>
      <c r="Y217" s="35" t="s">
        <v>255</v>
      </c>
      <c r="Z217" s="55"/>
      <c r="AA217" s="35" t="s">
        <v>27</v>
      </c>
      <c r="AB217" s="35"/>
      <c r="AC217" s="35"/>
      <c r="AD217" s="35"/>
      <c r="AE217" s="35"/>
      <c r="AF217" s="35"/>
      <c r="AG217" s="35"/>
      <c r="AH217" s="35"/>
      <c r="AI217" s="45">
        <f t="shared" si="48"/>
        <v>0</v>
      </c>
      <c r="AJ217" s="45"/>
      <c r="AK217" s="35"/>
      <c r="AL217" s="35"/>
      <c r="AM217" s="35"/>
      <c r="AN217" s="35"/>
      <c r="AO217" s="35"/>
      <c r="AP217" s="35"/>
      <c r="AQ217" s="35"/>
      <c r="AR217" s="35"/>
      <c r="AS217" s="45">
        <f t="shared" si="49"/>
        <v>0</v>
      </c>
      <c r="AT217" s="45"/>
      <c r="AU217" s="35">
        <v>0</v>
      </c>
      <c r="AV217" s="35"/>
      <c r="AW217" s="35">
        <v>0</v>
      </c>
      <c r="AX217" s="35"/>
      <c r="AY217" s="35">
        <f t="shared" si="50"/>
        <v>0</v>
      </c>
      <c r="AZ217" s="35"/>
      <c r="BA217" s="35" t="s">
        <v>255</v>
      </c>
      <c r="BB217" s="55"/>
      <c r="BC217" s="35" t="s">
        <v>27</v>
      </c>
      <c r="BD217" s="35"/>
      <c r="BE217" s="35"/>
      <c r="BF217" s="35"/>
      <c r="BG217" s="35"/>
      <c r="BH217" s="35"/>
      <c r="BI217" s="35"/>
      <c r="BJ217" s="35"/>
      <c r="BK217" s="35"/>
      <c r="BL217" s="35"/>
      <c r="BM217" s="35">
        <f t="shared" si="43"/>
        <v>0</v>
      </c>
      <c r="BN217" s="54" t="s">
        <v>347</v>
      </c>
    </row>
    <row r="218" spans="1:66" ht="12.75" hidden="1" customHeight="1">
      <c r="A218" s="35" t="s">
        <v>256</v>
      </c>
      <c r="C218" s="35" t="s">
        <v>43</v>
      </c>
      <c r="D218" s="35"/>
      <c r="E218" s="35">
        <f t="shared" si="46"/>
        <v>0</v>
      </c>
      <c r="F218" s="35"/>
      <c r="G218" s="35">
        <v>0</v>
      </c>
      <c r="H218" s="35"/>
      <c r="I218" s="35">
        <v>0</v>
      </c>
      <c r="J218" s="35"/>
      <c r="K218" s="35">
        <f t="shared" si="47"/>
        <v>0</v>
      </c>
      <c r="L218" s="35"/>
      <c r="M218" s="35">
        <v>0</v>
      </c>
      <c r="N218" s="35"/>
      <c r="O218" s="35">
        <v>0</v>
      </c>
      <c r="P218" s="35"/>
      <c r="Q218" s="35">
        <v>0</v>
      </c>
      <c r="R218" s="35"/>
      <c r="S218" s="35">
        <v>0</v>
      </c>
      <c r="T218" s="35"/>
      <c r="U218" s="35">
        <v>0</v>
      </c>
      <c r="V218" s="35"/>
      <c r="W218" s="35">
        <f t="shared" si="51"/>
        <v>0</v>
      </c>
      <c r="X218" s="35"/>
      <c r="Y218" s="35" t="s">
        <v>256</v>
      </c>
      <c r="Z218" s="55"/>
      <c r="AA218" s="35" t="s">
        <v>43</v>
      </c>
      <c r="AB218" s="35"/>
      <c r="AC218" s="35">
        <v>0</v>
      </c>
      <c r="AD218" s="35"/>
      <c r="AE218" s="35">
        <v>0</v>
      </c>
      <c r="AF218" s="35"/>
      <c r="AG218" s="35">
        <v>0</v>
      </c>
      <c r="AH218" s="35"/>
      <c r="AI218" s="45">
        <f t="shared" si="48"/>
        <v>0</v>
      </c>
      <c r="AJ218" s="45"/>
      <c r="AK218" s="35">
        <v>0</v>
      </c>
      <c r="AL218" s="35"/>
      <c r="AM218" s="35">
        <v>0</v>
      </c>
      <c r="AN218" s="35"/>
      <c r="AO218" s="35">
        <v>0</v>
      </c>
      <c r="AP218" s="35"/>
      <c r="AQ218" s="35">
        <v>0</v>
      </c>
      <c r="AR218" s="35"/>
      <c r="AS218" s="45">
        <f t="shared" si="49"/>
        <v>0</v>
      </c>
      <c r="AT218" s="45"/>
      <c r="AU218" s="35">
        <v>0</v>
      </c>
      <c r="AV218" s="35"/>
      <c r="AW218" s="35">
        <v>0</v>
      </c>
      <c r="AX218" s="35"/>
      <c r="AY218" s="35">
        <f t="shared" si="50"/>
        <v>0</v>
      </c>
      <c r="AZ218" s="35"/>
      <c r="BA218" s="35" t="s">
        <v>256</v>
      </c>
      <c r="BB218" s="55"/>
      <c r="BC218" s="35" t="s">
        <v>43</v>
      </c>
      <c r="BD218" s="35"/>
      <c r="BE218" s="35">
        <v>0</v>
      </c>
      <c r="BF218" s="35"/>
      <c r="BG218" s="35">
        <v>0</v>
      </c>
      <c r="BH218" s="35"/>
      <c r="BI218" s="35">
        <v>0</v>
      </c>
      <c r="BJ218" s="35"/>
      <c r="BK218" s="35">
        <v>0</v>
      </c>
      <c r="BL218" s="35"/>
      <c r="BM218" s="35">
        <f t="shared" si="43"/>
        <v>0</v>
      </c>
      <c r="BN218" s="54" t="s">
        <v>347</v>
      </c>
    </row>
    <row r="219" spans="1:66" ht="12.75" hidden="1" customHeight="1">
      <c r="A219" s="35" t="s">
        <v>257</v>
      </c>
      <c r="C219" s="35" t="s">
        <v>258</v>
      </c>
      <c r="D219" s="35"/>
      <c r="E219" s="35">
        <f t="shared" si="46"/>
        <v>0</v>
      </c>
      <c r="F219" s="35"/>
      <c r="G219" s="35">
        <v>0</v>
      </c>
      <c r="H219" s="35"/>
      <c r="I219" s="35">
        <v>0</v>
      </c>
      <c r="J219" s="35"/>
      <c r="K219" s="35">
        <f t="shared" si="47"/>
        <v>0</v>
      </c>
      <c r="L219" s="35"/>
      <c r="M219" s="35">
        <v>0</v>
      </c>
      <c r="N219" s="35"/>
      <c r="O219" s="35">
        <v>0</v>
      </c>
      <c r="P219" s="35"/>
      <c r="Q219" s="35">
        <v>0</v>
      </c>
      <c r="R219" s="35"/>
      <c r="S219" s="35">
        <v>0</v>
      </c>
      <c r="T219" s="35"/>
      <c r="U219" s="35">
        <v>0</v>
      </c>
      <c r="V219" s="35"/>
      <c r="W219" s="35">
        <f t="shared" si="51"/>
        <v>0</v>
      </c>
      <c r="X219" s="35"/>
      <c r="Y219" s="35" t="s">
        <v>257</v>
      </c>
      <c r="Z219" s="55"/>
      <c r="AA219" s="35" t="s">
        <v>258</v>
      </c>
      <c r="AB219" s="35"/>
      <c r="AC219" s="35">
        <v>0</v>
      </c>
      <c r="AD219" s="35"/>
      <c r="AE219" s="35">
        <v>0</v>
      </c>
      <c r="AF219" s="35"/>
      <c r="AG219" s="35">
        <v>0</v>
      </c>
      <c r="AH219" s="35"/>
      <c r="AI219" s="45">
        <f t="shared" si="48"/>
        <v>0</v>
      </c>
      <c r="AJ219" s="45"/>
      <c r="AK219" s="35">
        <v>0</v>
      </c>
      <c r="AL219" s="35"/>
      <c r="AM219" s="35">
        <v>0</v>
      </c>
      <c r="AN219" s="35"/>
      <c r="AO219" s="35">
        <v>0</v>
      </c>
      <c r="AP219" s="35"/>
      <c r="AQ219" s="35">
        <v>0</v>
      </c>
      <c r="AR219" s="35"/>
      <c r="AS219" s="45">
        <f t="shared" si="49"/>
        <v>0</v>
      </c>
      <c r="AT219" s="45"/>
      <c r="AU219" s="35">
        <v>0</v>
      </c>
      <c r="AV219" s="35"/>
      <c r="AW219" s="35">
        <v>0</v>
      </c>
      <c r="AX219" s="35"/>
      <c r="AY219" s="35">
        <f t="shared" si="50"/>
        <v>0</v>
      </c>
      <c r="AZ219" s="35"/>
      <c r="BA219" s="35" t="s">
        <v>257</v>
      </c>
      <c r="BB219" s="55"/>
      <c r="BC219" s="35" t="s">
        <v>258</v>
      </c>
      <c r="BD219" s="35"/>
      <c r="BE219" s="35">
        <v>0</v>
      </c>
      <c r="BF219" s="35"/>
      <c r="BG219" s="35">
        <v>0</v>
      </c>
      <c r="BH219" s="35"/>
      <c r="BI219" s="35">
        <v>0</v>
      </c>
      <c r="BJ219" s="35"/>
      <c r="BK219" s="35">
        <v>0</v>
      </c>
      <c r="BL219" s="35"/>
      <c r="BM219" s="35">
        <f t="shared" si="43"/>
        <v>0</v>
      </c>
      <c r="BN219" s="54" t="s">
        <v>347</v>
      </c>
    </row>
    <row r="220" spans="1:66" ht="12.75" hidden="1" customHeight="1">
      <c r="A220" s="35" t="s">
        <v>259</v>
      </c>
      <c r="C220" s="35" t="s">
        <v>369</v>
      </c>
      <c r="D220" s="35"/>
      <c r="E220" s="35">
        <f t="shared" si="46"/>
        <v>0</v>
      </c>
      <c r="F220" s="35"/>
      <c r="G220" s="35"/>
      <c r="H220" s="35"/>
      <c r="I220" s="35"/>
      <c r="J220" s="35"/>
      <c r="K220" s="35">
        <f t="shared" si="47"/>
        <v>0</v>
      </c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>
        <f t="shared" si="51"/>
        <v>0</v>
      </c>
      <c r="X220" s="35"/>
      <c r="Y220" s="35" t="s">
        <v>259</v>
      </c>
      <c r="Z220" s="55"/>
      <c r="AA220" s="35" t="s">
        <v>369</v>
      </c>
      <c r="AB220" s="35"/>
      <c r="AC220" s="35"/>
      <c r="AD220" s="35"/>
      <c r="AE220" s="35"/>
      <c r="AF220" s="35"/>
      <c r="AG220" s="35"/>
      <c r="AH220" s="35"/>
      <c r="AI220" s="45">
        <f t="shared" si="48"/>
        <v>0</v>
      </c>
      <c r="AJ220" s="45"/>
      <c r="AK220" s="35"/>
      <c r="AL220" s="35"/>
      <c r="AM220" s="35"/>
      <c r="AN220" s="35"/>
      <c r="AO220" s="35"/>
      <c r="AP220" s="35"/>
      <c r="AQ220" s="35"/>
      <c r="AR220" s="35"/>
      <c r="AS220" s="45">
        <f t="shared" si="49"/>
        <v>0</v>
      </c>
      <c r="AT220" s="45"/>
      <c r="AU220" s="35">
        <v>0</v>
      </c>
      <c r="AV220" s="35"/>
      <c r="AW220" s="35">
        <v>0</v>
      </c>
      <c r="AX220" s="35"/>
      <c r="AY220" s="35">
        <f t="shared" si="50"/>
        <v>0</v>
      </c>
      <c r="AZ220" s="35"/>
      <c r="BA220" s="35" t="s">
        <v>259</v>
      </c>
      <c r="BB220" s="55"/>
      <c r="BC220" s="35" t="s">
        <v>369</v>
      </c>
      <c r="BD220" s="35"/>
      <c r="BE220" s="35"/>
      <c r="BF220" s="35"/>
      <c r="BG220" s="35"/>
      <c r="BH220" s="35"/>
      <c r="BI220" s="35"/>
      <c r="BJ220" s="35"/>
      <c r="BK220" s="35"/>
      <c r="BL220" s="35"/>
      <c r="BM220" s="35">
        <f t="shared" si="43"/>
        <v>0</v>
      </c>
      <c r="BN220" s="54" t="s">
        <v>347</v>
      </c>
    </row>
    <row r="221" spans="1:66" ht="12.75" hidden="1" customHeight="1">
      <c r="A221" s="35" t="s">
        <v>261</v>
      </c>
      <c r="C221" s="35" t="s">
        <v>66</v>
      </c>
      <c r="D221" s="35"/>
      <c r="E221" s="35">
        <f t="shared" si="46"/>
        <v>0</v>
      </c>
      <c r="F221" s="35"/>
      <c r="G221" s="35"/>
      <c r="H221" s="35"/>
      <c r="I221" s="35"/>
      <c r="J221" s="35"/>
      <c r="K221" s="35">
        <f t="shared" si="47"/>
        <v>0</v>
      </c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>
        <f t="shared" si="51"/>
        <v>0</v>
      </c>
      <c r="X221" s="35"/>
      <c r="Y221" s="35" t="s">
        <v>261</v>
      </c>
      <c r="Z221" s="55"/>
      <c r="AA221" s="35" t="s">
        <v>66</v>
      </c>
      <c r="AB221" s="35"/>
      <c r="AC221" s="35"/>
      <c r="AD221" s="35"/>
      <c r="AE221" s="35"/>
      <c r="AF221" s="35"/>
      <c r="AG221" s="35"/>
      <c r="AH221" s="35"/>
      <c r="AI221" s="45">
        <f t="shared" si="48"/>
        <v>0</v>
      </c>
      <c r="AJ221" s="45"/>
      <c r="AK221" s="35"/>
      <c r="AL221" s="35"/>
      <c r="AM221" s="35"/>
      <c r="AN221" s="35"/>
      <c r="AO221" s="35"/>
      <c r="AP221" s="35"/>
      <c r="AQ221" s="35"/>
      <c r="AR221" s="35"/>
      <c r="AS221" s="45">
        <f t="shared" si="49"/>
        <v>0</v>
      </c>
      <c r="AT221" s="45"/>
      <c r="AU221" s="35">
        <v>0</v>
      </c>
      <c r="AV221" s="35"/>
      <c r="AW221" s="35">
        <v>0</v>
      </c>
      <c r="AX221" s="35"/>
      <c r="AY221" s="35">
        <f t="shared" si="50"/>
        <v>0</v>
      </c>
      <c r="AZ221" s="35"/>
      <c r="BA221" s="35" t="s">
        <v>261</v>
      </c>
      <c r="BB221" s="55"/>
      <c r="BC221" s="35" t="s">
        <v>66</v>
      </c>
      <c r="BD221" s="35"/>
      <c r="BE221" s="35"/>
      <c r="BF221" s="35"/>
      <c r="BG221" s="35"/>
      <c r="BH221" s="35"/>
      <c r="BI221" s="35"/>
      <c r="BJ221" s="35"/>
      <c r="BK221" s="35"/>
      <c r="BL221" s="35"/>
      <c r="BM221" s="35">
        <f t="shared" si="43"/>
        <v>0</v>
      </c>
      <c r="BN221" s="54" t="s">
        <v>347</v>
      </c>
    </row>
    <row r="222" spans="1:66" ht="12.75" hidden="1" customHeight="1">
      <c r="A222" s="35" t="s">
        <v>262</v>
      </c>
      <c r="C222" s="35" t="s">
        <v>132</v>
      </c>
      <c r="D222" s="35"/>
      <c r="E222" s="35">
        <f t="shared" si="46"/>
        <v>0</v>
      </c>
      <c r="F222" s="35"/>
      <c r="G222" s="35"/>
      <c r="H222" s="35"/>
      <c r="I222" s="35"/>
      <c r="J222" s="35"/>
      <c r="K222" s="35">
        <f t="shared" si="47"/>
        <v>0</v>
      </c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>
        <f t="shared" si="51"/>
        <v>0</v>
      </c>
      <c r="X222" s="35"/>
      <c r="Y222" s="35" t="s">
        <v>262</v>
      </c>
      <c r="Z222" s="55"/>
      <c r="AA222" s="35" t="s">
        <v>132</v>
      </c>
      <c r="AB222" s="35"/>
      <c r="AC222" s="35"/>
      <c r="AD222" s="35"/>
      <c r="AE222" s="35"/>
      <c r="AF222" s="35"/>
      <c r="AG222" s="35"/>
      <c r="AH222" s="35"/>
      <c r="AI222" s="45">
        <f t="shared" si="48"/>
        <v>0</v>
      </c>
      <c r="AJ222" s="45"/>
      <c r="AK222" s="35"/>
      <c r="AL222" s="35"/>
      <c r="AM222" s="35"/>
      <c r="AN222" s="35"/>
      <c r="AO222" s="35"/>
      <c r="AP222" s="35"/>
      <c r="AQ222" s="35"/>
      <c r="AR222" s="35"/>
      <c r="AS222" s="45">
        <f t="shared" si="49"/>
        <v>0</v>
      </c>
      <c r="AT222" s="45"/>
      <c r="AU222" s="35">
        <v>0</v>
      </c>
      <c r="AV222" s="35"/>
      <c r="AW222" s="35">
        <v>0</v>
      </c>
      <c r="AX222" s="35"/>
      <c r="AY222" s="35">
        <f t="shared" si="50"/>
        <v>0</v>
      </c>
      <c r="AZ222" s="35"/>
      <c r="BA222" s="35" t="s">
        <v>262</v>
      </c>
      <c r="BB222" s="55"/>
      <c r="BC222" s="35" t="s">
        <v>132</v>
      </c>
      <c r="BD222" s="35"/>
      <c r="BE222" s="35"/>
      <c r="BF222" s="35"/>
      <c r="BG222" s="35"/>
      <c r="BH222" s="35"/>
      <c r="BI222" s="35"/>
      <c r="BJ222" s="35"/>
      <c r="BK222" s="35"/>
      <c r="BL222" s="35"/>
      <c r="BM222" s="35">
        <f t="shared" si="43"/>
        <v>0</v>
      </c>
      <c r="BN222" s="54" t="s">
        <v>347</v>
      </c>
    </row>
    <row r="223" spans="1:66" ht="12.75" hidden="1" customHeight="1">
      <c r="A223" s="35" t="s">
        <v>263</v>
      </c>
      <c r="C223" s="35" t="s">
        <v>53</v>
      </c>
      <c r="D223" s="35"/>
      <c r="E223" s="35">
        <f t="shared" si="46"/>
        <v>0</v>
      </c>
      <c r="F223" s="35"/>
      <c r="G223" s="35"/>
      <c r="H223" s="35"/>
      <c r="I223" s="35"/>
      <c r="J223" s="35"/>
      <c r="K223" s="35">
        <f t="shared" si="47"/>
        <v>0</v>
      </c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>
        <f t="shared" si="51"/>
        <v>0</v>
      </c>
      <c r="X223" s="35"/>
      <c r="Y223" s="35" t="s">
        <v>263</v>
      </c>
      <c r="Z223" s="55"/>
      <c r="AA223" s="35" t="s">
        <v>53</v>
      </c>
      <c r="AB223" s="35"/>
      <c r="AC223" s="35"/>
      <c r="AD223" s="35"/>
      <c r="AE223" s="35"/>
      <c r="AF223" s="35"/>
      <c r="AG223" s="35"/>
      <c r="AH223" s="35"/>
      <c r="AI223" s="45">
        <f t="shared" si="48"/>
        <v>0</v>
      </c>
      <c r="AJ223" s="45"/>
      <c r="AK223" s="35"/>
      <c r="AL223" s="35"/>
      <c r="AM223" s="35"/>
      <c r="AN223" s="35"/>
      <c r="AO223" s="35"/>
      <c r="AP223" s="35"/>
      <c r="AQ223" s="35"/>
      <c r="AR223" s="35"/>
      <c r="AS223" s="45">
        <f t="shared" si="49"/>
        <v>0</v>
      </c>
      <c r="AT223" s="45"/>
      <c r="AU223" s="35">
        <v>0</v>
      </c>
      <c r="AV223" s="35"/>
      <c r="AW223" s="35">
        <v>0</v>
      </c>
      <c r="AX223" s="35"/>
      <c r="AY223" s="35">
        <f t="shared" si="50"/>
        <v>0</v>
      </c>
      <c r="AZ223" s="35"/>
      <c r="BA223" s="35" t="s">
        <v>263</v>
      </c>
      <c r="BB223" s="55"/>
      <c r="BC223" s="35" t="s">
        <v>53</v>
      </c>
      <c r="BD223" s="35"/>
      <c r="BE223" s="35"/>
      <c r="BF223" s="35"/>
      <c r="BG223" s="35"/>
      <c r="BH223" s="35"/>
      <c r="BI223" s="35"/>
      <c r="BJ223" s="35"/>
      <c r="BK223" s="35"/>
      <c r="BL223" s="35"/>
      <c r="BM223" s="35">
        <f t="shared" si="43"/>
        <v>0</v>
      </c>
      <c r="BN223" s="54" t="s">
        <v>347</v>
      </c>
    </row>
    <row r="224" spans="1:66" ht="12.75" customHeight="1">
      <c r="A224" s="55" t="s">
        <v>263</v>
      </c>
      <c r="C224" s="55" t="s">
        <v>53</v>
      </c>
      <c r="E224" s="35">
        <f t="shared" si="46"/>
        <v>5198025</v>
      </c>
      <c r="F224" s="35"/>
      <c r="G224" s="35">
        <v>26019379</v>
      </c>
      <c r="H224" s="35"/>
      <c r="I224" s="35">
        <v>31217404</v>
      </c>
      <c r="J224" s="35"/>
      <c r="K224" s="35">
        <f t="shared" si="47"/>
        <v>4854596</v>
      </c>
      <c r="L224" s="35"/>
      <c r="M224" s="35">
        <v>9356013</v>
      </c>
      <c r="N224" s="35"/>
      <c r="O224" s="35">
        <v>14210609</v>
      </c>
      <c r="P224" s="35"/>
      <c r="Q224" s="35">
        <v>13528877</v>
      </c>
      <c r="R224" s="35"/>
      <c r="S224" s="35">
        <v>0</v>
      </c>
      <c r="T224" s="35"/>
      <c r="U224" s="35">
        <v>3477918</v>
      </c>
      <c r="V224" s="35"/>
      <c r="W224" s="35">
        <f t="shared" si="51"/>
        <v>17006795</v>
      </c>
      <c r="Y224" s="55" t="s">
        <v>263</v>
      </c>
      <c r="Z224" s="55"/>
      <c r="AA224" s="55" t="s">
        <v>53</v>
      </c>
      <c r="AC224" s="35">
        <v>25420934</v>
      </c>
      <c r="AD224" s="35"/>
      <c r="AE224" s="35">
        <v>24076105</v>
      </c>
      <c r="AF224" s="35"/>
      <c r="AG224" s="35">
        <v>1483775</v>
      </c>
      <c r="AH224" s="35"/>
      <c r="AI224" s="45">
        <f t="shared" si="48"/>
        <v>-138946</v>
      </c>
      <c r="AJ224" s="45"/>
      <c r="AK224" s="35">
        <v>-514772</v>
      </c>
      <c r="AL224" s="35"/>
      <c r="AM224" s="35">
        <v>0</v>
      </c>
      <c r="AN224" s="35"/>
      <c r="AO224" s="35">
        <v>646658</v>
      </c>
      <c r="AP224" s="35"/>
      <c r="AQ224" s="35">
        <v>0</v>
      </c>
      <c r="AR224" s="35"/>
      <c r="AS224" s="45">
        <f t="shared" si="49"/>
        <v>-1300376</v>
      </c>
      <c r="AT224" s="45"/>
      <c r="AU224" s="35">
        <v>0</v>
      </c>
      <c r="AV224" s="35"/>
      <c r="AW224" s="35">
        <v>0</v>
      </c>
      <c r="AX224" s="35"/>
      <c r="AY224" s="35">
        <f t="shared" si="50"/>
        <v>343429</v>
      </c>
      <c r="AZ224" s="53"/>
      <c r="BA224" s="55" t="s">
        <v>263</v>
      </c>
      <c r="BB224" s="55"/>
      <c r="BC224" s="55" t="s">
        <v>53</v>
      </c>
      <c r="BE224" s="35">
        <v>0</v>
      </c>
      <c r="BF224" s="35"/>
      <c r="BG224" s="35">
        <v>8673333</v>
      </c>
      <c r="BH224" s="35"/>
      <c r="BI224" s="35">
        <v>0</v>
      </c>
      <c r="BJ224" s="35"/>
      <c r="BK224" s="35">
        <v>682680</v>
      </c>
      <c r="BL224" s="35"/>
      <c r="BM224" s="35">
        <f t="shared" si="43"/>
        <v>9356013</v>
      </c>
      <c r="BN224" s="35"/>
    </row>
    <row r="225" spans="1:67" ht="12.75" customHeight="1">
      <c r="A225" s="35" t="s">
        <v>264</v>
      </c>
      <c r="B225" s="55"/>
      <c r="C225" s="35" t="s">
        <v>239</v>
      </c>
      <c r="D225" s="35"/>
      <c r="E225" s="35">
        <f t="shared" si="46"/>
        <v>14471874</v>
      </c>
      <c r="F225" s="35"/>
      <c r="G225" s="35">
        <v>6859892</v>
      </c>
      <c r="H225" s="35"/>
      <c r="I225" s="35">
        <v>21331766</v>
      </c>
      <c r="J225" s="35"/>
      <c r="K225" s="35">
        <f t="shared" si="47"/>
        <v>1343868</v>
      </c>
      <c r="L225" s="35"/>
      <c r="M225" s="35">
        <v>174834</v>
      </c>
      <c r="N225" s="35"/>
      <c r="O225" s="35">
        <v>1518702</v>
      </c>
      <c r="P225" s="35"/>
      <c r="Q225" s="35">
        <v>6741956</v>
      </c>
      <c r="R225" s="35"/>
      <c r="S225" s="35">
        <v>0</v>
      </c>
      <c r="T225" s="35"/>
      <c r="U225" s="35">
        <v>13071108</v>
      </c>
      <c r="V225" s="35"/>
      <c r="W225" s="35">
        <f t="shared" si="51"/>
        <v>19813064</v>
      </c>
      <c r="X225" s="35"/>
      <c r="Y225" s="35" t="s">
        <v>264</v>
      </c>
      <c r="Z225" s="55"/>
      <c r="AA225" s="35" t="s">
        <v>239</v>
      </c>
      <c r="AB225" s="35"/>
      <c r="AC225" s="35">
        <v>14919237</v>
      </c>
      <c r="AD225" s="35"/>
      <c r="AE225" s="35">
        <v>14768118</v>
      </c>
      <c r="AF225" s="35"/>
      <c r="AG225" s="35">
        <v>249103</v>
      </c>
      <c r="AH225" s="35"/>
      <c r="AI225" s="45">
        <f t="shared" si="48"/>
        <v>-97984</v>
      </c>
      <c r="AJ225" s="45"/>
      <c r="AK225" s="35">
        <v>55777</v>
      </c>
      <c r="AL225" s="35"/>
      <c r="AM225" s="35">
        <v>650000</v>
      </c>
      <c r="AN225" s="35"/>
      <c r="AO225" s="35">
        <v>49245</v>
      </c>
      <c r="AP225" s="35"/>
      <c r="AQ225" s="35">
        <v>0</v>
      </c>
      <c r="AR225" s="35"/>
      <c r="AS225" s="45">
        <f t="shared" si="49"/>
        <v>558548</v>
      </c>
      <c r="AT225" s="45"/>
      <c r="AU225" s="35">
        <v>0</v>
      </c>
      <c r="AV225" s="35"/>
      <c r="AW225" s="35">
        <v>0</v>
      </c>
      <c r="AX225" s="35"/>
      <c r="AY225" s="35">
        <f t="shared" si="50"/>
        <v>13128006</v>
      </c>
      <c r="AZ225" s="35"/>
      <c r="BA225" s="35" t="s">
        <v>264</v>
      </c>
      <c r="BB225" s="55"/>
      <c r="BC225" s="35" t="s">
        <v>239</v>
      </c>
      <c r="BD225" s="35"/>
      <c r="BE225" s="35">
        <v>0</v>
      </c>
      <c r="BF225" s="35"/>
      <c r="BG225" s="35">
        <v>0</v>
      </c>
      <c r="BH225" s="35"/>
      <c r="BI225" s="35">
        <v>0</v>
      </c>
      <c r="BJ225" s="35"/>
      <c r="BK225" s="35">
        <v>174834</v>
      </c>
      <c r="BL225" s="35"/>
      <c r="BM225" s="35">
        <f t="shared" si="43"/>
        <v>174834</v>
      </c>
      <c r="BN225" s="54" t="s">
        <v>347</v>
      </c>
    </row>
    <row r="226" spans="1:67" ht="12.75" hidden="1" customHeight="1">
      <c r="A226" s="35" t="s">
        <v>111</v>
      </c>
      <c r="C226" s="44" t="s">
        <v>80</v>
      </c>
      <c r="D226" s="44"/>
      <c r="E226" s="35">
        <f t="shared" si="46"/>
        <v>0</v>
      </c>
      <c r="F226" s="35"/>
      <c r="G226" s="35">
        <v>0</v>
      </c>
      <c r="H226" s="35"/>
      <c r="I226" s="35">
        <v>0</v>
      </c>
      <c r="J226" s="35"/>
      <c r="K226" s="35">
        <f t="shared" si="47"/>
        <v>0</v>
      </c>
      <c r="L226" s="35"/>
      <c r="M226" s="35">
        <v>0</v>
      </c>
      <c r="N226" s="35"/>
      <c r="O226" s="35">
        <v>0</v>
      </c>
      <c r="P226" s="35"/>
      <c r="Q226" s="35">
        <v>0</v>
      </c>
      <c r="R226" s="35"/>
      <c r="S226" s="35">
        <v>0</v>
      </c>
      <c r="T226" s="35"/>
      <c r="U226" s="35">
        <v>0</v>
      </c>
      <c r="V226" s="35"/>
      <c r="W226" s="35">
        <f t="shared" si="51"/>
        <v>0</v>
      </c>
      <c r="X226" s="35"/>
      <c r="Y226" s="35" t="s">
        <v>111</v>
      </c>
      <c r="Z226" s="55"/>
      <c r="AA226" s="44" t="s">
        <v>80</v>
      </c>
      <c r="AB226" s="44"/>
      <c r="AC226" s="35">
        <v>0</v>
      </c>
      <c r="AD226" s="35"/>
      <c r="AE226" s="35">
        <v>0</v>
      </c>
      <c r="AF226" s="35"/>
      <c r="AG226" s="35">
        <v>0</v>
      </c>
      <c r="AH226" s="35"/>
      <c r="AI226" s="45">
        <f t="shared" si="48"/>
        <v>0</v>
      </c>
      <c r="AJ226" s="45"/>
      <c r="AK226" s="35">
        <v>0</v>
      </c>
      <c r="AL226" s="35"/>
      <c r="AM226" s="35">
        <v>0</v>
      </c>
      <c r="AN226" s="35"/>
      <c r="AO226" s="35">
        <v>0</v>
      </c>
      <c r="AP226" s="35"/>
      <c r="AQ226" s="35">
        <v>0</v>
      </c>
      <c r="AR226" s="35"/>
      <c r="AS226" s="45">
        <f t="shared" si="49"/>
        <v>0</v>
      </c>
      <c r="AT226" s="45"/>
      <c r="AU226" s="35">
        <v>0</v>
      </c>
      <c r="AV226" s="35"/>
      <c r="AW226" s="35">
        <v>0</v>
      </c>
      <c r="AX226" s="35"/>
      <c r="AY226" s="35">
        <f t="shared" si="50"/>
        <v>0</v>
      </c>
      <c r="AZ226" s="35"/>
      <c r="BA226" s="35" t="s">
        <v>111</v>
      </c>
      <c r="BB226" s="55"/>
      <c r="BC226" s="44" t="s">
        <v>80</v>
      </c>
      <c r="BD226" s="44"/>
      <c r="BE226" s="35">
        <v>0</v>
      </c>
      <c r="BF226" s="35"/>
      <c r="BG226" s="35">
        <v>0</v>
      </c>
      <c r="BH226" s="35"/>
      <c r="BI226" s="35">
        <v>0</v>
      </c>
      <c r="BJ226" s="35"/>
      <c r="BK226" s="35">
        <v>0</v>
      </c>
      <c r="BL226" s="35"/>
      <c r="BM226" s="35">
        <f t="shared" si="43"/>
        <v>0</v>
      </c>
      <c r="BN226" s="54" t="s">
        <v>347</v>
      </c>
    </row>
    <row r="227" spans="1:67" ht="12.75" hidden="1" customHeight="1">
      <c r="A227" s="35" t="s">
        <v>265</v>
      </c>
      <c r="C227" s="44" t="s">
        <v>27</v>
      </c>
      <c r="D227" s="44"/>
      <c r="E227" s="35">
        <f t="shared" si="46"/>
        <v>0</v>
      </c>
      <c r="F227" s="35"/>
      <c r="G227" s="35">
        <v>0</v>
      </c>
      <c r="H227" s="35"/>
      <c r="I227" s="35">
        <v>0</v>
      </c>
      <c r="J227" s="35"/>
      <c r="K227" s="35">
        <f t="shared" si="47"/>
        <v>0</v>
      </c>
      <c r="L227" s="35"/>
      <c r="M227" s="35">
        <v>0</v>
      </c>
      <c r="N227" s="35"/>
      <c r="O227" s="35">
        <v>0</v>
      </c>
      <c r="P227" s="35"/>
      <c r="Q227" s="35">
        <v>0</v>
      </c>
      <c r="R227" s="35"/>
      <c r="S227" s="35">
        <v>0</v>
      </c>
      <c r="T227" s="35"/>
      <c r="U227" s="35">
        <v>0</v>
      </c>
      <c r="V227" s="35"/>
      <c r="W227" s="35">
        <f t="shared" si="51"/>
        <v>0</v>
      </c>
      <c r="X227" s="35"/>
      <c r="Y227" s="35" t="s">
        <v>265</v>
      </c>
      <c r="Z227" s="55"/>
      <c r="AA227" s="44" t="s">
        <v>27</v>
      </c>
      <c r="AB227" s="44"/>
      <c r="AC227" s="35">
        <v>0</v>
      </c>
      <c r="AD227" s="35"/>
      <c r="AE227" s="35">
        <v>0</v>
      </c>
      <c r="AF227" s="35"/>
      <c r="AG227" s="35">
        <v>0</v>
      </c>
      <c r="AH227" s="35"/>
      <c r="AI227" s="45">
        <f t="shared" si="48"/>
        <v>0</v>
      </c>
      <c r="AJ227" s="45"/>
      <c r="AK227" s="35">
        <v>0</v>
      </c>
      <c r="AL227" s="35"/>
      <c r="AM227" s="35">
        <v>0</v>
      </c>
      <c r="AN227" s="35"/>
      <c r="AO227" s="35">
        <v>0</v>
      </c>
      <c r="AP227" s="35"/>
      <c r="AQ227" s="35">
        <v>0</v>
      </c>
      <c r="AR227" s="35"/>
      <c r="AS227" s="45">
        <f t="shared" si="49"/>
        <v>0</v>
      </c>
      <c r="AT227" s="45"/>
      <c r="AU227" s="35">
        <v>0</v>
      </c>
      <c r="AV227" s="35"/>
      <c r="AW227" s="35">
        <v>0</v>
      </c>
      <c r="AX227" s="35"/>
      <c r="AY227" s="35">
        <f t="shared" si="50"/>
        <v>0</v>
      </c>
      <c r="AZ227" s="35"/>
      <c r="BA227" s="35" t="s">
        <v>265</v>
      </c>
      <c r="BB227" s="55"/>
      <c r="BC227" s="44" t="s">
        <v>27</v>
      </c>
      <c r="BD227" s="44"/>
      <c r="BE227" s="35">
        <v>0</v>
      </c>
      <c r="BF227" s="35"/>
      <c r="BG227" s="35">
        <v>0</v>
      </c>
      <c r="BH227" s="35"/>
      <c r="BI227" s="35">
        <v>0</v>
      </c>
      <c r="BJ227" s="35"/>
      <c r="BK227" s="35">
        <v>0</v>
      </c>
      <c r="BL227" s="35"/>
      <c r="BM227" s="35">
        <f t="shared" si="43"/>
        <v>0</v>
      </c>
      <c r="BN227" s="54" t="s">
        <v>347</v>
      </c>
    </row>
    <row r="228" spans="1:67" ht="12.75" hidden="1" customHeight="1">
      <c r="A228" s="35" t="s">
        <v>40</v>
      </c>
      <c r="C228" s="47" t="s">
        <v>452</v>
      </c>
      <c r="D228" s="35"/>
      <c r="E228" s="35">
        <f t="shared" si="46"/>
        <v>0</v>
      </c>
      <c r="F228" s="35"/>
      <c r="G228" s="35"/>
      <c r="H228" s="35"/>
      <c r="I228" s="35"/>
      <c r="J228" s="35"/>
      <c r="K228" s="35">
        <f t="shared" si="47"/>
        <v>0</v>
      </c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>
        <f t="shared" si="51"/>
        <v>0</v>
      </c>
      <c r="X228" s="35"/>
      <c r="Y228" s="35" t="s">
        <v>40</v>
      </c>
      <c r="Z228" s="55"/>
      <c r="AA228" s="47" t="s">
        <v>452</v>
      </c>
      <c r="AB228" s="35"/>
      <c r="AC228" s="35"/>
      <c r="AD228" s="35"/>
      <c r="AE228" s="35"/>
      <c r="AF228" s="35"/>
      <c r="AG228" s="35"/>
      <c r="AH228" s="35"/>
      <c r="AI228" s="45">
        <f t="shared" si="48"/>
        <v>0</v>
      </c>
      <c r="AJ228" s="45"/>
      <c r="AK228" s="35"/>
      <c r="AL228" s="35"/>
      <c r="AM228" s="35"/>
      <c r="AN228" s="35"/>
      <c r="AO228" s="35"/>
      <c r="AP228" s="35"/>
      <c r="AQ228" s="35"/>
      <c r="AR228" s="35"/>
      <c r="AS228" s="45">
        <f t="shared" si="49"/>
        <v>0</v>
      </c>
      <c r="AT228" s="45"/>
      <c r="AU228" s="35">
        <v>0</v>
      </c>
      <c r="AV228" s="35"/>
      <c r="AW228" s="35">
        <v>0</v>
      </c>
      <c r="AX228" s="35"/>
      <c r="AY228" s="35">
        <f t="shared" si="50"/>
        <v>0</v>
      </c>
      <c r="AZ228" s="35"/>
      <c r="BA228" s="35" t="s">
        <v>40</v>
      </c>
      <c r="BB228" s="55"/>
      <c r="BC228" s="47" t="s">
        <v>452</v>
      </c>
      <c r="BD228" s="35"/>
      <c r="BE228" s="35"/>
      <c r="BF228" s="35"/>
      <c r="BG228" s="35"/>
      <c r="BH228" s="35"/>
      <c r="BI228" s="35"/>
      <c r="BJ228" s="35"/>
      <c r="BK228" s="35"/>
      <c r="BL228" s="35"/>
      <c r="BM228" s="35">
        <f t="shared" si="43"/>
        <v>0</v>
      </c>
      <c r="BN228" s="54" t="s">
        <v>347</v>
      </c>
    </row>
    <row r="229" spans="1:67" ht="12.75" hidden="1" customHeight="1">
      <c r="A229" s="35" t="s">
        <v>266</v>
      </c>
      <c r="C229" s="35" t="s">
        <v>267</v>
      </c>
      <c r="D229" s="35"/>
      <c r="E229" s="35">
        <f t="shared" si="46"/>
        <v>0</v>
      </c>
      <c r="F229" s="35"/>
      <c r="G229" s="35">
        <v>0</v>
      </c>
      <c r="H229" s="35"/>
      <c r="I229" s="35">
        <v>0</v>
      </c>
      <c r="J229" s="35"/>
      <c r="K229" s="35">
        <f t="shared" si="47"/>
        <v>0</v>
      </c>
      <c r="L229" s="35"/>
      <c r="M229" s="35">
        <v>0</v>
      </c>
      <c r="N229" s="35"/>
      <c r="O229" s="35">
        <v>0</v>
      </c>
      <c r="P229" s="35"/>
      <c r="Q229" s="35">
        <v>0</v>
      </c>
      <c r="R229" s="35"/>
      <c r="S229" s="35">
        <v>0</v>
      </c>
      <c r="T229" s="35"/>
      <c r="U229" s="35">
        <v>0</v>
      </c>
      <c r="V229" s="35"/>
      <c r="W229" s="35">
        <v>0</v>
      </c>
      <c r="X229" s="35"/>
      <c r="Y229" s="35" t="s">
        <v>266</v>
      </c>
      <c r="Z229" s="55"/>
      <c r="AA229" s="35" t="s">
        <v>267</v>
      </c>
      <c r="AB229" s="35"/>
      <c r="AC229" s="35">
        <v>0</v>
      </c>
      <c r="AD229" s="35"/>
      <c r="AE229" s="35">
        <v>0</v>
      </c>
      <c r="AF229" s="35"/>
      <c r="AG229" s="35">
        <v>0</v>
      </c>
      <c r="AH229" s="35"/>
      <c r="AI229" s="45">
        <f t="shared" si="48"/>
        <v>0</v>
      </c>
      <c r="AJ229" s="45"/>
      <c r="AK229" s="35">
        <v>0</v>
      </c>
      <c r="AL229" s="35"/>
      <c r="AM229" s="35">
        <v>0</v>
      </c>
      <c r="AN229" s="35"/>
      <c r="AO229" s="35">
        <v>0</v>
      </c>
      <c r="AP229" s="35"/>
      <c r="AQ229" s="35">
        <v>0</v>
      </c>
      <c r="AR229" s="35"/>
      <c r="AS229" s="45">
        <f t="shared" si="49"/>
        <v>0</v>
      </c>
      <c r="AT229" s="45"/>
      <c r="AU229" s="35">
        <v>0</v>
      </c>
      <c r="AV229" s="35"/>
      <c r="AW229" s="35">
        <v>0</v>
      </c>
      <c r="AX229" s="35"/>
      <c r="AY229" s="35">
        <f t="shared" si="50"/>
        <v>0</v>
      </c>
      <c r="AZ229" s="35"/>
      <c r="BA229" s="35" t="s">
        <v>266</v>
      </c>
      <c r="BB229" s="55"/>
      <c r="BC229" s="35" t="s">
        <v>267</v>
      </c>
      <c r="BD229" s="35"/>
      <c r="BE229" s="35">
        <v>0</v>
      </c>
      <c r="BF229" s="35"/>
      <c r="BG229" s="35">
        <v>0</v>
      </c>
      <c r="BH229" s="35"/>
      <c r="BI229" s="35">
        <v>0</v>
      </c>
      <c r="BJ229" s="35"/>
      <c r="BK229" s="35">
        <v>0</v>
      </c>
      <c r="BL229" s="35"/>
      <c r="BM229" s="35">
        <f t="shared" si="43"/>
        <v>0</v>
      </c>
      <c r="BN229" s="54" t="s">
        <v>347</v>
      </c>
    </row>
    <row r="230" spans="1:67" ht="12.75" hidden="1" customHeight="1">
      <c r="A230" s="35" t="s">
        <v>268</v>
      </c>
      <c r="C230" s="35" t="s">
        <v>269</v>
      </c>
      <c r="D230" s="35"/>
      <c r="E230" s="35">
        <f t="shared" si="46"/>
        <v>0</v>
      </c>
      <c r="F230" s="35"/>
      <c r="G230" s="35">
        <v>0</v>
      </c>
      <c r="H230" s="35"/>
      <c r="I230" s="35">
        <v>0</v>
      </c>
      <c r="J230" s="35"/>
      <c r="K230" s="35">
        <f t="shared" si="47"/>
        <v>0</v>
      </c>
      <c r="L230" s="35"/>
      <c r="M230" s="35">
        <v>0</v>
      </c>
      <c r="N230" s="35"/>
      <c r="O230" s="35">
        <v>0</v>
      </c>
      <c r="P230" s="35"/>
      <c r="Q230" s="35">
        <v>0</v>
      </c>
      <c r="R230" s="35"/>
      <c r="S230" s="35">
        <v>0</v>
      </c>
      <c r="T230" s="35"/>
      <c r="U230" s="35">
        <v>0</v>
      </c>
      <c r="V230" s="35"/>
      <c r="W230" s="35">
        <f t="shared" ref="W230:W247" si="52">SUM(Q230:U230)</f>
        <v>0</v>
      </c>
      <c r="X230" s="35"/>
      <c r="Y230" s="35" t="s">
        <v>268</v>
      </c>
      <c r="Z230" s="55"/>
      <c r="AA230" s="35" t="s">
        <v>269</v>
      </c>
      <c r="AB230" s="35"/>
      <c r="AC230" s="35">
        <v>0</v>
      </c>
      <c r="AD230" s="35"/>
      <c r="AE230" s="35">
        <v>0</v>
      </c>
      <c r="AF230" s="35"/>
      <c r="AG230" s="35">
        <v>0</v>
      </c>
      <c r="AH230" s="35"/>
      <c r="AI230" s="45">
        <v>0</v>
      </c>
      <c r="AJ230" s="45"/>
      <c r="AK230" s="35">
        <v>0</v>
      </c>
      <c r="AL230" s="35"/>
      <c r="AM230" s="35">
        <v>0</v>
      </c>
      <c r="AN230" s="35"/>
      <c r="AO230" s="35">
        <v>0</v>
      </c>
      <c r="AP230" s="35"/>
      <c r="AQ230" s="35">
        <v>0</v>
      </c>
      <c r="AR230" s="35"/>
      <c r="AS230" s="45">
        <f t="shared" si="49"/>
        <v>0</v>
      </c>
      <c r="AT230" s="45"/>
      <c r="AU230" s="35">
        <v>0</v>
      </c>
      <c r="AV230" s="35"/>
      <c r="AW230" s="35">
        <v>0</v>
      </c>
      <c r="AX230" s="35"/>
      <c r="AY230" s="35">
        <f t="shared" si="50"/>
        <v>0</v>
      </c>
      <c r="AZ230" s="35"/>
      <c r="BA230" s="35" t="s">
        <v>268</v>
      </c>
      <c r="BB230" s="55"/>
      <c r="BC230" s="35" t="s">
        <v>269</v>
      </c>
      <c r="BD230" s="35"/>
      <c r="BE230" s="35">
        <v>0</v>
      </c>
      <c r="BF230" s="35"/>
      <c r="BG230" s="35">
        <v>0</v>
      </c>
      <c r="BH230" s="35"/>
      <c r="BI230" s="35">
        <v>0</v>
      </c>
      <c r="BJ230" s="35"/>
      <c r="BK230" s="35">
        <v>0</v>
      </c>
      <c r="BL230" s="35"/>
      <c r="BM230" s="35">
        <v>0</v>
      </c>
      <c r="BN230" s="54" t="s">
        <v>347</v>
      </c>
    </row>
    <row r="231" spans="1:67" ht="12.75" hidden="1" customHeight="1">
      <c r="A231" s="35" t="s">
        <v>270</v>
      </c>
      <c r="C231" s="35" t="s">
        <v>136</v>
      </c>
      <c r="D231" s="35"/>
      <c r="E231" s="35">
        <f t="shared" si="46"/>
        <v>0</v>
      </c>
      <c r="F231" s="35"/>
      <c r="G231" s="35">
        <v>0</v>
      </c>
      <c r="H231" s="35"/>
      <c r="I231" s="35">
        <v>0</v>
      </c>
      <c r="J231" s="35"/>
      <c r="K231" s="35">
        <f t="shared" si="47"/>
        <v>0</v>
      </c>
      <c r="L231" s="35"/>
      <c r="M231" s="35">
        <v>0</v>
      </c>
      <c r="N231" s="35"/>
      <c r="O231" s="35">
        <v>0</v>
      </c>
      <c r="P231" s="35"/>
      <c r="Q231" s="35">
        <v>0</v>
      </c>
      <c r="R231" s="35"/>
      <c r="S231" s="35">
        <v>0</v>
      </c>
      <c r="T231" s="35"/>
      <c r="U231" s="35">
        <v>0</v>
      </c>
      <c r="V231" s="35"/>
      <c r="W231" s="35">
        <f t="shared" si="52"/>
        <v>0</v>
      </c>
      <c r="X231" s="35"/>
      <c r="Y231" s="35" t="s">
        <v>270</v>
      </c>
      <c r="Z231" s="55"/>
      <c r="AA231" s="35" t="s">
        <v>136</v>
      </c>
      <c r="AB231" s="35"/>
      <c r="AC231" s="35">
        <v>0</v>
      </c>
      <c r="AD231" s="35"/>
      <c r="AE231" s="35">
        <v>0</v>
      </c>
      <c r="AF231" s="35"/>
      <c r="AG231" s="35">
        <v>0</v>
      </c>
      <c r="AH231" s="35"/>
      <c r="AI231" s="45">
        <f>+AC231-AE231-AG231</f>
        <v>0</v>
      </c>
      <c r="AJ231" s="45"/>
      <c r="AK231" s="35">
        <v>0</v>
      </c>
      <c r="AL231" s="35"/>
      <c r="AM231" s="35">
        <v>0</v>
      </c>
      <c r="AN231" s="35"/>
      <c r="AO231" s="35">
        <v>0</v>
      </c>
      <c r="AP231" s="35"/>
      <c r="AQ231" s="35">
        <v>0</v>
      </c>
      <c r="AR231" s="35"/>
      <c r="AS231" s="45">
        <f t="shared" si="49"/>
        <v>0</v>
      </c>
      <c r="AT231" s="45"/>
      <c r="AU231" s="35">
        <v>0</v>
      </c>
      <c r="AV231" s="35"/>
      <c r="AW231" s="35">
        <v>0</v>
      </c>
      <c r="AX231" s="35"/>
      <c r="AY231" s="35">
        <f t="shared" si="50"/>
        <v>0</v>
      </c>
      <c r="AZ231" s="35"/>
      <c r="BA231" s="35" t="s">
        <v>270</v>
      </c>
      <c r="BB231" s="55"/>
      <c r="BC231" s="35" t="s">
        <v>136</v>
      </c>
      <c r="BD231" s="35"/>
      <c r="BE231" s="35">
        <v>0</v>
      </c>
      <c r="BF231" s="35"/>
      <c r="BG231" s="35">
        <v>0</v>
      </c>
      <c r="BH231" s="35"/>
      <c r="BI231" s="35">
        <v>0</v>
      </c>
      <c r="BJ231" s="35"/>
      <c r="BK231" s="35">
        <v>0</v>
      </c>
      <c r="BL231" s="35"/>
      <c r="BM231" s="35">
        <f t="shared" ref="BM231:BM247" si="53">SUM(BE231:BK231)</f>
        <v>0</v>
      </c>
      <c r="BN231" s="54" t="s">
        <v>347</v>
      </c>
    </row>
    <row r="232" spans="1:67" ht="12.75" hidden="1" customHeight="1">
      <c r="A232" s="35" t="s">
        <v>271</v>
      </c>
      <c r="C232" s="35" t="s">
        <v>66</v>
      </c>
      <c r="D232" s="35"/>
      <c r="E232" s="35">
        <f t="shared" si="46"/>
        <v>0</v>
      </c>
      <c r="F232" s="35"/>
      <c r="G232" s="35">
        <v>0</v>
      </c>
      <c r="H232" s="35"/>
      <c r="I232" s="35">
        <v>0</v>
      </c>
      <c r="J232" s="35"/>
      <c r="K232" s="35">
        <f t="shared" si="47"/>
        <v>0</v>
      </c>
      <c r="L232" s="35"/>
      <c r="M232" s="35">
        <v>0</v>
      </c>
      <c r="N232" s="35"/>
      <c r="O232" s="35">
        <v>0</v>
      </c>
      <c r="P232" s="35"/>
      <c r="Q232" s="35">
        <v>0</v>
      </c>
      <c r="R232" s="35"/>
      <c r="S232" s="35">
        <v>0</v>
      </c>
      <c r="T232" s="35"/>
      <c r="U232" s="35">
        <v>0</v>
      </c>
      <c r="V232" s="35"/>
      <c r="W232" s="35">
        <f t="shared" si="52"/>
        <v>0</v>
      </c>
      <c r="X232" s="35"/>
      <c r="Y232" s="35" t="s">
        <v>271</v>
      </c>
      <c r="Z232" s="55"/>
      <c r="AA232" s="35" t="s">
        <v>66</v>
      </c>
      <c r="AB232" s="35"/>
      <c r="AC232" s="35">
        <v>0</v>
      </c>
      <c r="AD232" s="35"/>
      <c r="AE232" s="35">
        <v>0</v>
      </c>
      <c r="AF232" s="35"/>
      <c r="AG232" s="35">
        <v>0</v>
      </c>
      <c r="AH232" s="35"/>
      <c r="AI232" s="45">
        <f>+AC232-AE232-AG232</f>
        <v>0</v>
      </c>
      <c r="AJ232" s="45"/>
      <c r="AK232" s="35">
        <v>0</v>
      </c>
      <c r="AL232" s="35"/>
      <c r="AM232" s="35">
        <v>0</v>
      </c>
      <c r="AN232" s="35"/>
      <c r="AO232" s="35">
        <v>0</v>
      </c>
      <c r="AP232" s="35"/>
      <c r="AQ232" s="35">
        <v>0</v>
      </c>
      <c r="AR232" s="35"/>
      <c r="AS232" s="45">
        <f t="shared" si="49"/>
        <v>0</v>
      </c>
      <c r="AT232" s="45"/>
      <c r="AU232" s="35">
        <v>0</v>
      </c>
      <c r="AV232" s="35"/>
      <c r="AW232" s="35">
        <v>0</v>
      </c>
      <c r="AX232" s="35"/>
      <c r="AY232" s="35">
        <f t="shared" si="50"/>
        <v>0</v>
      </c>
      <c r="AZ232" s="35"/>
      <c r="BA232" s="35" t="s">
        <v>271</v>
      </c>
      <c r="BB232" s="55"/>
      <c r="BC232" s="35" t="s">
        <v>66</v>
      </c>
      <c r="BD232" s="35"/>
      <c r="BE232" s="35">
        <v>0</v>
      </c>
      <c r="BF232" s="35"/>
      <c r="BG232" s="35">
        <v>0</v>
      </c>
      <c r="BH232" s="35"/>
      <c r="BI232" s="35">
        <v>0</v>
      </c>
      <c r="BJ232" s="35"/>
      <c r="BK232" s="35">
        <v>0</v>
      </c>
      <c r="BL232" s="35"/>
      <c r="BM232" s="35">
        <f t="shared" si="53"/>
        <v>0</v>
      </c>
      <c r="BN232" s="54" t="s">
        <v>347</v>
      </c>
    </row>
    <row r="233" spans="1:67" ht="12.75" customHeight="1">
      <c r="A233" s="35" t="s">
        <v>272</v>
      </c>
      <c r="C233" s="35" t="s">
        <v>43</v>
      </c>
      <c r="D233" s="35"/>
      <c r="E233" s="35">
        <f t="shared" si="46"/>
        <v>29327662</v>
      </c>
      <c r="F233" s="35"/>
      <c r="G233" s="35">
        <v>47725146</v>
      </c>
      <c r="H233" s="35"/>
      <c r="I233" s="35">
        <v>77052808</v>
      </c>
      <c r="J233" s="35"/>
      <c r="K233" s="35">
        <f t="shared" si="47"/>
        <v>5524444</v>
      </c>
      <c r="L233" s="35"/>
      <c r="M233" s="35">
        <v>20431238</v>
      </c>
      <c r="N233" s="35"/>
      <c r="O233" s="35">
        <v>25955682</v>
      </c>
      <c r="P233" s="35"/>
      <c r="Q233" s="35">
        <v>36121372</v>
      </c>
      <c r="R233" s="35"/>
      <c r="S233" s="35">
        <v>0</v>
      </c>
      <c r="T233" s="35"/>
      <c r="U233" s="35">
        <v>14975754</v>
      </c>
      <c r="V233" s="35"/>
      <c r="W233" s="35">
        <f t="shared" si="52"/>
        <v>51097126</v>
      </c>
      <c r="X233" s="35"/>
      <c r="Y233" s="35" t="s">
        <v>272</v>
      </c>
      <c r="Z233" s="55"/>
      <c r="AA233" s="35" t="s">
        <v>43</v>
      </c>
      <c r="AB233" s="35"/>
      <c r="AC233" s="35">
        <v>34766305</v>
      </c>
      <c r="AD233" s="35"/>
      <c r="AE233" s="35">
        <v>31187493</v>
      </c>
      <c r="AF233" s="35"/>
      <c r="AG233" s="35">
        <v>1831546</v>
      </c>
      <c r="AH233" s="35"/>
      <c r="AI233" s="45">
        <f>+AC233-AE233-AG233</f>
        <v>1747266</v>
      </c>
      <c r="AJ233" s="45"/>
      <c r="AK233" s="35">
        <v>-887737</v>
      </c>
      <c r="AL233" s="35"/>
      <c r="AM233" s="35">
        <v>0</v>
      </c>
      <c r="AN233" s="35"/>
      <c r="AO233" s="35">
        <v>0</v>
      </c>
      <c r="AP233" s="35"/>
      <c r="AQ233" s="35">
        <v>0</v>
      </c>
      <c r="AR233" s="35"/>
      <c r="AS233" s="45">
        <f t="shared" si="49"/>
        <v>859529</v>
      </c>
      <c r="AT233" s="45"/>
      <c r="AU233" s="35">
        <v>0</v>
      </c>
      <c r="AV233" s="35"/>
      <c r="AW233" s="35">
        <v>0</v>
      </c>
      <c r="AX233" s="35"/>
      <c r="AY233" s="35">
        <f t="shared" si="50"/>
        <v>23803218</v>
      </c>
      <c r="AZ233" s="35"/>
      <c r="BA233" s="35" t="s">
        <v>272</v>
      </c>
      <c r="BB233" s="55"/>
      <c r="BC233" s="35" t="s">
        <v>43</v>
      </c>
      <c r="BD233" s="35"/>
      <c r="BE233" s="35">
        <v>20316757</v>
      </c>
      <c r="BF233" s="35"/>
      <c r="BG233" s="35">
        <v>0</v>
      </c>
      <c r="BH233" s="35"/>
      <c r="BI233" s="35">
        <v>0</v>
      </c>
      <c r="BJ233" s="35"/>
      <c r="BK233" s="35">
        <v>114481</v>
      </c>
      <c r="BL233" s="35"/>
      <c r="BM233" s="35">
        <f t="shared" si="53"/>
        <v>20431238</v>
      </c>
      <c r="BN233" s="54" t="s">
        <v>347</v>
      </c>
    </row>
    <row r="234" spans="1:67" ht="12.75" hidden="1" customHeight="1">
      <c r="A234" s="35" t="s">
        <v>273</v>
      </c>
      <c r="C234" s="35" t="s">
        <v>27</v>
      </c>
      <c r="D234" s="35"/>
      <c r="E234" s="35">
        <f t="shared" si="46"/>
        <v>0</v>
      </c>
      <c r="F234" s="35"/>
      <c r="G234" s="35">
        <v>0</v>
      </c>
      <c r="H234" s="35"/>
      <c r="I234" s="35">
        <v>0</v>
      </c>
      <c r="J234" s="35"/>
      <c r="K234" s="35">
        <f t="shared" si="47"/>
        <v>0</v>
      </c>
      <c r="L234" s="35"/>
      <c r="M234" s="35">
        <v>0</v>
      </c>
      <c r="N234" s="35"/>
      <c r="O234" s="35">
        <v>0</v>
      </c>
      <c r="P234" s="35"/>
      <c r="Q234" s="35">
        <v>0</v>
      </c>
      <c r="R234" s="35"/>
      <c r="S234" s="35">
        <v>0</v>
      </c>
      <c r="T234" s="35"/>
      <c r="U234" s="35">
        <v>0</v>
      </c>
      <c r="V234" s="35"/>
      <c r="W234" s="35">
        <f t="shared" si="52"/>
        <v>0</v>
      </c>
      <c r="X234" s="35"/>
      <c r="Y234" s="35" t="s">
        <v>273</v>
      </c>
      <c r="Z234" s="55"/>
      <c r="AA234" s="35" t="s">
        <v>27</v>
      </c>
      <c r="AB234" s="35"/>
      <c r="AC234" s="35">
        <v>0</v>
      </c>
      <c r="AD234" s="35"/>
      <c r="AE234" s="35">
        <v>0</v>
      </c>
      <c r="AF234" s="35"/>
      <c r="AG234" s="35">
        <v>0</v>
      </c>
      <c r="AH234" s="35"/>
      <c r="AI234" s="45">
        <f>+AC234-AE234-AG234</f>
        <v>0</v>
      </c>
      <c r="AJ234" s="45"/>
      <c r="AK234" s="35">
        <v>0</v>
      </c>
      <c r="AL234" s="35"/>
      <c r="AM234" s="35">
        <v>0</v>
      </c>
      <c r="AN234" s="35"/>
      <c r="AO234" s="35">
        <v>0</v>
      </c>
      <c r="AP234" s="35"/>
      <c r="AQ234" s="35">
        <v>0</v>
      </c>
      <c r="AR234" s="35"/>
      <c r="AS234" s="45">
        <f t="shared" si="49"/>
        <v>0</v>
      </c>
      <c r="AT234" s="45"/>
      <c r="AU234" s="35">
        <v>0</v>
      </c>
      <c r="AV234" s="35"/>
      <c r="AW234" s="35">
        <v>0</v>
      </c>
      <c r="AX234" s="35"/>
      <c r="AY234" s="35">
        <f t="shared" si="50"/>
        <v>0</v>
      </c>
      <c r="AZ234" s="35"/>
      <c r="BA234" s="35" t="s">
        <v>273</v>
      </c>
      <c r="BB234" s="55"/>
      <c r="BC234" s="35" t="s">
        <v>27</v>
      </c>
      <c r="BD234" s="35"/>
      <c r="BE234" s="35">
        <v>0</v>
      </c>
      <c r="BF234" s="35"/>
      <c r="BG234" s="35">
        <v>0</v>
      </c>
      <c r="BH234" s="35"/>
      <c r="BI234" s="35">
        <v>0</v>
      </c>
      <c r="BJ234" s="35"/>
      <c r="BK234" s="35">
        <v>0</v>
      </c>
      <c r="BL234" s="35"/>
      <c r="BM234" s="35">
        <f t="shared" si="53"/>
        <v>0</v>
      </c>
      <c r="BN234" s="54" t="s">
        <v>347</v>
      </c>
    </row>
    <row r="235" spans="1:67" ht="12.75" hidden="1" customHeight="1">
      <c r="A235" s="35" t="s">
        <v>274</v>
      </c>
      <c r="C235" s="35" t="s">
        <v>43</v>
      </c>
      <c r="D235" s="35"/>
      <c r="E235" s="35">
        <f t="shared" si="46"/>
        <v>0</v>
      </c>
      <c r="F235" s="35"/>
      <c r="G235" s="35">
        <v>0</v>
      </c>
      <c r="H235" s="35"/>
      <c r="I235" s="35">
        <v>0</v>
      </c>
      <c r="J235" s="35"/>
      <c r="K235" s="35">
        <f t="shared" si="47"/>
        <v>0</v>
      </c>
      <c r="L235" s="35"/>
      <c r="M235" s="35">
        <v>0</v>
      </c>
      <c r="N235" s="35"/>
      <c r="O235" s="35">
        <v>0</v>
      </c>
      <c r="P235" s="35"/>
      <c r="Q235" s="35">
        <v>0</v>
      </c>
      <c r="R235" s="35"/>
      <c r="S235" s="35">
        <v>0</v>
      </c>
      <c r="T235" s="35"/>
      <c r="U235" s="35">
        <v>0</v>
      </c>
      <c r="V235" s="35"/>
      <c r="W235" s="35">
        <f t="shared" si="52"/>
        <v>0</v>
      </c>
      <c r="X235" s="35"/>
      <c r="Y235" s="35" t="s">
        <v>274</v>
      </c>
      <c r="Z235" s="55"/>
      <c r="AA235" s="35" t="s">
        <v>43</v>
      </c>
      <c r="AB235" s="35"/>
      <c r="AC235" s="35">
        <v>0</v>
      </c>
      <c r="AD235" s="35"/>
      <c r="AE235" s="35">
        <v>0</v>
      </c>
      <c r="AF235" s="35"/>
      <c r="AG235" s="35">
        <v>0</v>
      </c>
      <c r="AH235" s="35"/>
      <c r="AI235" s="45">
        <v>0</v>
      </c>
      <c r="AJ235" s="45"/>
      <c r="AK235" s="35">
        <v>0</v>
      </c>
      <c r="AL235" s="35"/>
      <c r="AM235" s="35">
        <v>0</v>
      </c>
      <c r="AN235" s="35"/>
      <c r="AO235" s="35">
        <v>0</v>
      </c>
      <c r="AP235" s="35"/>
      <c r="AQ235" s="35">
        <v>0</v>
      </c>
      <c r="AR235" s="35"/>
      <c r="AS235" s="45">
        <f t="shared" si="49"/>
        <v>0</v>
      </c>
      <c r="AT235" s="45"/>
      <c r="AU235" s="35">
        <v>0</v>
      </c>
      <c r="AV235" s="35"/>
      <c r="AW235" s="35">
        <v>0</v>
      </c>
      <c r="AX235" s="35"/>
      <c r="AY235" s="35">
        <f t="shared" si="50"/>
        <v>0</v>
      </c>
      <c r="AZ235" s="35"/>
      <c r="BA235" s="35" t="s">
        <v>274</v>
      </c>
      <c r="BB235" s="55"/>
      <c r="BC235" s="35" t="s">
        <v>43</v>
      </c>
      <c r="BD235" s="35"/>
      <c r="BE235" s="35">
        <v>0</v>
      </c>
      <c r="BF235" s="35"/>
      <c r="BG235" s="35">
        <v>0</v>
      </c>
      <c r="BH235" s="35"/>
      <c r="BI235" s="35">
        <v>0</v>
      </c>
      <c r="BJ235" s="35"/>
      <c r="BK235" s="35">
        <v>0</v>
      </c>
      <c r="BL235" s="35"/>
      <c r="BM235" s="35">
        <f t="shared" si="53"/>
        <v>0</v>
      </c>
      <c r="BN235" s="54" t="s">
        <v>347</v>
      </c>
    </row>
    <row r="236" spans="1:67" ht="12.75" hidden="1" customHeight="1">
      <c r="A236" s="35" t="s">
        <v>275</v>
      </c>
      <c r="C236" s="35" t="s">
        <v>92</v>
      </c>
      <c r="D236" s="35"/>
      <c r="E236" s="35">
        <f t="shared" si="46"/>
        <v>0</v>
      </c>
      <c r="F236" s="35"/>
      <c r="G236" s="35">
        <v>0</v>
      </c>
      <c r="H236" s="35"/>
      <c r="I236" s="35">
        <v>0</v>
      </c>
      <c r="J236" s="35"/>
      <c r="K236" s="35">
        <f t="shared" si="47"/>
        <v>0</v>
      </c>
      <c r="L236" s="35"/>
      <c r="M236" s="35">
        <v>0</v>
      </c>
      <c r="N236" s="35"/>
      <c r="O236" s="35">
        <v>0</v>
      </c>
      <c r="P236" s="35"/>
      <c r="Q236" s="35">
        <v>0</v>
      </c>
      <c r="R236" s="35"/>
      <c r="S236" s="35">
        <v>0</v>
      </c>
      <c r="T236" s="35"/>
      <c r="U236" s="35">
        <v>0</v>
      </c>
      <c r="V236" s="35"/>
      <c r="W236" s="35">
        <f t="shared" si="52"/>
        <v>0</v>
      </c>
      <c r="X236" s="35"/>
      <c r="Y236" s="35" t="s">
        <v>275</v>
      </c>
      <c r="Z236" s="55"/>
      <c r="AA236" s="35" t="s">
        <v>92</v>
      </c>
      <c r="AB236" s="35"/>
      <c r="AC236" s="35">
        <v>0</v>
      </c>
      <c r="AD236" s="35"/>
      <c r="AE236" s="35">
        <v>0</v>
      </c>
      <c r="AF236" s="35"/>
      <c r="AG236" s="35">
        <v>0</v>
      </c>
      <c r="AH236" s="35"/>
      <c r="AI236" s="45">
        <f t="shared" ref="AI236:AI243" si="54">+AC236-AE236-AG236</f>
        <v>0</v>
      </c>
      <c r="AJ236" s="45"/>
      <c r="AK236" s="35">
        <v>0</v>
      </c>
      <c r="AL236" s="35"/>
      <c r="AM236" s="35">
        <v>0</v>
      </c>
      <c r="AN236" s="35"/>
      <c r="AO236" s="35">
        <v>0</v>
      </c>
      <c r="AP236" s="35"/>
      <c r="AQ236" s="35">
        <v>0</v>
      </c>
      <c r="AR236" s="35"/>
      <c r="AS236" s="45">
        <f t="shared" si="49"/>
        <v>0</v>
      </c>
      <c r="AT236" s="45"/>
      <c r="AU236" s="35">
        <v>0</v>
      </c>
      <c r="AV236" s="35"/>
      <c r="AW236" s="35">
        <v>0</v>
      </c>
      <c r="AX236" s="35"/>
      <c r="AY236" s="35">
        <f t="shared" si="50"/>
        <v>0</v>
      </c>
      <c r="AZ236" s="35"/>
      <c r="BA236" s="35" t="s">
        <v>275</v>
      </c>
      <c r="BB236" s="55"/>
      <c r="BC236" s="35" t="s">
        <v>92</v>
      </c>
      <c r="BD236" s="35"/>
      <c r="BE236" s="35">
        <v>0</v>
      </c>
      <c r="BF236" s="35"/>
      <c r="BG236" s="35">
        <v>0</v>
      </c>
      <c r="BH236" s="35"/>
      <c r="BI236" s="35">
        <v>0</v>
      </c>
      <c r="BJ236" s="35"/>
      <c r="BK236" s="35">
        <v>0</v>
      </c>
      <c r="BL236" s="35"/>
      <c r="BM236" s="35">
        <f t="shared" si="53"/>
        <v>0</v>
      </c>
      <c r="BN236" s="54" t="s">
        <v>347</v>
      </c>
    </row>
    <row r="237" spans="1:67" ht="12.75" hidden="1" customHeight="1">
      <c r="A237" s="35" t="s">
        <v>276</v>
      </c>
      <c r="C237" s="35" t="s">
        <v>38</v>
      </c>
      <c r="D237" s="35"/>
      <c r="E237" s="35">
        <f t="shared" si="46"/>
        <v>0</v>
      </c>
      <c r="F237" s="35"/>
      <c r="G237" s="35"/>
      <c r="H237" s="35"/>
      <c r="I237" s="35"/>
      <c r="J237" s="35"/>
      <c r="K237" s="35">
        <f t="shared" si="47"/>
        <v>0</v>
      </c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>
        <f t="shared" si="52"/>
        <v>0</v>
      </c>
      <c r="X237" s="35"/>
      <c r="Y237" s="35" t="s">
        <v>276</v>
      </c>
      <c r="Z237" s="55"/>
      <c r="AA237" s="35" t="s">
        <v>38</v>
      </c>
      <c r="AB237" s="35"/>
      <c r="AC237" s="35"/>
      <c r="AD237" s="35"/>
      <c r="AE237" s="35"/>
      <c r="AF237" s="35"/>
      <c r="AG237" s="35"/>
      <c r="AH237" s="35"/>
      <c r="AI237" s="45">
        <f t="shared" si="54"/>
        <v>0</v>
      </c>
      <c r="AJ237" s="45"/>
      <c r="AK237" s="35"/>
      <c r="AL237" s="35"/>
      <c r="AM237" s="35"/>
      <c r="AN237" s="35"/>
      <c r="AO237" s="35"/>
      <c r="AP237" s="35"/>
      <c r="AQ237" s="35"/>
      <c r="AR237" s="35"/>
      <c r="AS237" s="45">
        <f t="shared" si="49"/>
        <v>0</v>
      </c>
      <c r="AT237" s="45"/>
      <c r="AU237" s="35">
        <v>0</v>
      </c>
      <c r="AV237" s="35"/>
      <c r="AW237" s="35">
        <v>0</v>
      </c>
      <c r="AX237" s="35"/>
      <c r="AY237" s="35">
        <f t="shared" si="50"/>
        <v>0</v>
      </c>
      <c r="AZ237" s="35"/>
      <c r="BA237" s="35" t="s">
        <v>276</v>
      </c>
      <c r="BB237" s="55"/>
      <c r="BC237" s="35" t="s">
        <v>38</v>
      </c>
      <c r="BD237" s="35"/>
      <c r="BE237" s="35"/>
      <c r="BF237" s="35"/>
      <c r="BG237" s="35"/>
      <c r="BH237" s="35"/>
      <c r="BI237" s="35"/>
      <c r="BJ237" s="35"/>
      <c r="BK237" s="35"/>
      <c r="BL237" s="35"/>
      <c r="BM237" s="35">
        <f t="shared" si="53"/>
        <v>0</v>
      </c>
      <c r="BN237" s="54" t="s">
        <v>347</v>
      </c>
      <c r="BO237" s="35" t="s">
        <v>366</v>
      </c>
    </row>
    <row r="238" spans="1:67" ht="12.75" hidden="1" customHeight="1">
      <c r="A238" s="35" t="s">
        <v>277</v>
      </c>
      <c r="C238" s="35" t="s">
        <v>92</v>
      </c>
      <c r="D238" s="35"/>
      <c r="E238" s="35">
        <f t="shared" si="46"/>
        <v>0</v>
      </c>
      <c r="F238" s="35"/>
      <c r="G238" s="35">
        <v>0</v>
      </c>
      <c r="H238" s="35"/>
      <c r="I238" s="35">
        <v>0</v>
      </c>
      <c r="J238" s="35"/>
      <c r="K238" s="35">
        <f t="shared" si="47"/>
        <v>0</v>
      </c>
      <c r="L238" s="35"/>
      <c r="M238" s="35">
        <v>0</v>
      </c>
      <c r="N238" s="35"/>
      <c r="O238" s="35">
        <v>0</v>
      </c>
      <c r="P238" s="35"/>
      <c r="Q238" s="35">
        <v>0</v>
      </c>
      <c r="R238" s="35"/>
      <c r="S238" s="35">
        <v>0</v>
      </c>
      <c r="T238" s="35"/>
      <c r="U238" s="35">
        <v>0</v>
      </c>
      <c r="V238" s="35"/>
      <c r="W238" s="35">
        <f t="shared" si="52"/>
        <v>0</v>
      </c>
      <c r="X238" s="35"/>
      <c r="Y238" s="35" t="s">
        <v>277</v>
      </c>
      <c r="Z238" s="55"/>
      <c r="AA238" s="35" t="s">
        <v>92</v>
      </c>
      <c r="AB238" s="35"/>
      <c r="AC238" s="35">
        <v>0</v>
      </c>
      <c r="AD238" s="35"/>
      <c r="AE238" s="35">
        <v>0</v>
      </c>
      <c r="AF238" s="35"/>
      <c r="AG238" s="35">
        <v>0</v>
      </c>
      <c r="AH238" s="35"/>
      <c r="AI238" s="45">
        <f t="shared" si="54"/>
        <v>0</v>
      </c>
      <c r="AJ238" s="45"/>
      <c r="AK238" s="35">
        <v>0</v>
      </c>
      <c r="AL238" s="35"/>
      <c r="AM238" s="35">
        <v>0</v>
      </c>
      <c r="AN238" s="35"/>
      <c r="AO238" s="35">
        <v>0</v>
      </c>
      <c r="AP238" s="35"/>
      <c r="AQ238" s="35">
        <v>0</v>
      </c>
      <c r="AR238" s="35"/>
      <c r="AS238" s="45">
        <f t="shared" si="49"/>
        <v>0</v>
      </c>
      <c r="AT238" s="45"/>
      <c r="AU238" s="35">
        <v>0</v>
      </c>
      <c r="AV238" s="35"/>
      <c r="AW238" s="35">
        <v>0</v>
      </c>
      <c r="AX238" s="35"/>
      <c r="AY238" s="35">
        <f t="shared" ref="AY238:AY247" si="55">+E238-K238</f>
        <v>0</v>
      </c>
      <c r="AZ238" s="35"/>
      <c r="BA238" s="35" t="s">
        <v>277</v>
      </c>
      <c r="BB238" s="55"/>
      <c r="BC238" s="35" t="s">
        <v>92</v>
      </c>
      <c r="BD238" s="35"/>
      <c r="BE238" s="35">
        <v>0</v>
      </c>
      <c r="BF238" s="35"/>
      <c r="BG238" s="35">
        <v>0</v>
      </c>
      <c r="BH238" s="35"/>
      <c r="BI238" s="35">
        <v>0</v>
      </c>
      <c r="BJ238" s="35"/>
      <c r="BK238" s="35">
        <v>0</v>
      </c>
      <c r="BL238" s="35"/>
      <c r="BM238" s="35">
        <f t="shared" si="53"/>
        <v>0</v>
      </c>
      <c r="BN238" s="54" t="s">
        <v>347</v>
      </c>
    </row>
    <row r="239" spans="1:67" ht="12.75" hidden="1" customHeight="1">
      <c r="A239" s="35" t="s">
        <v>278</v>
      </c>
      <c r="C239" s="35" t="s">
        <v>92</v>
      </c>
      <c r="D239" s="35"/>
      <c r="E239" s="35">
        <f t="shared" si="46"/>
        <v>0</v>
      </c>
      <c r="F239" s="35"/>
      <c r="G239" s="35"/>
      <c r="H239" s="35"/>
      <c r="I239" s="35"/>
      <c r="J239" s="35"/>
      <c r="K239" s="35">
        <f t="shared" si="47"/>
        <v>0</v>
      </c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>
        <f t="shared" si="52"/>
        <v>0</v>
      </c>
      <c r="X239" s="35"/>
      <c r="Y239" s="35" t="s">
        <v>278</v>
      </c>
      <c r="Z239" s="55"/>
      <c r="AA239" s="35" t="s">
        <v>92</v>
      </c>
      <c r="AB239" s="35"/>
      <c r="AC239" s="35"/>
      <c r="AD239" s="35"/>
      <c r="AE239" s="35"/>
      <c r="AF239" s="35"/>
      <c r="AG239" s="35"/>
      <c r="AH239" s="35"/>
      <c r="AI239" s="45">
        <f t="shared" si="54"/>
        <v>0</v>
      </c>
      <c r="AJ239" s="45"/>
      <c r="AK239" s="35"/>
      <c r="AL239" s="35"/>
      <c r="AM239" s="35"/>
      <c r="AN239" s="35"/>
      <c r="AO239" s="35"/>
      <c r="AP239" s="35"/>
      <c r="AQ239" s="35"/>
      <c r="AR239" s="35"/>
      <c r="AS239" s="45">
        <f t="shared" si="49"/>
        <v>0</v>
      </c>
      <c r="AT239" s="45"/>
      <c r="AU239" s="35">
        <v>0</v>
      </c>
      <c r="AV239" s="35"/>
      <c r="AW239" s="35">
        <v>0</v>
      </c>
      <c r="AX239" s="35"/>
      <c r="AY239" s="35">
        <f t="shared" si="55"/>
        <v>0</v>
      </c>
      <c r="AZ239" s="35"/>
      <c r="BA239" s="35" t="s">
        <v>278</v>
      </c>
      <c r="BB239" s="55"/>
      <c r="BC239" s="35" t="s">
        <v>92</v>
      </c>
      <c r="BD239" s="35"/>
      <c r="BE239" s="35"/>
      <c r="BF239" s="35"/>
      <c r="BG239" s="35"/>
      <c r="BH239" s="35"/>
      <c r="BI239" s="35"/>
      <c r="BJ239" s="35"/>
      <c r="BK239" s="35"/>
      <c r="BL239" s="35"/>
      <c r="BM239" s="35">
        <f t="shared" si="53"/>
        <v>0</v>
      </c>
      <c r="BN239" s="54" t="s">
        <v>347</v>
      </c>
    </row>
    <row r="240" spans="1:67" ht="12.75" hidden="1" customHeight="1">
      <c r="A240" s="35" t="s">
        <v>279</v>
      </c>
      <c r="C240" s="35" t="s">
        <v>92</v>
      </c>
      <c r="D240" s="35"/>
      <c r="E240" s="35">
        <f t="shared" si="46"/>
        <v>0</v>
      </c>
      <c r="F240" s="35"/>
      <c r="G240" s="35">
        <v>0</v>
      </c>
      <c r="H240" s="35"/>
      <c r="I240" s="35">
        <v>0</v>
      </c>
      <c r="J240" s="35"/>
      <c r="K240" s="35">
        <f t="shared" si="47"/>
        <v>0</v>
      </c>
      <c r="L240" s="35"/>
      <c r="M240" s="35">
        <v>0</v>
      </c>
      <c r="N240" s="35"/>
      <c r="O240" s="35">
        <v>0</v>
      </c>
      <c r="P240" s="35"/>
      <c r="Q240" s="35">
        <v>0</v>
      </c>
      <c r="R240" s="35"/>
      <c r="S240" s="35">
        <v>0</v>
      </c>
      <c r="T240" s="35"/>
      <c r="U240" s="35">
        <v>0</v>
      </c>
      <c r="V240" s="35"/>
      <c r="W240" s="35">
        <f t="shared" si="52"/>
        <v>0</v>
      </c>
      <c r="X240" s="35"/>
      <c r="Y240" s="35" t="s">
        <v>279</v>
      </c>
      <c r="Z240" s="55"/>
      <c r="AA240" s="35" t="s">
        <v>92</v>
      </c>
      <c r="AB240" s="35"/>
      <c r="AC240" s="35">
        <v>0</v>
      </c>
      <c r="AD240" s="35"/>
      <c r="AE240" s="35">
        <v>0</v>
      </c>
      <c r="AF240" s="35"/>
      <c r="AG240" s="35">
        <v>0</v>
      </c>
      <c r="AH240" s="35"/>
      <c r="AI240" s="45">
        <f t="shared" si="54"/>
        <v>0</v>
      </c>
      <c r="AJ240" s="45"/>
      <c r="AK240" s="35">
        <v>0</v>
      </c>
      <c r="AL240" s="35"/>
      <c r="AM240" s="35">
        <v>0</v>
      </c>
      <c r="AN240" s="35"/>
      <c r="AO240" s="35">
        <v>0</v>
      </c>
      <c r="AP240" s="35"/>
      <c r="AQ240" s="35">
        <v>0</v>
      </c>
      <c r="AR240" s="35"/>
      <c r="AS240" s="45">
        <v>0</v>
      </c>
      <c r="AT240" s="45"/>
      <c r="AU240" s="35">
        <v>0</v>
      </c>
      <c r="AV240" s="35"/>
      <c r="AW240" s="35">
        <v>0</v>
      </c>
      <c r="AX240" s="35"/>
      <c r="AY240" s="35">
        <f t="shared" si="55"/>
        <v>0</v>
      </c>
      <c r="AZ240" s="35"/>
      <c r="BA240" s="35" t="s">
        <v>279</v>
      </c>
      <c r="BB240" s="55"/>
      <c r="BC240" s="35" t="s">
        <v>92</v>
      </c>
      <c r="BD240" s="35"/>
      <c r="BE240" s="35">
        <v>0</v>
      </c>
      <c r="BF240" s="35"/>
      <c r="BG240" s="35">
        <v>0</v>
      </c>
      <c r="BH240" s="35"/>
      <c r="BI240" s="35">
        <v>0</v>
      </c>
      <c r="BJ240" s="35"/>
      <c r="BK240" s="35">
        <v>0</v>
      </c>
      <c r="BL240" s="35"/>
      <c r="BM240" s="35">
        <f t="shared" si="53"/>
        <v>0</v>
      </c>
      <c r="BN240" s="54" t="s">
        <v>347</v>
      </c>
      <c r="BO240" s="55" t="s">
        <v>367</v>
      </c>
    </row>
    <row r="241" spans="1:67" ht="12.75" hidden="1" customHeight="1">
      <c r="A241" s="35" t="s">
        <v>280</v>
      </c>
      <c r="C241" s="35" t="s">
        <v>281</v>
      </c>
      <c r="D241" s="35"/>
      <c r="E241" s="35">
        <f t="shared" si="46"/>
        <v>0</v>
      </c>
      <c r="F241" s="35"/>
      <c r="G241" s="35">
        <v>0</v>
      </c>
      <c r="H241" s="35"/>
      <c r="I241" s="35">
        <v>0</v>
      </c>
      <c r="J241" s="35"/>
      <c r="K241" s="35">
        <f t="shared" si="47"/>
        <v>0</v>
      </c>
      <c r="L241" s="35"/>
      <c r="M241" s="35">
        <v>0</v>
      </c>
      <c r="N241" s="35"/>
      <c r="O241" s="35">
        <v>0</v>
      </c>
      <c r="P241" s="35"/>
      <c r="Q241" s="35">
        <v>0</v>
      </c>
      <c r="R241" s="35"/>
      <c r="S241" s="35">
        <v>0</v>
      </c>
      <c r="T241" s="35"/>
      <c r="U241" s="35">
        <v>0</v>
      </c>
      <c r="V241" s="35"/>
      <c r="W241" s="35">
        <f t="shared" si="52"/>
        <v>0</v>
      </c>
      <c r="X241" s="35"/>
      <c r="Y241" s="35" t="s">
        <v>280</v>
      </c>
      <c r="Z241" s="55"/>
      <c r="AA241" s="35" t="s">
        <v>281</v>
      </c>
      <c r="AB241" s="35"/>
      <c r="AC241" s="35">
        <v>0</v>
      </c>
      <c r="AD241" s="35"/>
      <c r="AE241" s="35">
        <v>0</v>
      </c>
      <c r="AF241" s="35"/>
      <c r="AG241" s="35">
        <v>0</v>
      </c>
      <c r="AH241" s="35"/>
      <c r="AI241" s="45">
        <f t="shared" si="54"/>
        <v>0</v>
      </c>
      <c r="AJ241" s="45"/>
      <c r="AK241" s="35">
        <v>0</v>
      </c>
      <c r="AL241" s="35"/>
      <c r="AM241" s="35">
        <v>0</v>
      </c>
      <c r="AN241" s="35"/>
      <c r="AO241" s="35">
        <v>0</v>
      </c>
      <c r="AP241" s="35"/>
      <c r="AQ241" s="35">
        <v>0</v>
      </c>
      <c r="AR241" s="35"/>
      <c r="AS241" s="45">
        <f t="shared" ref="AS241:AS247" si="56">+AI241+AK241+AM241-AO241+AQ241</f>
        <v>0</v>
      </c>
      <c r="AT241" s="45"/>
      <c r="AU241" s="35">
        <v>0</v>
      </c>
      <c r="AV241" s="35"/>
      <c r="AW241" s="35">
        <v>0</v>
      </c>
      <c r="AX241" s="35"/>
      <c r="AY241" s="35">
        <f t="shared" si="55"/>
        <v>0</v>
      </c>
      <c r="AZ241" s="35"/>
      <c r="BA241" s="35" t="s">
        <v>280</v>
      </c>
      <c r="BB241" s="55"/>
      <c r="BC241" s="35" t="s">
        <v>281</v>
      </c>
      <c r="BD241" s="35"/>
      <c r="BE241" s="35">
        <v>0</v>
      </c>
      <c r="BF241" s="35"/>
      <c r="BG241" s="35">
        <v>0</v>
      </c>
      <c r="BH241" s="35"/>
      <c r="BI241" s="35">
        <v>0</v>
      </c>
      <c r="BJ241" s="35"/>
      <c r="BK241" s="35">
        <v>0</v>
      </c>
      <c r="BL241" s="35"/>
      <c r="BM241" s="35">
        <f t="shared" si="53"/>
        <v>0</v>
      </c>
      <c r="BN241" s="54" t="s">
        <v>347</v>
      </c>
      <c r="BO241" s="55" t="s">
        <v>367</v>
      </c>
    </row>
    <row r="242" spans="1:67" ht="12.75" hidden="1" customHeight="1">
      <c r="A242" s="35" t="s">
        <v>282</v>
      </c>
      <c r="C242" s="35" t="s">
        <v>199</v>
      </c>
      <c r="D242" s="35"/>
      <c r="E242" s="35">
        <f t="shared" si="46"/>
        <v>0</v>
      </c>
      <c r="F242" s="35"/>
      <c r="G242" s="35"/>
      <c r="H242" s="35"/>
      <c r="I242" s="35"/>
      <c r="J242" s="35"/>
      <c r="K242" s="35">
        <f t="shared" si="47"/>
        <v>0</v>
      </c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>
        <f t="shared" si="52"/>
        <v>0</v>
      </c>
      <c r="X242" s="35"/>
      <c r="Y242" s="35" t="s">
        <v>282</v>
      </c>
      <c r="Z242" s="55"/>
      <c r="AA242" s="35" t="s">
        <v>199</v>
      </c>
      <c r="AB242" s="35"/>
      <c r="AC242" s="35"/>
      <c r="AD242" s="35"/>
      <c r="AE242" s="35"/>
      <c r="AF242" s="35"/>
      <c r="AG242" s="35"/>
      <c r="AH242" s="35"/>
      <c r="AI242" s="45">
        <f t="shared" si="54"/>
        <v>0</v>
      </c>
      <c r="AJ242" s="45"/>
      <c r="AK242" s="35"/>
      <c r="AL242" s="35"/>
      <c r="AM242" s="35"/>
      <c r="AN242" s="35"/>
      <c r="AO242" s="35"/>
      <c r="AP242" s="35"/>
      <c r="AQ242" s="35"/>
      <c r="AR242" s="35"/>
      <c r="AS242" s="45">
        <f t="shared" si="56"/>
        <v>0</v>
      </c>
      <c r="AT242" s="45"/>
      <c r="AU242" s="35">
        <v>0</v>
      </c>
      <c r="AV242" s="35"/>
      <c r="AW242" s="35">
        <v>0</v>
      </c>
      <c r="AX242" s="35"/>
      <c r="AY242" s="35">
        <f t="shared" si="55"/>
        <v>0</v>
      </c>
      <c r="AZ242" s="35"/>
      <c r="BA242" s="35" t="s">
        <v>282</v>
      </c>
      <c r="BB242" s="55"/>
      <c r="BC242" s="35" t="s">
        <v>199</v>
      </c>
      <c r="BD242" s="35"/>
      <c r="BE242" s="35"/>
      <c r="BF242" s="35"/>
      <c r="BG242" s="35"/>
      <c r="BH242" s="35"/>
      <c r="BI242" s="35"/>
      <c r="BJ242" s="35"/>
      <c r="BK242" s="35"/>
      <c r="BL242" s="35"/>
      <c r="BM242" s="35">
        <f t="shared" si="53"/>
        <v>0</v>
      </c>
      <c r="BN242" s="54" t="s">
        <v>347</v>
      </c>
    </row>
    <row r="243" spans="1:67" ht="12.75" hidden="1" customHeight="1">
      <c r="A243" s="35" t="s">
        <v>283</v>
      </c>
      <c r="C243" s="35" t="s">
        <v>43</v>
      </c>
      <c r="D243" s="35"/>
      <c r="E243" s="35">
        <f t="shared" si="46"/>
        <v>0</v>
      </c>
      <c r="F243" s="35"/>
      <c r="G243" s="35">
        <v>0</v>
      </c>
      <c r="H243" s="35"/>
      <c r="I243" s="35">
        <v>0</v>
      </c>
      <c r="J243" s="35"/>
      <c r="K243" s="35">
        <f t="shared" si="47"/>
        <v>0</v>
      </c>
      <c r="L243" s="35"/>
      <c r="M243" s="35">
        <v>0</v>
      </c>
      <c r="N243" s="35"/>
      <c r="O243" s="35">
        <v>0</v>
      </c>
      <c r="P243" s="35"/>
      <c r="Q243" s="35">
        <v>0</v>
      </c>
      <c r="R243" s="35"/>
      <c r="S243" s="35">
        <v>0</v>
      </c>
      <c r="T243" s="35"/>
      <c r="U243" s="35">
        <v>0</v>
      </c>
      <c r="V243" s="35"/>
      <c r="W243" s="35">
        <f t="shared" si="52"/>
        <v>0</v>
      </c>
      <c r="X243" s="35"/>
      <c r="Y243" s="35" t="s">
        <v>283</v>
      </c>
      <c r="Z243" s="55"/>
      <c r="AA243" s="35" t="s">
        <v>43</v>
      </c>
      <c r="AB243" s="35"/>
      <c r="AC243" s="35">
        <v>0</v>
      </c>
      <c r="AD243" s="35"/>
      <c r="AE243" s="35">
        <v>0</v>
      </c>
      <c r="AF243" s="35"/>
      <c r="AG243" s="35">
        <v>0</v>
      </c>
      <c r="AH243" s="35"/>
      <c r="AI243" s="45">
        <f t="shared" si="54"/>
        <v>0</v>
      </c>
      <c r="AJ243" s="45"/>
      <c r="AK243" s="35">
        <v>0</v>
      </c>
      <c r="AL243" s="35"/>
      <c r="AM243" s="35">
        <v>0</v>
      </c>
      <c r="AN243" s="35"/>
      <c r="AO243" s="35">
        <v>0</v>
      </c>
      <c r="AP243" s="35"/>
      <c r="AQ243" s="35">
        <v>0</v>
      </c>
      <c r="AR243" s="35"/>
      <c r="AS243" s="45">
        <f t="shared" si="56"/>
        <v>0</v>
      </c>
      <c r="AT243" s="45"/>
      <c r="AU243" s="35">
        <v>0</v>
      </c>
      <c r="AV243" s="35"/>
      <c r="AW243" s="35">
        <v>0</v>
      </c>
      <c r="AX243" s="35"/>
      <c r="AY243" s="35">
        <f t="shared" si="55"/>
        <v>0</v>
      </c>
      <c r="AZ243" s="35"/>
      <c r="BA243" s="35" t="s">
        <v>283</v>
      </c>
      <c r="BB243" s="55"/>
      <c r="BC243" s="35" t="s">
        <v>43</v>
      </c>
      <c r="BD243" s="35"/>
      <c r="BE243" s="35">
        <v>0</v>
      </c>
      <c r="BF243" s="35"/>
      <c r="BG243" s="35">
        <v>0</v>
      </c>
      <c r="BH243" s="35"/>
      <c r="BI243" s="35">
        <v>0</v>
      </c>
      <c r="BJ243" s="35"/>
      <c r="BK243" s="35">
        <v>0</v>
      </c>
      <c r="BL243" s="35"/>
      <c r="BM243" s="35">
        <f t="shared" si="53"/>
        <v>0</v>
      </c>
      <c r="BN243" s="54" t="s">
        <v>347</v>
      </c>
      <c r="BO243" s="55" t="s">
        <v>367</v>
      </c>
    </row>
    <row r="244" spans="1:67" ht="12.75" hidden="1" customHeight="1">
      <c r="A244" s="35" t="s">
        <v>284</v>
      </c>
      <c r="C244" s="35" t="s">
        <v>45</v>
      </c>
      <c r="D244" s="35"/>
      <c r="E244" s="35">
        <f t="shared" si="46"/>
        <v>0</v>
      </c>
      <c r="F244" s="35"/>
      <c r="G244" s="35">
        <v>0</v>
      </c>
      <c r="H244" s="35"/>
      <c r="I244" s="35">
        <v>0</v>
      </c>
      <c r="J244" s="35"/>
      <c r="K244" s="35">
        <f t="shared" si="47"/>
        <v>0</v>
      </c>
      <c r="L244" s="35"/>
      <c r="M244" s="35">
        <v>0</v>
      </c>
      <c r="N244" s="35"/>
      <c r="O244" s="35">
        <v>0</v>
      </c>
      <c r="P244" s="35"/>
      <c r="Q244" s="35">
        <v>0</v>
      </c>
      <c r="R244" s="35"/>
      <c r="S244" s="35">
        <v>0</v>
      </c>
      <c r="T244" s="35"/>
      <c r="U244" s="35">
        <v>0</v>
      </c>
      <c r="V244" s="35"/>
      <c r="W244" s="35">
        <f t="shared" si="52"/>
        <v>0</v>
      </c>
      <c r="X244" s="35"/>
      <c r="Y244" s="35" t="s">
        <v>284</v>
      </c>
      <c r="Z244" s="55"/>
      <c r="AA244" s="35" t="s">
        <v>45</v>
      </c>
      <c r="AB244" s="35"/>
      <c r="AC244" s="35">
        <v>0</v>
      </c>
      <c r="AD244" s="35"/>
      <c r="AE244" s="35">
        <v>0</v>
      </c>
      <c r="AF244" s="35"/>
      <c r="AG244" s="35">
        <v>0</v>
      </c>
      <c r="AH244" s="35"/>
      <c r="AI244" s="45">
        <v>0</v>
      </c>
      <c r="AJ244" s="45"/>
      <c r="AK244" s="35">
        <v>0</v>
      </c>
      <c r="AL244" s="35"/>
      <c r="AM244" s="35">
        <v>0</v>
      </c>
      <c r="AN244" s="35"/>
      <c r="AO244" s="35">
        <v>0</v>
      </c>
      <c r="AP244" s="35"/>
      <c r="AQ244" s="35">
        <v>0</v>
      </c>
      <c r="AR244" s="35"/>
      <c r="AS244" s="45">
        <f t="shared" si="56"/>
        <v>0</v>
      </c>
      <c r="AT244" s="45"/>
      <c r="AU244" s="35">
        <v>0</v>
      </c>
      <c r="AV244" s="35"/>
      <c r="AW244" s="35">
        <v>0</v>
      </c>
      <c r="AX244" s="35"/>
      <c r="AY244" s="35">
        <f t="shared" si="55"/>
        <v>0</v>
      </c>
      <c r="AZ244" s="35"/>
      <c r="BA244" s="35" t="s">
        <v>284</v>
      </c>
      <c r="BB244" s="55"/>
      <c r="BC244" s="35" t="s">
        <v>45</v>
      </c>
      <c r="BD244" s="35"/>
      <c r="BE244" s="35">
        <v>0</v>
      </c>
      <c r="BF244" s="35"/>
      <c r="BG244" s="35">
        <v>0</v>
      </c>
      <c r="BH244" s="35"/>
      <c r="BI244" s="35">
        <v>0</v>
      </c>
      <c r="BJ244" s="35"/>
      <c r="BK244" s="35">
        <v>0</v>
      </c>
      <c r="BL244" s="35"/>
      <c r="BM244" s="35">
        <f t="shared" si="53"/>
        <v>0</v>
      </c>
      <c r="BN244" s="54" t="s">
        <v>347</v>
      </c>
    </row>
    <row r="245" spans="1:67" ht="12.75" hidden="1" customHeight="1">
      <c r="A245" s="35" t="s">
        <v>285</v>
      </c>
      <c r="C245" s="35" t="s">
        <v>30</v>
      </c>
      <c r="D245" s="35"/>
      <c r="E245" s="35">
        <f t="shared" si="46"/>
        <v>0</v>
      </c>
      <c r="F245" s="35"/>
      <c r="G245" s="35">
        <v>0</v>
      </c>
      <c r="H245" s="35"/>
      <c r="I245" s="35">
        <v>0</v>
      </c>
      <c r="J245" s="35"/>
      <c r="K245" s="35">
        <f t="shared" si="47"/>
        <v>0</v>
      </c>
      <c r="L245" s="35"/>
      <c r="M245" s="35">
        <v>0</v>
      </c>
      <c r="N245" s="35"/>
      <c r="O245" s="35">
        <v>0</v>
      </c>
      <c r="P245" s="35"/>
      <c r="Q245" s="35">
        <v>0</v>
      </c>
      <c r="R245" s="35"/>
      <c r="S245" s="35">
        <v>0</v>
      </c>
      <c r="T245" s="35"/>
      <c r="U245" s="35">
        <v>0</v>
      </c>
      <c r="V245" s="35"/>
      <c r="W245" s="35">
        <f t="shared" si="52"/>
        <v>0</v>
      </c>
      <c r="X245" s="35"/>
      <c r="Y245" s="35" t="s">
        <v>285</v>
      </c>
      <c r="Z245" s="55"/>
      <c r="AA245" s="35" t="s">
        <v>30</v>
      </c>
      <c r="AB245" s="35"/>
      <c r="AC245" s="35">
        <v>0</v>
      </c>
      <c r="AD245" s="35"/>
      <c r="AE245" s="35">
        <v>0</v>
      </c>
      <c r="AF245" s="35"/>
      <c r="AG245" s="35">
        <v>0</v>
      </c>
      <c r="AH245" s="35"/>
      <c r="AI245" s="45">
        <f>+AC245-AE245-AG245</f>
        <v>0</v>
      </c>
      <c r="AJ245" s="45"/>
      <c r="AK245" s="35">
        <v>0</v>
      </c>
      <c r="AL245" s="35"/>
      <c r="AM245" s="35">
        <v>0</v>
      </c>
      <c r="AN245" s="35"/>
      <c r="AO245" s="35">
        <v>0</v>
      </c>
      <c r="AP245" s="35"/>
      <c r="AQ245" s="35">
        <v>0</v>
      </c>
      <c r="AR245" s="35"/>
      <c r="AS245" s="45">
        <f t="shared" si="56"/>
        <v>0</v>
      </c>
      <c r="AT245" s="45"/>
      <c r="AU245" s="35">
        <v>0</v>
      </c>
      <c r="AV245" s="35"/>
      <c r="AW245" s="35">
        <v>0</v>
      </c>
      <c r="AX245" s="35"/>
      <c r="AY245" s="35">
        <f t="shared" si="55"/>
        <v>0</v>
      </c>
      <c r="AZ245" s="35"/>
      <c r="BA245" s="35" t="s">
        <v>285</v>
      </c>
      <c r="BB245" s="55"/>
      <c r="BC245" s="35" t="s">
        <v>30</v>
      </c>
      <c r="BD245" s="35"/>
      <c r="BE245" s="35">
        <v>0</v>
      </c>
      <c r="BF245" s="35"/>
      <c r="BG245" s="35">
        <v>0</v>
      </c>
      <c r="BH245" s="35"/>
      <c r="BI245" s="35">
        <v>0</v>
      </c>
      <c r="BJ245" s="35"/>
      <c r="BK245" s="35">
        <v>0</v>
      </c>
      <c r="BL245" s="35"/>
      <c r="BM245" s="35">
        <f t="shared" si="53"/>
        <v>0</v>
      </c>
      <c r="BN245" s="54" t="s">
        <v>347</v>
      </c>
    </row>
    <row r="246" spans="1:67" ht="12.75" hidden="1" customHeight="1">
      <c r="A246" s="35" t="s">
        <v>286</v>
      </c>
      <c r="C246" s="35" t="s">
        <v>61</v>
      </c>
      <c r="D246" s="35"/>
      <c r="E246" s="35">
        <f t="shared" si="46"/>
        <v>0</v>
      </c>
      <c r="F246" s="35"/>
      <c r="G246" s="35"/>
      <c r="H246" s="35"/>
      <c r="I246" s="35"/>
      <c r="J246" s="35"/>
      <c r="K246" s="35">
        <f t="shared" si="47"/>
        <v>0</v>
      </c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>
        <f t="shared" si="52"/>
        <v>0</v>
      </c>
      <c r="X246" s="35"/>
      <c r="Y246" s="35" t="s">
        <v>286</v>
      </c>
      <c r="Z246" s="55"/>
      <c r="AA246" s="35" t="s">
        <v>61</v>
      </c>
      <c r="AB246" s="35"/>
      <c r="AC246" s="35"/>
      <c r="AD246" s="35"/>
      <c r="AE246" s="35"/>
      <c r="AF246" s="35"/>
      <c r="AG246" s="35"/>
      <c r="AH246" s="35"/>
      <c r="AI246" s="45">
        <f>+AC246-AE246-AG246</f>
        <v>0</v>
      </c>
      <c r="AJ246" s="45"/>
      <c r="AK246" s="35"/>
      <c r="AL246" s="35"/>
      <c r="AM246" s="35"/>
      <c r="AN246" s="35"/>
      <c r="AO246" s="35"/>
      <c r="AP246" s="35"/>
      <c r="AQ246" s="35"/>
      <c r="AR246" s="35"/>
      <c r="AS246" s="45">
        <f t="shared" si="56"/>
        <v>0</v>
      </c>
      <c r="AT246" s="45"/>
      <c r="AU246" s="35">
        <v>0</v>
      </c>
      <c r="AV246" s="35"/>
      <c r="AW246" s="35">
        <v>0</v>
      </c>
      <c r="AX246" s="35"/>
      <c r="AY246" s="35">
        <f t="shared" si="55"/>
        <v>0</v>
      </c>
      <c r="AZ246" s="35"/>
      <c r="BA246" s="35" t="s">
        <v>286</v>
      </c>
      <c r="BB246" s="55"/>
      <c r="BC246" s="35" t="s">
        <v>61</v>
      </c>
      <c r="BD246" s="35"/>
      <c r="BE246" s="35"/>
      <c r="BF246" s="35"/>
      <c r="BG246" s="35"/>
      <c r="BH246" s="35"/>
      <c r="BI246" s="35"/>
      <c r="BJ246" s="35"/>
      <c r="BK246" s="35"/>
      <c r="BL246" s="35"/>
      <c r="BM246" s="35">
        <f t="shared" si="53"/>
        <v>0</v>
      </c>
      <c r="BN246" s="54" t="s">
        <v>347</v>
      </c>
    </row>
    <row r="247" spans="1:67" ht="12.75" hidden="1" customHeight="1">
      <c r="A247" s="35" t="s">
        <v>287</v>
      </c>
      <c r="C247" s="35" t="s">
        <v>288</v>
      </c>
      <c r="D247" s="35"/>
      <c r="E247" s="35">
        <f t="shared" si="46"/>
        <v>0</v>
      </c>
      <c r="F247" s="35"/>
      <c r="G247" s="35">
        <v>0</v>
      </c>
      <c r="H247" s="35"/>
      <c r="I247" s="35">
        <v>0</v>
      </c>
      <c r="J247" s="35"/>
      <c r="K247" s="35">
        <f t="shared" si="47"/>
        <v>0</v>
      </c>
      <c r="L247" s="35"/>
      <c r="M247" s="35">
        <v>0</v>
      </c>
      <c r="N247" s="35"/>
      <c r="O247" s="35">
        <v>0</v>
      </c>
      <c r="P247" s="35"/>
      <c r="Q247" s="35">
        <v>0</v>
      </c>
      <c r="R247" s="35"/>
      <c r="S247" s="35">
        <v>0</v>
      </c>
      <c r="T247" s="35"/>
      <c r="U247" s="35">
        <v>0</v>
      </c>
      <c r="V247" s="35"/>
      <c r="W247" s="35">
        <f t="shared" si="52"/>
        <v>0</v>
      </c>
      <c r="X247" s="35"/>
      <c r="Y247" s="35" t="s">
        <v>287</v>
      </c>
      <c r="Z247" s="55"/>
      <c r="AA247" s="35" t="s">
        <v>288</v>
      </c>
      <c r="AB247" s="35"/>
      <c r="AC247" s="35">
        <v>0</v>
      </c>
      <c r="AD247" s="35"/>
      <c r="AE247" s="35">
        <v>0</v>
      </c>
      <c r="AF247" s="35"/>
      <c r="AG247" s="35">
        <v>0</v>
      </c>
      <c r="AH247" s="35"/>
      <c r="AI247" s="45">
        <f>+AC247-AE247-AG247</f>
        <v>0</v>
      </c>
      <c r="AJ247" s="45"/>
      <c r="AK247" s="35">
        <v>0</v>
      </c>
      <c r="AL247" s="35"/>
      <c r="AM247" s="35">
        <v>0</v>
      </c>
      <c r="AN247" s="35"/>
      <c r="AO247" s="35">
        <v>0</v>
      </c>
      <c r="AP247" s="35"/>
      <c r="AQ247" s="35">
        <v>0</v>
      </c>
      <c r="AR247" s="35"/>
      <c r="AS247" s="45">
        <f t="shared" si="56"/>
        <v>0</v>
      </c>
      <c r="AT247" s="45"/>
      <c r="AU247" s="35">
        <v>0</v>
      </c>
      <c r="AV247" s="35"/>
      <c r="AW247" s="35">
        <v>0</v>
      </c>
      <c r="AX247" s="35"/>
      <c r="AY247" s="35">
        <f t="shared" si="55"/>
        <v>0</v>
      </c>
      <c r="AZ247" s="35"/>
      <c r="BA247" s="35" t="s">
        <v>287</v>
      </c>
      <c r="BB247" s="55"/>
      <c r="BC247" s="35" t="s">
        <v>288</v>
      </c>
      <c r="BD247" s="35"/>
      <c r="BE247" s="35">
        <v>0</v>
      </c>
      <c r="BF247" s="35"/>
      <c r="BG247" s="35">
        <v>0</v>
      </c>
      <c r="BH247" s="35"/>
      <c r="BI247" s="35">
        <v>0</v>
      </c>
      <c r="BJ247" s="35"/>
      <c r="BK247" s="35">
        <v>0</v>
      </c>
      <c r="BL247" s="35"/>
      <c r="BM247" s="35">
        <f t="shared" si="53"/>
        <v>0</v>
      </c>
      <c r="BN247" s="54" t="s">
        <v>347</v>
      </c>
    </row>
    <row r="248" spans="1:67" ht="12.75" customHeight="1"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Z248" s="5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B248" s="55"/>
      <c r="BE248" s="35"/>
      <c r="BF248" s="35"/>
      <c r="BG248" s="35"/>
      <c r="BH248" s="35"/>
      <c r="BI248" s="35"/>
      <c r="BJ248" s="35"/>
      <c r="BK248" s="35"/>
      <c r="BL248" s="35"/>
      <c r="BM248" s="35"/>
      <c r="BN248" s="35"/>
    </row>
    <row r="249" spans="1:67" ht="12.75" customHeight="1"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Z249" s="5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B249" s="55"/>
      <c r="BE249" s="35"/>
      <c r="BF249" s="35"/>
      <c r="BG249" s="35"/>
      <c r="BH249" s="35"/>
      <c r="BI249" s="35"/>
      <c r="BJ249" s="35"/>
      <c r="BK249" s="35"/>
      <c r="BL249" s="35"/>
      <c r="BM249" s="35"/>
      <c r="BN249" s="35"/>
    </row>
    <row r="250" spans="1:67" ht="12.75" customHeight="1"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Z250" s="5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B250" s="55"/>
      <c r="BE250" s="35"/>
      <c r="BF250" s="35"/>
      <c r="BG250" s="35"/>
      <c r="BH250" s="35"/>
      <c r="BI250" s="35"/>
      <c r="BJ250" s="35"/>
      <c r="BK250" s="35"/>
      <c r="BL250" s="35"/>
      <c r="BM250" s="35"/>
      <c r="BN250" s="35"/>
    </row>
    <row r="251" spans="1:67" ht="12.75" customHeight="1"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Z251" s="5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B251" s="55"/>
      <c r="BE251" s="35"/>
      <c r="BF251" s="35"/>
      <c r="BG251" s="35"/>
      <c r="BH251" s="35"/>
      <c r="BI251" s="35"/>
      <c r="BJ251" s="35"/>
      <c r="BK251" s="35"/>
      <c r="BL251" s="35"/>
      <c r="BM251" s="35"/>
      <c r="BN251" s="35"/>
    </row>
    <row r="252" spans="1:67" ht="12.75" customHeight="1"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Z252" s="5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B252" s="55"/>
      <c r="BE252" s="35"/>
      <c r="BF252" s="35"/>
      <c r="BG252" s="35"/>
      <c r="BH252" s="35"/>
      <c r="BI252" s="35"/>
      <c r="BJ252" s="35"/>
      <c r="BK252" s="35"/>
      <c r="BL252" s="35"/>
      <c r="BM252" s="35"/>
      <c r="BN252" s="35"/>
    </row>
    <row r="253" spans="1:67" ht="12.75" customHeight="1"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Z253" s="5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B253" s="55"/>
      <c r="BE253" s="35"/>
      <c r="BF253" s="35"/>
      <c r="BG253" s="35"/>
      <c r="BH253" s="35"/>
      <c r="BI253" s="35"/>
      <c r="BJ253" s="35"/>
      <c r="BK253" s="35"/>
      <c r="BL253" s="35"/>
      <c r="BM253" s="35"/>
      <c r="BN253" s="35"/>
    </row>
    <row r="254" spans="1:67" ht="12.75" customHeight="1"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Z254" s="5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B254" s="55"/>
      <c r="BE254" s="35"/>
      <c r="BF254" s="35"/>
      <c r="BG254" s="35"/>
      <c r="BH254" s="35"/>
      <c r="BI254" s="35"/>
      <c r="BJ254" s="35"/>
      <c r="BK254" s="35"/>
      <c r="BL254" s="35"/>
      <c r="BM254" s="35"/>
      <c r="BN254" s="35"/>
    </row>
    <row r="255" spans="1:67" ht="12.75" customHeight="1"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Z255" s="5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B255" s="55"/>
      <c r="BE255" s="35"/>
      <c r="BF255" s="35"/>
      <c r="BG255" s="35"/>
      <c r="BH255" s="35"/>
      <c r="BI255" s="35"/>
      <c r="BJ255" s="35"/>
      <c r="BK255" s="35"/>
      <c r="BL255" s="35"/>
      <c r="BM255" s="35"/>
      <c r="BN255" s="35"/>
    </row>
    <row r="256" spans="1:67" ht="12.75" customHeight="1"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Z256" s="5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B256" s="55"/>
      <c r="BE256" s="35"/>
      <c r="BF256" s="35"/>
      <c r="BG256" s="35"/>
      <c r="BH256" s="35"/>
      <c r="BI256" s="35"/>
      <c r="BJ256" s="35"/>
      <c r="BK256" s="35"/>
      <c r="BL256" s="35"/>
      <c r="BM256" s="35"/>
      <c r="BN256" s="35"/>
    </row>
    <row r="257" spans="5:66" ht="12.75" customHeight="1"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Z257" s="5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B257" s="55"/>
      <c r="BE257" s="35"/>
      <c r="BF257" s="35"/>
      <c r="BG257" s="35"/>
      <c r="BH257" s="35"/>
      <c r="BI257" s="35"/>
      <c r="BJ257" s="35"/>
      <c r="BK257" s="35"/>
      <c r="BL257" s="35"/>
      <c r="BM257" s="35"/>
      <c r="BN257" s="35"/>
    </row>
    <row r="258" spans="5:66" ht="12.75" customHeight="1"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Z258" s="5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B258" s="55"/>
      <c r="BE258" s="35"/>
      <c r="BF258" s="35"/>
      <c r="BG258" s="35"/>
      <c r="BH258" s="35"/>
      <c r="BI258" s="35"/>
      <c r="BJ258" s="35"/>
      <c r="BK258" s="35"/>
      <c r="BL258" s="35"/>
      <c r="BM258" s="35"/>
      <c r="BN258" s="35"/>
    </row>
    <row r="259" spans="5:66" ht="12.75" customHeight="1"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Z259" s="5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B259" s="55"/>
      <c r="BE259" s="35"/>
      <c r="BF259" s="35"/>
      <c r="BG259" s="35"/>
      <c r="BH259" s="35"/>
      <c r="BI259" s="35"/>
      <c r="BJ259" s="35"/>
      <c r="BK259" s="35"/>
      <c r="BL259" s="35"/>
      <c r="BM259" s="35"/>
      <c r="BN259" s="35"/>
    </row>
    <row r="260" spans="5:66" ht="12.75" customHeight="1"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Z260" s="5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B260" s="55"/>
      <c r="BE260" s="35"/>
      <c r="BF260" s="35"/>
      <c r="BG260" s="35"/>
      <c r="BH260" s="35"/>
      <c r="BI260" s="35"/>
      <c r="BJ260" s="35"/>
      <c r="BK260" s="35"/>
      <c r="BL260" s="35"/>
      <c r="BM260" s="35"/>
      <c r="BN260" s="35"/>
    </row>
    <row r="261" spans="5:66" ht="12.75" customHeight="1"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Z261" s="5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B261" s="55"/>
      <c r="BE261" s="35"/>
      <c r="BF261" s="35"/>
      <c r="BG261" s="35"/>
      <c r="BH261" s="35"/>
      <c r="BI261" s="35"/>
      <c r="BJ261" s="35"/>
      <c r="BK261" s="35"/>
      <c r="BL261" s="35"/>
      <c r="BM261" s="35"/>
      <c r="BN261" s="35"/>
    </row>
    <row r="262" spans="5:66" ht="12.75" customHeight="1"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Z262" s="5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B262" s="55"/>
      <c r="BE262" s="35"/>
      <c r="BF262" s="35"/>
      <c r="BG262" s="35"/>
      <c r="BH262" s="35"/>
      <c r="BI262" s="35"/>
      <c r="BJ262" s="35"/>
      <c r="BK262" s="35"/>
      <c r="BL262" s="35"/>
      <c r="BM262" s="35"/>
      <c r="BN262" s="35"/>
    </row>
    <row r="263" spans="5:66" ht="12.75" customHeight="1"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Z263" s="5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B263" s="55"/>
      <c r="BE263" s="35"/>
      <c r="BF263" s="35"/>
      <c r="BG263" s="35"/>
      <c r="BH263" s="35"/>
      <c r="BI263" s="35"/>
      <c r="BJ263" s="35"/>
      <c r="BK263" s="35"/>
      <c r="BL263" s="35"/>
      <c r="BM263" s="35"/>
      <c r="BN263" s="35"/>
    </row>
    <row r="264" spans="5:66" ht="12.75" customHeight="1"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Z264" s="5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B264" s="55"/>
      <c r="BE264" s="35"/>
      <c r="BF264" s="35"/>
      <c r="BG264" s="35"/>
      <c r="BH264" s="35"/>
      <c r="BI264" s="35"/>
      <c r="BJ264" s="35"/>
      <c r="BK264" s="35"/>
      <c r="BL264" s="35"/>
      <c r="BM264" s="35"/>
      <c r="BN264" s="35"/>
    </row>
    <row r="265" spans="5:66" ht="12.75" customHeight="1"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Z265" s="5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B265" s="55"/>
      <c r="BE265" s="35"/>
      <c r="BF265" s="35"/>
      <c r="BG265" s="35"/>
      <c r="BH265" s="35"/>
      <c r="BI265" s="35"/>
      <c r="BJ265" s="35"/>
      <c r="BK265" s="35"/>
      <c r="BL265" s="35"/>
      <c r="BM265" s="35"/>
      <c r="BN265" s="35"/>
    </row>
    <row r="266" spans="5:66" ht="12.75" customHeight="1"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Z266" s="5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B266" s="55"/>
      <c r="BE266" s="35"/>
      <c r="BF266" s="35"/>
      <c r="BG266" s="35"/>
      <c r="BH266" s="35"/>
      <c r="BI266" s="35"/>
      <c r="BJ266" s="35"/>
      <c r="BK266" s="35"/>
      <c r="BL266" s="35"/>
      <c r="BM266" s="35"/>
      <c r="BN266" s="35"/>
    </row>
    <row r="267" spans="5:66" ht="12.75" customHeight="1"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Z267" s="5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B267" s="55"/>
      <c r="BE267" s="35"/>
      <c r="BF267" s="35"/>
      <c r="BG267" s="35"/>
      <c r="BH267" s="35"/>
      <c r="BI267" s="35"/>
      <c r="BJ267" s="35"/>
      <c r="BK267" s="35"/>
      <c r="BL267" s="35"/>
      <c r="BM267" s="35"/>
      <c r="BN267" s="35"/>
    </row>
    <row r="268" spans="5:66" ht="12.75" customHeight="1"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Z268" s="5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B268" s="55"/>
      <c r="BE268" s="35"/>
      <c r="BF268" s="35"/>
      <c r="BG268" s="35"/>
      <c r="BH268" s="35"/>
      <c r="BI268" s="35"/>
      <c r="BJ268" s="35"/>
      <c r="BK268" s="35"/>
      <c r="BL268" s="35"/>
      <c r="BM268" s="35"/>
      <c r="BN268" s="35"/>
    </row>
    <row r="269" spans="5:66" ht="12.75" customHeight="1"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Z269" s="5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B269" s="55"/>
      <c r="BE269" s="35"/>
      <c r="BF269" s="35"/>
      <c r="BG269" s="35"/>
      <c r="BH269" s="35"/>
      <c r="BI269" s="35"/>
      <c r="BJ269" s="35"/>
      <c r="BK269" s="35"/>
      <c r="BL269" s="35"/>
      <c r="BM269" s="35"/>
      <c r="BN269" s="35"/>
    </row>
    <row r="270" spans="5:66" ht="12.75" customHeight="1">
      <c r="Z270" s="55"/>
      <c r="BB270" s="55"/>
      <c r="BE270" s="45"/>
      <c r="BG270" s="45"/>
      <c r="BI270" s="45"/>
      <c r="BK270" s="45"/>
    </row>
    <row r="271" spans="5:66" ht="12.75" customHeight="1">
      <c r="Z271" s="55"/>
      <c r="BB271" s="55"/>
      <c r="BE271" s="45"/>
      <c r="BG271" s="45"/>
      <c r="BI271" s="45"/>
      <c r="BK271" s="45"/>
    </row>
    <row r="272" spans="5:66" ht="12.75" customHeight="1">
      <c r="Z272" s="55"/>
      <c r="BB272" s="55"/>
      <c r="BE272" s="45"/>
      <c r="BG272" s="45"/>
      <c r="BI272" s="45"/>
      <c r="BK272" s="45"/>
    </row>
    <row r="273" spans="26:63" ht="12.75" customHeight="1">
      <c r="Z273" s="55"/>
      <c r="BB273" s="55"/>
      <c r="BE273" s="45"/>
      <c r="BG273" s="45"/>
      <c r="BI273" s="45"/>
      <c r="BK273" s="45"/>
    </row>
    <row r="274" spans="26:63" ht="12.75" customHeight="1">
      <c r="Z274" s="55"/>
      <c r="BB274" s="55"/>
      <c r="BE274" s="45"/>
      <c r="BG274" s="45"/>
      <c r="BI274" s="45"/>
      <c r="BK274" s="45"/>
    </row>
    <row r="275" spans="26:63" ht="12.75" customHeight="1">
      <c r="Z275" s="55"/>
      <c r="BB275" s="55"/>
      <c r="BE275" s="45"/>
      <c r="BG275" s="45"/>
      <c r="BI275" s="45"/>
      <c r="BK275" s="45"/>
    </row>
    <row r="276" spans="26:63" ht="12.75" customHeight="1">
      <c r="Z276" s="55"/>
      <c r="BB276" s="55"/>
      <c r="BE276" s="45"/>
      <c r="BG276" s="45"/>
      <c r="BI276" s="45"/>
      <c r="BK276" s="45"/>
    </row>
    <row r="277" spans="26:63" ht="12.75" customHeight="1">
      <c r="Z277" s="55"/>
      <c r="BB277" s="55"/>
      <c r="BE277" s="45"/>
      <c r="BG277" s="45"/>
      <c r="BI277" s="45"/>
      <c r="BK277" s="45"/>
    </row>
    <row r="278" spans="26:63" ht="12.75" customHeight="1">
      <c r="Z278" s="55"/>
      <c r="BB278" s="55"/>
      <c r="BE278" s="45"/>
      <c r="BG278" s="45"/>
      <c r="BI278" s="45"/>
      <c r="BK278" s="45"/>
    </row>
    <row r="279" spans="26:63" ht="12.75" customHeight="1">
      <c r="Z279" s="55"/>
      <c r="BB279" s="55"/>
      <c r="BE279" s="45"/>
      <c r="BG279" s="45"/>
      <c r="BI279" s="45"/>
      <c r="BK279" s="45"/>
    </row>
    <row r="280" spans="26:63" ht="12.75" customHeight="1">
      <c r="Z280" s="55"/>
      <c r="BB280" s="55"/>
      <c r="BE280" s="45"/>
      <c r="BG280" s="45"/>
      <c r="BI280" s="45"/>
      <c r="BK280" s="45"/>
    </row>
    <row r="281" spans="26:63" ht="12.75" customHeight="1">
      <c r="Z281" s="55"/>
      <c r="BB281" s="55"/>
      <c r="BE281" s="45"/>
      <c r="BG281" s="45"/>
      <c r="BI281" s="45"/>
      <c r="BK281" s="45"/>
    </row>
    <row r="282" spans="26:63" ht="12.75" customHeight="1">
      <c r="Z282" s="55"/>
      <c r="BB282" s="55"/>
      <c r="BE282" s="45"/>
      <c r="BG282" s="45"/>
      <c r="BI282" s="45"/>
      <c r="BK282" s="45"/>
    </row>
    <row r="283" spans="26:63" ht="12.75" customHeight="1">
      <c r="Z283" s="55"/>
      <c r="BB283" s="55"/>
      <c r="BE283" s="45"/>
      <c r="BG283" s="45"/>
      <c r="BI283" s="45"/>
      <c r="BK283" s="45"/>
    </row>
    <row r="284" spans="26:63" ht="12.75" customHeight="1">
      <c r="Z284" s="55"/>
      <c r="BB284" s="55"/>
      <c r="BE284" s="45"/>
      <c r="BG284" s="45"/>
      <c r="BI284" s="45"/>
      <c r="BK284" s="45"/>
    </row>
    <row r="285" spans="26:63" ht="12.75" customHeight="1">
      <c r="Z285" s="55"/>
      <c r="BB285" s="55"/>
      <c r="BE285" s="45"/>
      <c r="BG285" s="45"/>
      <c r="BI285" s="45"/>
      <c r="BK285" s="45"/>
    </row>
    <row r="286" spans="26:63" ht="12.75" customHeight="1">
      <c r="Z286" s="55"/>
      <c r="BB286" s="55"/>
      <c r="BE286" s="45"/>
      <c r="BG286" s="45"/>
      <c r="BI286" s="45"/>
      <c r="BK286" s="45"/>
    </row>
    <row r="287" spans="26:63" ht="12.75" customHeight="1">
      <c r="Z287" s="55"/>
      <c r="BB287" s="55"/>
      <c r="BE287" s="45"/>
      <c r="BG287" s="45"/>
      <c r="BI287" s="45"/>
      <c r="BK287" s="45"/>
    </row>
    <row r="288" spans="26:63" ht="12.75" customHeight="1">
      <c r="Z288" s="55"/>
      <c r="BB288" s="55"/>
      <c r="BE288" s="45"/>
      <c r="BG288" s="45"/>
      <c r="BI288" s="45"/>
      <c r="BK288" s="45"/>
    </row>
    <row r="289" spans="26:63" ht="12.75" customHeight="1">
      <c r="Z289" s="55"/>
      <c r="BB289" s="55"/>
      <c r="BE289" s="45"/>
      <c r="BG289" s="45"/>
      <c r="BI289" s="45"/>
      <c r="BK289" s="45"/>
    </row>
    <row r="290" spans="26:63" ht="12.75" customHeight="1">
      <c r="Z290" s="55"/>
      <c r="BB290" s="55"/>
      <c r="BE290" s="45"/>
      <c r="BG290" s="45"/>
      <c r="BI290" s="45"/>
      <c r="BK290" s="45"/>
    </row>
    <row r="291" spans="26:63" ht="12.75" customHeight="1">
      <c r="Z291" s="55"/>
      <c r="BB291" s="55"/>
      <c r="BE291" s="45"/>
      <c r="BG291" s="45"/>
      <c r="BI291" s="45"/>
      <c r="BK291" s="45"/>
    </row>
    <row r="292" spans="26:63" ht="12.75" customHeight="1">
      <c r="Z292" s="55"/>
      <c r="BB292" s="55"/>
      <c r="BE292" s="45"/>
      <c r="BG292" s="45"/>
      <c r="BI292" s="45"/>
      <c r="BK292" s="45"/>
    </row>
    <row r="293" spans="26:63" ht="12.75" customHeight="1">
      <c r="Z293" s="55"/>
      <c r="BB293" s="55"/>
      <c r="BE293" s="45"/>
      <c r="BG293" s="45"/>
      <c r="BI293" s="45"/>
      <c r="BK293" s="45"/>
    </row>
    <row r="294" spans="26:63" ht="12.75" customHeight="1">
      <c r="Z294" s="55"/>
      <c r="BB294" s="55"/>
      <c r="BE294" s="45"/>
      <c r="BG294" s="45"/>
      <c r="BI294" s="45"/>
      <c r="BK294" s="45"/>
    </row>
    <row r="295" spans="26:63" ht="12.75" customHeight="1">
      <c r="Z295" s="55"/>
      <c r="BB295" s="55"/>
      <c r="BE295" s="45"/>
      <c r="BG295" s="45"/>
      <c r="BI295" s="45"/>
      <c r="BK295" s="45"/>
    </row>
    <row r="296" spans="26:63" ht="12.75" customHeight="1">
      <c r="Z296" s="55"/>
      <c r="BB296" s="55"/>
      <c r="BE296" s="45"/>
      <c r="BG296" s="45"/>
      <c r="BI296" s="45"/>
      <c r="BK296" s="45"/>
    </row>
    <row r="297" spans="26:63" ht="12.75" customHeight="1">
      <c r="Z297" s="55"/>
      <c r="BB297" s="55"/>
      <c r="BE297" s="45"/>
      <c r="BG297" s="45"/>
      <c r="BI297" s="45"/>
      <c r="BK297" s="45"/>
    </row>
    <row r="298" spans="26:63" ht="12.75" customHeight="1">
      <c r="Z298" s="55"/>
      <c r="BB298" s="55"/>
      <c r="BE298" s="45"/>
      <c r="BG298" s="45"/>
      <c r="BI298" s="45"/>
      <c r="BK298" s="45"/>
    </row>
    <row r="299" spans="26:63" ht="12.75" customHeight="1">
      <c r="Z299" s="55"/>
      <c r="BB299" s="55"/>
      <c r="BE299" s="45"/>
      <c r="BG299" s="45"/>
      <c r="BI299" s="45"/>
      <c r="BK299" s="45"/>
    </row>
    <row r="300" spans="26:63" ht="12.75" customHeight="1">
      <c r="Z300" s="55"/>
      <c r="BB300" s="55"/>
      <c r="BE300" s="45"/>
      <c r="BG300" s="45"/>
      <c r="BI300" s="45"/>
      <c r="BK300" s="45"/>
    </row>
    <row r="301" spans="26:63" ht="12.75" customHeight="1">
      <c r="Z301" s="55"/>
      <c r="BB301" s="55"/>
      <c r="BE301" s="45"/>
      <c r="BG301" s="45"/>
      <c r="BI301" s="45"/>
      <c r="BK301" s="45"/>
    </row>
    <row r="302" spans="26:63" ht="12.75" customHeight="1">
      <c r="Z302" s="55"/>
      <c r="BB302" s="55"/>
      <c r="BE302" s="45"/>
      <c r="BG302" s="45"/>
      <c r="BI302" s="45"/>
      <c r="BK302" s="45"/>
    </row>
    <row r="303" spans="26:63" ht="12.75" customHeight="1">
      <c r="Z303" s="55"/>
      <c r="BB303" s="55"/>
      <c r="BE303" s="45"/>
      <c r="BG303" s="45"/>
      <c r="BI303" s="45"/>
      <c r="BK303" s="45"/>
    </row>
    <row r="304" spans="26:63" ht="12.75" customHeight="1">
      <c r="Z304" s="55"/>
      <c r="BB304" s="55"/>
      <c r="BE304" s="45"/>
      <c r="BG304" s="45"/>
      <c r="BI304" s="45"/>
      <c r="BK304" s="45"/>
    </row>
    <row r="305" spans="26:63" ht="12.75" customHeight="1">
      <c r="Z305" s="55"/>
      <c r="BB305" s="55"/>
      <c r="BE305" s="45"/>
      <c r="BG305" s="45"/>
      <c r="BI305" s="45"/>
      <c r="BK305" s="45"/>
    </row>
    <row r="306" spans="26:63" ht="12.75" customHeight="1">
      <c r="Z306" s="55"/>
      <c r="BB306" s="55"/>
      <c r="BE306" s="45"/>
      <c r="BG306" s="45"/>
      <c r="BI306" s="45"/>
      <c r="BK306" s="45"/>
    </row>
    <row r="307" spans="26:63" ht="12.75" customHeight="1">
      <c r="Z307" s="55"/>
      <c r="BB307" s="55"/>
      <c r="BE307" s="45"/>
      <c r="BG307" s="45"/>
      <c r="BI307" s="45"/>
      <c r="BK307" s="45"/>
    </row>
    <row r="308" spans="26:63" ht="12.75" customHeight="1">
      <c r="Z308" s="55"/>
      <c r="BB308" s="55"/>
      <c r="BE308" s="45"/>
      <c r="BG308" s="45"/>
      <c r="BI308" s="45"/>
      <c r="BK308" s="45"/>
    </row>
    <row r="309" spans="26:63" ht="12.75" customHeight="1">
      <c r="Z309" s="55"/>
      <c r="BB309" s="55"/>
      <c r="BE309" s="45"/>
      <c r="BG309" s="45"/>
      <c r="BI309" s="45"/>
      <c r="BK309" s="45"/>
    </row>
    <row r="310" spans="26:63" ht="12.75" customHeight="1">
      <c r="Z310" s="55"/>
      <c r="BB310" s="55"/>
      <c r="BE310" s="45"/>
      <c r="BG310" s="45"/>
      <c r="BI310" s="45"/>
      <c r="BK310" s="45"/>
    </row>
    <row r="311" spans="26:63" ht="12.75" customHeight="1">
      <c r="Z311" s="55"/>
      <c r="BB311" s="55"/>
    </row>
    <row r="312" spans="26:63" ht="12.75" customHeight="1">
      <c r="Z312" s="55"/>
      <c r="BB312" s="55"/>
    </row>
    <row r="313" spans="26:63" ht="12.75" customHeight="1">
      <c r="Z313" s="55"/>
      <c r="BB313" s="55"/>
    </row>
    <row r="314" spans="26:63" ht="12.75" customHeight="1">
      <c r="Z314" s="55"/>
      <c r="BB314" s="55"/>
    </row>
  </sheetData>
  <mergeCells count="1">
    <mergeCell ref="Q6:U6"/>
  </mergeCells>
  <phoneticPr fontId="4" type="noConversion"/>
  <pageMargins left="0.75" right="0.75" top="0.5" bottom="0.5" header="0" footer="0.25"/>
  <pageSetup scale="90" firstPageNumber="108" pageOrder="overThenDown" orientation="portrait" useFirstPageNumber="1" horizontalDpi="1200" verticalDpi="1200" r:id="rId1"/>
  <headerFooter alignWithMargins="0">
    <oddFooter>&amp;C&amp;"Times New Roman,Regular"&amp;11&amp;P</oddFooter>
  </headerFooter>
  <colBreaks count="1" manualBreakCount="1">
    <brk id="12" min="12" max="23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Y301"/>
  <sheetViews>
    <sheetView zoomScaleNormal="100" zoomScaleSheetLayoutView="75" workbookViewId="0">
      <pane xSplit="3" ySplit="7" topLeftCell="D8" activePane="bottomRight" state="frozen"/>
      <selection pane="topRight" activeCell="D1" sqref="D1"/>
      <selection pane="bottomLeft" activeCell="A10" sqref="A10"/>
      <selection pane="bottomRight" activeCell="Q256" sqref="Q256"/>
    </sheetView>
  </sheetViews>
  <sheetFormatPr defaultRowHeight="12.75" customHeight="1"/>
  <cols>
    <col min="1" max="1" width="15.140625" style="57" customWidth="1"/>
    <col min="2" max="2" width="1.7109375" customWidth="1"/>
    <col min="3" max="3" width="11.28515625" style="57" customWidth="1"/>
    <col min="4" max="4" width="1.7109375" style="57" customWidth="1"/>
    <col min="5" max="5" width="11.7109375" style="57" customWidth="1"/>
    <col min="6" max="6" width="1.7109375" style="57" customWidth="1"/>
    <col min="7" max="7" width="11.7109375" style="57" customWidth="1"/>
    <col min="8" max="8" width="1.7109375" style="57" customWidth="1"/>
    <col min="9" max="9" width="11.7109375" style="57" customWidth="1"/>
    <col min="10" max="10" width="1.7109375" style="57" customWidth="1"/>
    <col min="11" max="11" width="11.7109375" style="57" customWidth="1"/>
    <col min="12" max="12" width="1.7109375" style="57" customWidth="1"/>
    <col min="13" max="13" width="11.7109375" style="57" customWidth="1"/>
    <col min="14" max="14" width="1.7109375" style="57" customWidth="1"/>
    <col min="15" max="15" width="11.7109375" style="57" customWidth="1"/>
    <col min="16" max="16" width="1.7109375" style="57" customWidth="1"/>
    <col min="17" max="17" width="11.7109375" style="57" customWidth="1"/>
    <col min="18" max="18" width="1.7109375" style="57" customWidth="1"/>
    <col min="19" max="19" width="11.7109375" style="57" customWidth="1"/>
    <col min="20" max="20" width="1.7109375" style="57" customWidth="1"/>
    <col min="21" max="21" width="11.7109375" style="2" customWidth="1"/>
    <col min="22" max="22" width="1.7109375" style="57" customWidth="1"/>
    <col min="23" max="23" width="10.7109375" style="2" bestFit="1" customWidth="1"/>
    <col min="24" max="24" width="1.7109375" style="57" customWidth="1"/>
    <col min="25" max="25" width="12.7109375" style="57" bestFit="1" customWidth="1"/>
    <col min="26" max="26" width="1.7109375" style="57" customWidth="1"/>
    <col min="27" max="27" width="12.7109375" style="57" bestFit="1" customWidth="1"/>
    <col min="28" max="28" width="1.7109375" style="57" customWidth="1"/>
    <col min="29" max="16384" width="9.140625" style="57"/>
  </cols>
  <sheetData>
    <row r="1" spans="1:23" s="69" customFormat="1" ht="12.75" customHeight="1">
      <c r="A1" s="20" t="s">
        <v>422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1"/>
      <c r="U1" s="1"/>
      <c r="W1" s="1"/>
    </row>
    <row r="2" spans="1:23" s="69" customFormat="1" ht="12.75" customHeight="1">
      <c r="A2" s="20" t="s">
        <v>488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1"/>
      <c r="U2" s="1"/>
      <c r="W2" s="1"/>
    </row>
    <row r="3" spans="1:23" ht="12.75" customHeight="1">
      <c r="A3" s="22" t="s">
        <v>289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2"/>
    </row>
    <row r="4" spans="1:23" ht="12.75" customHeight="1">
      <c r="A4" s="22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2"/>
    </row>
    <row r="5" spans="1:23" s="71" customFormat="1" ht="12.75" customHeight="1">
      <c r="A5" s="6"/>
      <c r="C5" s="6"/>
      <c r="D5" s="6"/>
      <c r="E5" s="6" t="s">
        <v>296</v>
      </c>
      <c r="F5" s="6"/>
      <c r="G5" s="6" t="s">
        <v>328</v>
      </c>
      <c r="H5" s="6"/>
      <c r="I5" s="6"/>
      <c r="J5" s="6"/>
      <c r="K5" s="6"/>
      <c r="L5" s="6"/>
      <c r="M5" s="6"/>
      <c r="N5" s="6"/>
      <c r="O5" s="6"/>
      <c r="P5" s="6"/>
      <c r="Q5" s="6" t="s">
        <v>376</v>
      </c>
      <c r="R5" s="6"/>
      <c r="S5" s="6" t="s">
        <v>6</v>
      </c>
      <c r="T5" s="3"/>
      <c r="U5" s="3" t="s">
        <v>441</v>
      </c>
      <c r="W5" s="3"/>
    </row>
    <row r="6" spans="1:23" s="71" customFormat="1" ht="12.75" customHeight="1">
      <c r="A6" s="6"/>
      <c r="C6" s="6"/>
      <c r="D6" s="6"/>
      <c r="E6" s="6" t="s">
        <v>356</v>
      </c>
      <c r="F6" s="6"/>
      <c r="G6" s="6" t="s">
        <v>377</v>
      </c>
      <c r="H6" s="6"/>
      <c r="I6" s="6" t="s">
        <v>378</v>
      </c>
      <c r="J6" s="6"/>
      <c r="K6" s="6" t="s">
        <v>363</v>
      </c>
      <c r="L6" s="6"/>
      <c r="M6" s="6" t="s">
        <v>4</v>
      </c>
      <c r="N6" s="6"/>
      <c r="O6" s="6" t="s">
        <v>379</v>
      </c>
      <c r="P6" s="6"/>
      <c r="Q6" s="6" t="s">
        <v>294</v>
      </c>
      <c r="R6" s="6"/>
      <c r="S6" s="6" t="s">
        <v>352</v>
      </c>
      <c r="T6" s="3"/>
      <c r="U6" s="3" t="s">
        <v>442</v>
      </c>
      <c r="W6" s="3" t="s">
        <v>324</v>
      </c>
    </row>
    <row r="7" spans="1:23" s="106" customFormat="1" ht="12.75" customHeight="1">
      <c r="A7" s="7" t="s">
        <v>8</v>
      </c>
      <c r="C7" s="7" t="s">
        <v>9</v>
      </c>
      <c r="D7" s="8"/>
      <c r="E7" s="78" t="s">
        <v>362</v>
      </c>
      <c r="F7" s="8"/>
      <c r="G7" s="78" t="s">
        <v>362</v>
      </c>
      <c r="H7" s="8"/>
      <c r="I7" s="78" t="s">
        <v>380</v>
      </c>
      <c r="J7" s="8"/>
      <c r="K7" s="78" t="s">
        <v>381</v>
      </c>
      <c r="L7" s="8"/>
      <c r="M7" s="78" t="s">
        <v>382</v>
      </c>
      <c r="N7" s="8"/>
      <c r="O7" s="78" t="s">
        <v>383</v>
      </c>
      <c r="P7" s="8"/>
      <c r="Q7" s="78" t="s">
        <v>364</v>
      </c>
      <c r="R7" s="8"/>
      <c r="S7" s="78" t="s">
        <v>364</v>
      </c>
      <c r="T7" s="81"/>
      <c r="U7" s="7" t="s">
        <v>443</v>
      </c>
      <c r="W7" s="81" t="s">
        <v>437</v>
      </c>
    </row>
    <row r="8" spans="1:23" s="65" customFormat="1" ht="12.75" customHeight="1">
      <c r="A8" s="35"/>
      <c r="B8" s="51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44"/>
      <c r="U8" s="44"/>
      <c r="W8" s="44"/>
    </row>
    <row r="9" spans="1:23" s="66" customFormat="1" ht="12.75" customHeight="1">
      <c r="A9" s="35" t="s">
        <v>12</v>
      </c>
      <c r="B9" s="65"/>
      <c r="C9" s="35" t="s">
        <v>13</v>
      </c>
      <c r="D9" s="35"/>
      <c r="E9" s="68">
        <v>215894886</v>
      </c>
      <c r="F9" s="68"/>
      <c r="G9" s="68">
        <f>42090000+13506503</f>
        <v>55596503</v>
      </c>
      <c r="H9" s="68"/>
      <c r="I9" s="68">
        <v>0</v>
      </c>
      <c r="J9" s="68"/>
      <c r="K9" s="68">
        <f>10361148+1252877+9358258</f>
        <v>20972283</v>
      </c>
      <c r="L9" s="68"/>
      <c r="M9" s="68">
        <v>0</v>
      </c>
      <c r="N9" s="68"/>
      <c r="O9" s="68">
        <v>224785420</v>
      </c>
      <c r="P9" s="68"/>
      <c r="Q9" s="68">
        <v>0</v>
      </c>
      <c r="R9" s="68"/>
      <c r="S9" s="68">
        <f t="shared" ref="S9:S70" si="0">SUM(E9:Q9)</f>
        <v>517249092</v>
      </c>
      <c r="T9" s="46"/>
      <c r="U9" s="46">
        <v>2256582</v>
      </c>
      <c r="V9" s="65"/>
      <c r="W9" s="44">
        <f>+S9-'Stmt net assets'!O9-U9</f>
        <v>0</v>
      </c>
    </row>
    <row r="10" spans="1:23" s="65" customFormat="1" ht="12.75" customHeight="1">
      <c r="A10" s="35" t="s">
        <v>14</v>
      </c>
      <c r="C10" s="35" t="s">
        <v>15</v>
      </c>
      <c r="D10" s="35"/>
      <c r="E10" s="48">
        <v>2015000</v>
      </c>
      <c r="F10" s="48"/>
      <c r="G10" s="48">
        <v>400000</v>
      </c>
      <c r="H10" s="48"/>
      <c r="I10" s="48">
        <v>0</v>
      </c>
      <c r="J10" s="48"/>
      <c r="K10" s="48">
        <v>0</v>
      </c>
      <c r="L10" s="48"/>
      <c r="M10" s="48">
        <v>0</v>
      </c>
      <c r="N10" s="48"/>
      <c r="O10" s="48">
        <v>2252404</v>
      </c>
      <c r="P10" s="48"/>
      <c r="Q10" s="48">
        <v>389017</v>
      </c>
      <c r="R10" s="48"/>
      <c r="S10" s="48">
        <f>SUM(E10:Q10)</f>
        <v>5056421</v>
      </c>
      <c r="T10" s="44"/>
      <c r="U10" s="48">
        <v>1418190</v>
      </c>
      <c r="W10" s="44">
        <f>+S10-'Stmt net assets'!O10-U10</f>
        <v>0</v>
      </c>
    </row>
    <row r="11" spans="1:23" s="65" customFormat="1" ht="12.75" customHeight="1">
      <c r="A11" s="35" t="s">
        <v>16</v>
      </c>
      <c r="B11" s="51"/>
      <c r="C11" s="35" t="s">
        <v>17</v>
      </c>
      <c r="D11" s="35"/>
      <c r="E11" s="48">
        <v>3711897</v>
      </c>
      <c r="F11" s="48"/>
      <c r="G11" s="48">
        <v>0</v>
      </c>
      <c r="H11" s="48"/>
      <c r="I11" s="48">
        <v>0</v>
      </c>
      <c r="J11" s="48"/>
      <c r="K11" s="48">
        <v>399410</v>
      </c>
      <c r="L11" s="48"/>
      <c r="M11" s="48">
        <v>0</v>
      </c>
      <c r="N11" s="48"/>
      <c r="O11" s="48">
        <v>168058</v>
      </c>
      <c r="P11" s="48"/>
      <c r="Q11" s="48">
        <v>0</v>
      </c>
      <c r="R11" s="48"/>
      <c r="S11" s="48">
        <f>SUM(E11:Q11)</f>
        <v>4279365</v>
      </c>
      <c r="T11" s="44"/>
      <c r="U11" s="48">
        <v>312610</v>
      </c>
      <c r="W11" s="44">
        <f>+S11-'Stmt net assets'!O11-U11</f>
        <v>0</v>
      </c>
    </row>
    <row r="12" spans="1:23" s="65" customFormat="1" ht="12.75" customHeight="1">
      <c r="A12" s="35" t="s">
        <v>18</v>
      </c>
      <c r="B12" s="51"/>
      <c r="C12" s="35" t="s">
        <v>18</v>
      </c>
      <c r="D12" s="35"/>
      <c r="E12" s="48">
        <v>2484000</v>
      </c>
      <c r="F12" s="48"/>
      <c r="G12" s="48">
        <v>0</v>
      </c>
      <c r="H12" s="48"/>
      <c r="I12" s="48">
        <v>0</v>
      </c>
      <c r="J12" s="48"/>
      <c r="K12" s="48">
        <f>31027+475974</f>
        <v>507001</v>
      </c>
      <c r="L12" s="48"/>
      <c r="M12" s="48">
        <v>0</v>
      </c>
      <c r="N12" s="48"/>
      <c r="O12" s="48">
        <v>800711</v>
      </c>
      <c r="P12" s="48"/>
      <c r="Q12" s="48">
        <v>0</v>
      </c>
      <c r="R12" s="48"/>
      <c r="S12" s="48">
        <f t="shared" si="0"/>
        <v>3791712</v>
      </c>
      <c r="T12" s="44"/>
      <c r="U12" s="48">
        <v>211079</v>
      </c>
      <c r="W12" s="44">
        <f>+S12-'Stmt net assets'!O12-U12</f>
        <v>0</v>
      </c>
    </row>
    <row r="13" spans="1:23" s="65" customFormat="1" ht="12.75" customHeight="1">
      <c r="A13" s="35" t="s">
        <v>19</v>
      </c>
      <c r="B13" s="51"/>
      <c r="C13" s="35" t="s">
        <v>19</v>
      </c>
      <c r="D13" s="35"/>
      <c r="E13" s="48">
        <v>47061</v>
      </c>
      <c r="F13" s="48"/>
      <c r="G13" s="48">
        <v>0</v>
      </c>
      <c r="H13" s="48"/>
      <c r="I13" s="48">
        <v>0</v>
      </c>
      <c r="J13" s="48"/>
      <c r="K13" s="48">
        <f>122280+102229+1027398</f>
        <v>1251907</v>
      </c>
      <c r="L13" s="48"/>
      <c r="M13" s="48">
        <v>0</v>
      </c>
      <c r="N13" s="48"/>
      <c r="O13" s="48">
        <f>2744377</f>
        <v>2744377</v>
      </c>
      <c r="P13" s="48"/>
      <c r="Q13" s="48">
        <v>273869</v>
      </c>
      <c r="R13" s="48"/>
      <c r="S13" s="48">
        <f t="shared" si="0"/>
        <v>4317214</v>
      </c>
      <c r="T13" s="44"/>
      <c r="U13" s="48">
        <v>1686058</v>
      </c>
      <c r="W13" s="44">
        <f>+S13-'Stmt net assets'!O13-U13</f>
        <v>0</v>
      </c>
    </row>
    <row r="14" spans="1:23" s="65" customFormat="1" ht="12.75" customHeight="1">
      <c r="A14" s="35" t="s">
        <v>20</v>
      </c>
      <c r="B14" s="51"/>
      <c r="C14" s="35" t="s">
        <v>20</v>
      </c>
      <c r="D14" s="35"/>
      <c r="E14" s="48">
        <v>4335000</v>
      </c>
      <c r="F14" s="48"/>
      <c r="G14" s="48">
        <v>0</v>
      </c>
      <c r="H14" s="48"/>
      <c r="I14" s="48">
        <v>0</v>
      </c>
      <c r="J14" s="48"/>
      <c r="K14" s="48">
        <v>0</v>
      </c>
      <c r="L14" s="48"/>
      <c r="M14" s="48">
        <v>0</v>
      </c>
      <c r="N14" s="48"/>
      <c r="O14" s="48">
        <v>954779</v>
      </c>
      <c r="P14" s="48"/>
      <c r="Q14" s="48">
        <v>18174</v>
      </c>
      <c r="R14" s="48"/>
      <c r="S14" s="48">
        <f t="shared" si="0"/>
        <v>5307953</v>
      </c>
      <c r="T14" s="44"/>
      <c r="U14" s="48">
        <v>923770</v>
      </c>
      <c r="W14" s="44">
        <f>+S14-'Stmt net assets'!O14-U14</f>
        <v>0</v>
      </c>
    </row>
    <row r="15" spans="1:23" s="65" customFormat="1" ht="12.75" customHeight="1">
      <c r="A15" s="35" t="s">
        <v>21</v>
      </c>
      <c r="B15" s="51"/>
      <c r="C15" s="35" t="s">
        <v>22</v>
      </c>
      <c r="D15" s="35"/>
      <c r="E15" s="48">
        <v>12302044</v>
      </c>
      <c r="F15" s="48"/>
      <c r="G15" s="48">
        <v>0</v>
      </c>
      <c r="H15" s="48"/>
      <c r="I15" s="48">
        <v>0</v>
      </c>
      <c r="J15" s="48"/>
      <c r="K15" s="48">
        <v>382316</v>
      </c>
      <c r="L15" s="48"/>
      <c r="M15" s="48">
        <v>89598</v>
      </c>
      <c r="N15" s="48"/>
      <c r="O15" s="48">
        <v>613861</v>
      </c>
      <c r="P15" s="48"/>
      <c r="Q15" s="48">
        <f>252811-286413</f>
        <v>-33602</v>
      </c>
      <c r="R15" s="48"/>
      <c r="S15" s="48">
        <f t="shared" si="0"/>
        <v>13354217</v>
      </c>
      <c r="T15" s="44"/>
      <c r="U15" s="48">
        <v>1585729</v>
      </c>
      <c r="W15" s="44">
        <f>+S15-'Stmt net assets'!O15-U15</f>
        <v>0</v>
      </c>
    </row>
    <row r="16" spans="1:23" s="65" customFormat="1" ht="12.75" customHeight="1">
      <c r="A16" s="35" t="s">
        <v>23</v>
      </c>
      <c r="B16" s="51"/>
      <c r="C16" s="35" t="s">
        <v>17</v>
      </c>
      <c r="D16" s="35"/>
      <c r="E16" s="48">
        <v>6717363</v>
      </c>
      <c r="F16" s="48"/>
      <c r="G16" s="48">
        <v>2866244</v>
      </c>
      <c r="H16" s="48"/>
      <c r="I16" s="48">
        <v>6910000</v>
      </c>
      <c r="J16" s="48"/>
      <c r="K16" s="48">
        <v>242044</v>
      </c>
      <c r="L16" s="48"/>
      <c r="M16" s="48">
        <v>0</v>
      </c>
      <c r="N16" s="48"/>
      <c r="O16" s="48">
        <v>1483690</v>
      </c>
      <c r="P16" s="48"/>
      <c r="Q16" s="48">
        <v>0</v>
      </c>
      <c r="R16" s="48"/>
      <c r="S16" s="48">
        <f t="shared" si="0"/>
        <v>18219341</v>
      </c>
      <c r="T16" s="44"/>
      <c r="U16" s="48">
        <v>730752</v>
      </c>
      <c r="W16" s="44">
        <f>+S16-'Stmt net assets'!O16-U16</f>
        <v>0</v>
      </c>
    </row>
    <row r="17" spans="1:23" s="65" customFormat="1" ht="12.75" customHeight="1">
      <c r="A17" s="35" t="s">
        <v>24</v>
      </c>
      <c r="B17" s="51"/>
      <c r="C17" s="35" t="s">
        <v>17</v>
      </c>
      <c r="D17" s="35"/>
      <c r="E17" s="48">
        <v>5472691</v>
      </c>
      <c r="F17" s="48"/>
      <c r="G17" s="48">
        <v>2975485</v>
      </c>
      <c r="H17" s="48"/>
      <c r="I17" s="48">
        <v>0</v>
      </c>
      <c r="J17" s="48"/>
      <c r="K17" s="48">
        <v>284994</v>
      </c>
      <c r="L17" s="48"/>
      <c r="M17" s="48">
        <v>0</v>
      </c>
      <c r="N17" s="48"/>
      <c r="O17" s="48">
        <v>892908</v>
      </c>
      <c r="P17" s="48"/>
      <c r="Q17" s="48">
        <f>107824+837931+215245</f>
        <v>1161000</v>
      </c>
      <c r="R17" s="48"/>
      <c r="S17" s="48">
        <f t="shared" si="0"/>
        <v>10787078</v>
      </c>
      <c r="T17" s="44"/>
      <c r="U17" s="48">
        <v>1130632</v>
      </c>
      <c r="W17" s="44">
        <f>+S17-'Stmt net assets'!O17-U17</f>
        <v>0</v>
      </c>
    </row>
    <row r="18" spans="1:23" s="65" customFormat="1" ht="12.75" customHeight="1">
      <c r="A18" s="35" t="s">
        <v>25</v>
      </c>
      <c r="B18" s="51"/>
      <c r="C18" s="35" t="s">
        <v>13</v>
      </c>
      <c r="D18" s="35"/>
      <c r="E18" s="48">
        <v>4044510</v>
      </c>
      <c r="F18" s="48"/>
      <c r="G18" s="48">
        <v>201800</v>
      </c>
      <c r="H18" s="48"/>
      <c r="I18" s="48">
        <v>20000</v>
      </c>
      <c r="J18" s="48"/>
      <c r="K18" s="48">
        <v>1095000</v>
      </c>
      <c r="L18" s="48"/>
      <c r="M18" s="48">
        <v>342481</v>
      </c>
      <c r="N18" s="48"/>
      <c r="O18" s="48">
        <v>2991341</v>
      </c>
      <c r="P18" s="48"/>
      <c r="Q18" s="48">
        <v>0</v>
      </c>
      <c r="R18" s="48"/>
      <c r="S18" s="48">
        <f t="shared" si="0"/>
        <v>8695132</v>
      </c>
      <c r="T18" s="44"/>
      <c r="U18" s="48">
        <v>1565451</v>
      </c>
      <c r="W18" s="44">
        <f>+S18-'Stmt net assets'!O18-U18</f>
        <v>0</v>
      </c>
    </row>
    <row r="19" spans="1:23" s="65" customFormat="1" ht="12.75" customHeight="1">
      <c r="A19" s="35" t="s">
        <v>26</v>
      </c>
      <c r="B19" s="51"/>
      <c r="C19" s="35" t="s">
        <v>27</v>
      </c>
      <c r="D19" s="35"/>
      <c r="E19" s="48">
        <v>11129128</v>
      </c>
      <c r="F19" s="48"/>
      <c r="G19" s="48">
        <v>0</v>
      </c>
      <c r="H19" s="48"/>
      <c r="I19" s="48">
        <v>2300000</v>
      </c>
      <c r="J19" s="48"/>
      <c r="K19" s="48">
        <v>0</v>
      </c>
      <c r="L19" s="48"/>
      <c r="M19" s="48">
        <v>0</v>
      </c>
      <c r="N19" s="48"/>
      <c r="O19" s="48">
        <v>1268084</v>
      </c>
      <c r="P19" s="48"/>
      <c r="Q19" s="48">
        <v>0</v>
      </c>
      <c r="R19" s="48"/>
      <c r="S19" s="48">
        <f t="shared" si="0"/>
        <v>14697212</v>
      </c>
      <c r="T19" s="44"/>
      <c r="U19" s="48">
        <v>3881681</v>
      </c>
      <c r="W19" s="44">
        <f>+S19-'Stmt net assets'!O19-U19</f>
        <v>0</v>
      </c>
    </row>
    <row r="20" spans="1:23" s="65" customFormat="1" ht="12.75" customHeight="1">
      <c r="A20" s="35" t="s">
        <v>28</v>
      </c>
      <c r="B20" s="51"/>
      <c r="C20" s="35" t="s">
        <v>27</v>
      </c>
      <c r="D20" s="35"/>
      <c r="E20" s="48">
        <v>11993748</v>
      </c>
      <c r="F20" s="48"/>
      <c r="G20" s="48">
        <v>5160000</v>
      </c>
      <c r="H20" s="48"/>
      <c r="I20" s="48">
        <v>0</v>
      </c>
      <c r="J20" s="48"/>
      <c r="K20" s="48">
        <v>0</v>
      </c>
      <c r="L20" s="48"/>
      <c r="M20" s="48">
        <v>0</v>
      </c>
      <c r="N20" s="48"/>
      <c r="O20" s="48">
        <v>2185221</v>
      </c>
      <c r="P20" s="48"/>
      <c r="Q20" s="48">
        <v>0</v>
      </c>
      <c r="R20" s="48"/>
      <c r="S20" s="48">
        <f t="shared" si="0"/>
        <v>19338969</v>
      </c>
      <c r="T20" s="44"/>
      <c r="U20" s="48">
        <v>1999495</v>
      </c>
      <c r="W20" s="44">
        <f>+S20-'Stmt net assets'!O20-U20</f>
        <v>0</v>
      </c>
    </row>
    <row r="21" spans="1:23" s="65" customFormat="1" ht="12.75" customHeight="1">
      <c r="A21" s="35" t="s">
        <v>29</v>
      </c>
      <c r="B21" s="51"/>
      <c r="C21" s="35" t="s">
        <v>30</v>
      </c>
      <c r="D21" s="35"/>
      <c r="E21" s="48">
        <f>5645000+3135000</f>
        <v>8780000</v>
      </c>
      <c r="F21" s="48"/>
      <c r="G21" s="48">
        <v>0</v>
      </c>
      <c r="H21" s="48"/>
      <c r="I21" s="48">
        <v>0</v>
      </c>
      <c r="J21" s="48"/>
      <c r="K21" s="48">
        <v>0</v>
      </c>
      <c r="L21" s="48"/>
      <c r="M21" s="48">
        <v>53337</v>
      </c>
      <c r="N21" s="48"/>
      <c r="O21" s="48">
        <v>888463</v>
      </c>
      <c r="P21" s="48"/>
      <c r="Q21" s="48">
        <v>0</v>
      </c>
      <c r="R21" s="48"/>
      <c r="S21" s="48">
        <f t="shared" si="0"/>
        <v>9721800</v>
      </c>
      <c r="T21" s="44"/>
      <c r="U21" s="48">
        <v>1046919</v>
      </c>
      <c r="W21" s="44">
        <f>+S21-'Stmt net assets'!O21-U21</f>
        <v>0</v>
      </c>
    </row>
    <row r="22" spans="1:23" s="65" customFormat="1" ht="12.75" customHeight="1">
      <c r="A22" s="35" t="s">
        <v>31</v>
      </c>
      <c r="B22" s="51"/>
      <c r="C22" s="35" t="s">
        <v>27</v>
      </c>
      <c r="D22" s="35"/>
      <c r="E22" s="48">
        <v>11363218</v>
      </c>
      <c r="F22" s="48"/>
      <c r="G22" s="48">
        <v>500000</v>
      </c>
      <c r="H22" s="48"/>
      <c r="I22" s="48">
        <v>0</v>
      </c>
      <c r="J22" s="48"/>
      <c r="K22" s="48">
        <v>481766</v>
      </c>
      <c r="L22" s="48"/>
      <c r="M22" s="48">
        <v>9263</v>
      </c>
      <c r="N22" s="48"/>
      <c r="O22" s="48">
        <v>1265458</v>
      </c>
      <c r="P22" s="48"/>
      <c r="Q22" s="48">
        <v>198133</v>
      </c>
      <c r="R22" s="48"/>
      <c r="S22" s="48">
        <f t="shared" si="0"/>
        <v>13817838</v>
      </c>
      <c r="T22" s="44"/>
      <c r="U22" s="48">
        <v>1062691</v>
      </c>
      <c r="W22" s="44">
        <f>+S22-'Stmt net assets'!O22-U22</f>
        <v>0</v>
      </c>
    </row>
    <row r="23" spans="1:23" s="65" customFormat="1" ht="12.75" customHeight="1">
      <c r="A23" s="35" t="s">
        <v>32</v>
      </c>
      <c r="B23" s="51"/>
      <c r="C23" s="35" t="s">
        <v>27</v>
      </c>
      <c r="D23" s="35"/>
      <c r="E23" s="48">
        <v>4005000</v>
      </c>
      <c r="F23" s="48"/>
      <c r="G23" s="48">
        <v>0</v>
      </c>
      <c r="H23" s="48"/>
      <c r="I23" s="48">
        <v>450000</v>
      </c>
      <c r="J23" s="48"/>
      <c r="K23" s="48">
        <v>0</v>
      </c>
      <c r="L23" s="48"/>
      <c r="M23" s="48">
        <v>902774</v>
      </c>
      <c r="N23" s="48"/>
      <c r="O23" s="48">
        <v>2345847</v>
      </c>
      <c r="P23" s="48"/>
      <c r="Q23" s="48">
        <v>0</v>
      </c>
      <c r="R23" s="48"/>
      <c r="S23" s="48">
        <f t="shared" si="0"/>
        <v>7703621</v>
      </c>
      <c r="T23" s="44"/>
      <c r="U23" s="48">
        <v>1539273</v>
      </c>
      <c r="W23" s="44">
        <f>+S23-'Stmt net assets'!O23-U23</f>
        <v>0</v>
      </c>
    </row>
    <row r="24" spans="1:23" s="65" customFormat="1" ht="12.75" hidden="1" customHeight="1">
      <c r="A24" s="35" t="s">
        <v>34</v>
      </c>
      <c r="B24" s="51"/>
      <c r="C24" s="35" t="s">
        <v>30</v>
      </c>
      <c r="D24" s="35"/>
      <c r="E24" s="48">
        <v>0</v>
      </c>
      <c r="F24" s="48"/>
      <c r="G24" s="48">
        <v>0</v>
      </c>
      <c r="H24" s="48"/>
      <c r="I24" s="48">
        <v>0</v>
      </c>
      <c r="J24" s="48"/>
      <c r="K24" s="48">
        <v>0</v>
      </c>
      <c r="L24" s="48"/>
      <c r="M24" s="48">
        <v>0</v>
      </c>
      <c r="N24" s="48"/>
      <c r="O24" s="48">
        <v>0</v>
      </c>
      <c r="P24" s="48"/>
      <c r="Q24" s="48">
        <v>0</v>
      </c>
      <c r="R24" s="48"/>
      <c r="S24" s="48">
        <f t="shared" si="0"/>
        <v>0</v>
      </c>
      <c r="T24" s="44"/>
      <c r="U24" s="48">
        <v>0</v>
      </c>
      <c r="W24" s="44">
        <f>+S24-'Stmt net assets'!O24-U24</f>
        <v>0</v>
      </c>
    </row>
    <row r="25" spans="1:23" s="65" customFormat="1" ht="12.75" customHeight="1">
      <c r="A25" s="35" t="s">
        <v>35</v>
      </c>
      <c r="B25" s="51"/>
      <c r="C25" s="35" t="s">
        <v>36</v>
      </c>
      <c r="D25" s="35"/>
      <c r="E25" s="48">
        <v>505000</v>
      </c>
      <c r="F25" s="48"/>
      <c r="G25" s="48">
        <f>30000+80000</f>
        <v>110000</v>
      </c>
      <c r="H25" s="48"/>
      <c r="I25" s="48">
        <v>0</v>
      </c>
      <c r="J25" s="48"/>
      <c r="K25" s="48">
        <v>0</v>
      </c>
      <c r="L25" s="48"/>
      <c r="M25" s="48">
        <v>0</v>
      </c>
      <c r="N25" s="48"/>
      <c r="O25" s="48">
        <v>943076</v>
      </c>
      <c r="P25" s="48"/>
      <c r="Q25" s="48">
        <v>35649</v>
      </c>
      <c r="R25" s="48"/>
      <c r="S25" s="48">
        <f t="shared" si="0"/>
        <v>1593725</v>
      </c>
      <c r="T25" s="44"/>
      <c r="U25" s="48">
        <v>428952</v>
      </c>
      <c r="W25" s="44">
        <f>+S25-'Stmt net assets'!O25-U25</f>
        <v>0</v>
      </c>
    </row>
    <row r="26" spans="1:23" s="65" customFormat="1" ht="12.75" customHeight="1">
      <c r="A26" s="35" t="s">
        <v>37</v>
      </c>
      <c r="B26" s="51"/>
      <c r="C26" s="35" t="s">
        <v>38</v>
      </c>
      <c r="D26" s="35"/>
      <c r="E26" s="48">
        <v>1425000</v>
      </c>
      <c r="F26" s="48"/>
      <c r="G26" s="48">
        <v>0</v>
      </c>
      <c r="H26" s="48"/>
      <c r="I26" s="48">
        <v>0</v>
      </c>
      <c r="J26" s="48"/>
      <c r="K26" s="48">
        <v>0</v>
      </c>
      <c r="L26" s="48"/>
      <c r="M26" s="48">
        <v>0</v>
      </c>
      <c r="N26" s="48"/>
      <c r="O26" s="48">
        <v>636417</v>
      </c>
      <c r="P26" s="48"/>
      <c r="Q26" s="48">
        <v>0</v>
      </c>
      <c r="R26" s="48"/>
      <c r="S26" s="48">
        <f t="shared" si="0"/>
        <v>2061417</v>
      </c>
      <c r="T26" s="44"/>
      <c r="U26" s="48">
        <v>260637</v>
      </c>
      <c r="W26" s="44">
        <f>+S26-'Stmt net assets'!O26-U26</f>
        <v>0</v>
      </c>
    </row>
    <row r="27" spans="1:23" s="65" customFormat="1" ht="12.75" customHeight="1">
      <c r="A27" s="35" t="s">
        <v>39</v>
      </c>
      <c r="B27" s="51"/>
      <c r="C27" s="35" t="s">
        <v>40</v>
      </c>
      <c r="D27" s="35"/>
      <c r="E27" s="48">
        <v>0</v>
      </c>
      <c r="F27" s="48"/>
      <c r="G27" s="48">
        <v>0</v>
      </c>
      <c r="H27" s="48"/>
      <c r="I27" s="48">
        <v>0</v>
      </c>
      <c r="J27" s="48"/>
      <c r="K27" s="48">
        <v>0</v>
      </c>
      <c r="L27" s="48"/>
      <c r="M27" s="48">
        <v>1270148</v>
      </c>
      <c r="N27" s="48"/>
      <c r="O27" s="48">
        <v>40075</v>
      </c>
      <c r="P27" s="48"/>
      <c r="Q27" s="48">
        <v>21012</v>
      </c>
      <c r="R27" s="48"/>
      <c r="S27" s="48">
        <f t="shared" si="0"/>
        <v>1331235</v>
      </c>
      <c r="T27" s="44"/>
      <c r="U27" s="48">
        <v>120668</v>
      </c>
      <c r="W27" s="44">
        <f>+S27-'Stmt net assets'!O27-U27</f>
        <v>0</v>
      </c>
    </row>
    <row r="28" spans="1:23" s="65" customFormat="1" ht="12.75" customHeight="1">
      <c r="A28" s="35" t="s">
        <v>41</v>
      </c>
      <c r="B28" s="51"/>
      <c r="C28" s="35" t="s">
        <v>27</v>
      </c>
      <c r="D28" s="35"/>
      <c r="E28" s="48">
        <f>10770000</f>
        <v>10770000</v>
      </c>
      <c r="F28" s="48"/>
      <c r="G28" s="48">
        <v>1050000</v>
      </c>
      <c r="H28" s="48"/>
      <c r="I28" s="48">
        <v>0</v>
      </c>
      <c r="J28" s="48"/>
      <c r="K28" s="48">
        <v>0</v>
      </c>
      <c r="L28" s="48"/>
      <c r="M28" s="48">
        <f>106975+111658+7968+108530+32199</f>
        <v>367330</v>
      </c>
      <c r="N28" s="48"/>
      <c r="O28" s="48">
        <v>1092372</v>
      </c>
      <c r="P28" s="48"/>
      <c r="Q28" s="48">
        <f>111006+238335</f>
        <v>349341</v>
      </c>
      <c r="R28" s="48"/>
      <c r="S28" s="48">
        <f t="shared" si="0"/>
        <v>13629043</v>
      </c>
      <c r="T28" s="44"/>
      <c r="U28" s="48">
        <v>1238412</v>
      </c>
      <c r="W28" s="44">
        <f>+S28-'Stmt net assets'!O28-U28</f>
        <v>0</v>
      </c>
    </row>
    <row r="29" spans="1:23" s="65" customFormat="1" ht="12.75" customHeight="1">
      <c r="A29" s="35" t="s">
        <v>42</v>
      </c>
      <c r="B29" s="51"/>
      <c r="C29" s="35" t="s">
        <v>43</v>
      </c>
      <c r="D29" s="35"/>
      <c r="E29" s="48">
        <v>3195000</v>
      </c>
      <c r="F29" s="48"/>
      <c r="G29" s="48">
        <v>0</v>
      </c>
      <c r="H29" s="48"/>
      <c r="I29" s="48">
        <v>0</v>
      </c>
      <c r="J29" s="48"/>
      <c r="K29" s="48">
        <v>0</v>
      </c>
      <c r="L29" s="48"/>
      <c r="M29" s="48">
        <v>103513</v>
      </c>
      <c r="N29" s="48"/>
      <c r="O29" s="48">
        <v>460633</v>
      </c>
      <c r="P29" s="48"/>
      <c r="Q29" s="48">
        <v>397611</v>
      </c>
      <c r="R29" s="48"/>
      <c r="S29" s="48">
        <f t="shared" si="0"/>
        <v>4156757</v>
      </c>
      <c r="T29" s="44"/>
      <c r="U29" s="48">
        <v>382259</v>
      </c>
      <c r="W29" s="44">
        <f>+S29-'Stmt net assets'!O29-U29</f>
        <v>0</v>
      </c>
    </row>
    <row r="30" spans="1:23" s="65" customFormat="1" ht="12.75" customHeight="1">
      <c r="A30" s="35" t="s">
        <v>44</v>
      </c>
      <c r="B30" s="51"/>
      <c r="C30" s="35" t="s">
        <v>45</v>
      </c>
      <c r="D30" s="35"/>
      <c r="E30" s="48">
        <v>31645000</v>
      </c>
      <c r="F30" s="48"/>
      <c r="G30" s="48">
        <v>0</v>
      </c>
      <c r="H30" s="48"/>
      <c r="I30" s="48">
        <v>0</v>
      </c>
      <c r="J30" s="48"/>
      <c r="K30" s="48">
        <v>17913325</v>
      </c>
      <c r="L30" s="48"/>
      <c r="M30" s="48">
        <v>0</v>
      </c>
      <c r="N30" s="48"/>
      <c r="O30" s="48">
        <v>1623493</v>
      </c>
      <c r="P30" s="48"/>
      <c r="Q30" s="48">
        <v>0</v>
      </c>
      <c r="R30" s="48"/>
      <c r="S30" s="48">
        <f t="shared" si="0"/>
        <v>51181818</v>
      </c>
      <c r="T30" s="44"/>
      <c r="U30" s="48">
        <v>3112754</v>
      </c>
      <c r="W30" s="44">
        <f>+S30-'Stmt net assets'!O30-U30</f>
        <v>0</v>
      </c>
    </row>
    <row r="31" spans="1:23" s="65" customFormat="1" ht="12.75" customHeight="1">
      <c r="A31" s="35" t="s">
        <v>46</v>
      </c>
      <c r="B31" s="51"/>
      <c r="C31" s="35" t="s">
        <v>47</v>
      </c>
      <c r="D31" s="35"/>
      <c r="E31" s="48">
        <v>10198415</v>
      </c>
      <c r="F31" s="48"/>
      <c r="G31" s="48">
        <v>0</v>
      </c>
      <c r="H31" s="48"/>
      <c r="I31" s="48">
        <v>0</v>
      </c>
      <c r="J31" s="48"/>
      <c r="K31" s="48">
        <v>12831546</v>
      </c>
      <c r="L31" s="48"/>
      <c r="M31" s="48">
        <v>0</v>
      </c>
      <c r="N31" s="48"/>
      <c r="O31" s="48">
        <v>1620625</v>
      </c>
      <c r="P31" s="48"/>
      <c r="Q31" s="48">
        <v>0</v>
      </c>
      <c r="R31" s="48"/>
      <c r="S31" s="48">
        <f t="shared" si="0"/>
        <v>24650586</v>
      </c>
      <c r="T31" s="44"/>
      <c r="U31" s="48">
        <v>1750634</v>
      </c>
      <c r="W31" s="44">
        <f>+S31-'Stmt net assets'!O31-U31</f>
        <v>0</v>
      </c>
    </row>
    <row r="32" spans="1:23" s="65" customFormat="1" ht="12.75" customHeight="1">
      <c r="A32" s="35" t="s">
        <v>48</v>
      </c>
      <c r="B32" s="51"/>
      <c r="C32" s="35" t="s">
        <v>27</v>
      </c>
      <c r="D32" s="35"/>
      <c r="E32" s="48">
        <v>11875548</v>
      </c>
      <c r="F32" s="48"/>
      <c r="G32" s="48">
        <v>4169352</v>
      </c>
      <c r="H32" s="48"/>
      <c r="I32" s="48">
        <v>0</v>
      </c>
      <c r="J32" s="48"/>
      <c r="K32" s="48">
        <v>709295</v>
      </c>
      <c r="L32" s="48"/>
      <c r="M32" s="48">
        <v>0</v>
      </c>
      <c r="N32" s="48"/>
      <c r="O32" s="48">
        <v>702539</v>
      </c>
      <c r="P32" s="48"/>
      <c r="Q32" s="48">
        <v>0</v>
      </c>
      <c r="R32" s="48"/>
      <c r="S32" s="48">
        <f t="shared" si="0"/>
        <v>17456734</v>
      </c>
      <c r="T32" s="44"/>
      <c r="U32" s="48">
        <v>1567434</v>
      </c>
      <c r="W32" s="44">
        <f>+S32-'Stmt net assets'!O32-U32</f>
        <v>0</v>
      </c>
    </row>
    <row r="33" spans="1:23" s="65" customFormat="1" ht="12.75" customHeight="1">
      <c r="A33" s="35" t="s">
        <v>49</v>
      </c>
      <c r="B33" s="51"/>
      <c r="C33" s="35" t="s">
        <v>27</v>
      </c>
      <c r="D33" s="35"/>
      <c r="E33" s="48">
        <v>7502747</v>
      </c>
      <c r="F33" s="48"/>
      <c r="G33" s="48">
        <v>3503416</v>
      </c>
      <c r="H33" s="48"/>
      <c r="I33" s="48">
        <v>0</v>
      </c>
      <c r="J33" s="48"/>
      <c r="K33" s="48">
        <f>2509985+394401</f>
        <v>2904386</v>
      </c>
      <c r="L33" s="48"/>
      <c r="M33" s="48">
        <v>30570</v>
      </c>
      <c r="N33" s="48"/>
      <c r="O33" s="48">
        <v>1193340</v>
      </c>
      <c r="P33" s="48"/>
      <c r="Q33" s="48">
        <v>0</v>
      </c>
      <c r="R33" s="48"/>
      <c r="S33" s="48">
        <f t="shared" si="0"/>
        <v>15134459</v>
      </c>
      <c r="T33" s="44"/>
      <c r="U33" s="48">
        <v>2313904</v>
      </c>
      <c r="W33" s="44">
        <f>+S33-'Stmt net assets'!O33-U33</f>
        <v>0</v>
      </c>
    </row>
    <row r="34" spans="1:23" s="65" customFormat="1" ht="12.75" customHeight="1">
      <c r="A34" s="35" t="s">
        <v>50</v>
      </c>
      <c r="B34" s="51"/>
      <c r="C34" s="35" t="s">
        <v>27</v>
      </c>
      <c r="D34" s="35"/>
      <c r="E34" s="48">
        <v>1775000</v>
      </c>
      <c r="F34" s="48"/>
      <c r="G34" s="48">
        <v>0</v>
      </c>
      <c r="H34" s="48"/>
      <c r="I34" s="48">
        <v>0</v>
      </c>
      <c r="J34" s="48"/>
      <c r="K34" s="48">
        <v>0</v>
      </c>
      <c r="L34" s="48"/>
      <c r="M34" s="48">
        <v>1146912</v>
      </c>
      <c r="N34" s="48"/>
      <c r="O34" s="48">
        <v>2763821</v>
      </c>
      <c r="P34" s="48"/>
      <c r="Q34" s="48">
        <v>0</v>
      </c>
      <c r="R34" s="48"/>
      <c r="S34" s="48">
        <f t="shared" si="0"/>
        <v>5685733</v>
      </c>
      <c r="T34" s="44"/>
      <c r="U34" s="48">
        <v>1691415</v>
      </c>
      <c r="W34" s="44">
        <f>+S34-'Stmt net assets'!O34-U34</f>
        <v>0</v>
      </c>
    </row>
    <row r="35" spans="1:23" s="65" customFormat="1" ht="12.75" customHeight="1">
      <c r="A35" s="35" t="s">
        <v>51</v>
      </c>
      <c r="B35" s="51"/>
      <c r="C35" s="35" t="s">
        <v>27</v>
      </c>
      <c r="D35" s="35"/>
      <c r="E35" s="48">
        <v>7010057</v>
      </c>
      <c r="F35" s="48"/>
      <c r="G35" s="48">
        <v>0</v>
      </c>
      <c r="H35" s="48"/>
      <c r="I35" s="48">
        <v>650000</v>
      </c>
      <c r="J35" s="48"/>
      <c r="K35" s="48">
        <f>412275+137135+52245</f>
        <v>601655</v>
      </c>
      <c r="L35" s="48"/>
      <c r="M35" s="48">
        <v>2823720</v>
      </c>
      <c r="N35" s="48"/>
      <c r="O35" s="48">
        <v>1879550</v>
      </c>
      <c r="P35" s="48"/>
      <c r="Q35" s="48">
        <f>341822+4605251</f>
        <v>4947073</v>
      </c>
      <c r="R35" s="48"/>
      <c r="S35" s="48">
        <f t="shared" si="0"/>
        <v>17912055</v>
      </c>
      <c r="T35" s="44"/>
      <c r="U35" s="48">
        <v>1389258</v>
      </c>
      <c r="W35" s="44">
        <f>+S35-'Stmt net assets'!O35-U35</f>
        <v>0</v>
      </c>
    </row>
    <row r="36" spans="1:23" s="65" customFormat="1" ht="12.75" customHeight="1">
      <c r="A36" s="35" t="s">
        <v>463</v>
      </c>
      <c r="B36" s="51"/>
      <c r="C36" s="35" t="s">
        <v>66</v>
      </c>
      <c r="D36" s="35"/>
      <c r="E36" s="48">
        <v>0</v>
      </c>
      <c r="F36" s="48"/>
      <c r="G36" s="48">
        <v>0</v>
      </c>
      <c r="H36" s="48"/>
      <c r="I36" s="48">
        <f>2285000+1109000</f>
        <v>3394000</v>
      </c>
      <c r="J36" s="48"/>
      <c r="K36" s="48">
        <v>161883</v>
      </c>
      <c r="L36" s="48"/>
      <c r="M36" s="48">
        <f>13476+332417</f>
        <v>345893</v>
      </c>
      <c r="N36" s="48"/>
      <c r="O36" s="48">
        <v>86270</v>
      </c>
      <c r="P36" s="48"/>
      <c r="Q36" s="48">
        <v>0</v>
      </c>
      <c r="R36" s="48"/>
      <c r="S36" s="48">
        <f t="shared" si="0"/>
        <v>3988046</v>
      </c>
      <c r="T36" s="44"/>
      <c r="U36" s="48">
        <v>2535645</v>
      </c>
      <c r="W36" s="44">
        <f>+S36-'Stmt net assets'!O36-U36</f>
        <v>0</v>
      </c>
    </row>
    <row r="37" spans="1:23" s="65" customFormat="1" ht="12.75" customHeight="1">
      <c r="A37" s="35" t="s">
        <v>52</v>
      </c>
      <c r="B37" s="51"/>
      <c r="C37" s="35" t="s">
        <v>53</v>
      </c>
      <c r="D37" s="35"/>
      <c r="E37" s="48">
        <v>1709812</v>
      </c>
      <c r="F37" s="48"/>
      <c r="G37" s="48">
        <v>1881398</v>
      </c>
      <c r="H37" s="48"/>
      <c r="I37" s="48">
        <v>5580000</v>
      </c>
      <c r="J37" s="48"/>
      <c r="K37" s="48">
        <v>162723</v>
      </c>
      <c r="L37" s="48"/>
      <c r="M37" s="48">
        <v>335352</v>
      </c>
      <c r="N37" s="48"/>
      <c r="O37" s="48">
        <v>438819</v>
      </c>
      <c r="P37" s="48"/>
      <c r="Q37" s="48">
        <v>0</v>
      </c>
      <c r="R37" s="48"/>
      <c r="S37" s="48">
        <f t="shared" si="0"/>
        <v>10108104</v>
      </c>
      <c r="T37" s="44"/>
      <c r="U37" s="48">
        <v>724913</v>
      </c>
      <c r="W37" s="44">
        <f>+S37-'Stmt net assets'!O37-U37</f>
        <v>0</v>
      </c>
    </row>
    <row r="38" spans="1:23" s="65" customFormat="1" ht="12.75" customHeight="1">
      <c r="A38" s="35" t="s">
        <v>54</v>
      </c>
      <c r="B38" s="51"/>
      <c r="C38" s="35" t="s">
        <v>55</v>
      </c>
      <c r="D38" s="35"/>
      <c r="E38" s="48">
        <v>0</v>
      </c>
      <c r="F38" s="48"/>
      <c r="G38" s="48">
        <v>22000</v>
      </c>
      <c r="H38" s="48"/>
      <c r="I38" s="48">
        <v>2700000</v>
      </c>
      <c r="J38" s="48"/>
      <c r="K38" s="48">
        <v>0</v>
      </c>
      <c r="L38" s="48"/>
      <c r="M38" s="48">
        <v>0</v>
      </c>
      <c r="N38" s="48"/>
      <c r="O38" s="48">
        <v>941467</v>
      </c>
      <c r="P38" s="48"/>
      <c r="Q38" s="48">
        <v>0</v>
      </c>
      <c r="R38" s="48"/>
      <c r="S38" s="48">
        <f t="shared" si="0"/>
        <v>3663467</v>
      </c>
      <c r="T38" s="44"/>
      <c r="U38" s="48">
        <v>2934892</v>
      </c>
      <c r="W38" s="44">
        <f>+S38-'Stmt net assets'!O38-U38</f>
        <v>0</v>
      </c>
    </row>
    <row r="39" spans="1:23" s="65" customFormat="1" ht="12.75" customHeight="1">
      <c r="A39" s="35" t="s">
        <v>56</v>
      </c>
      <c r="B39" s="51"/>
      <c r="C39" s="35" t="s">
        <v>57</v>
      </c>
      <c r="D39" s="35"/>
      <c r="E39" s="48">
        <v>0</v>
      </c>
      <c r="F39" s="48"/>
      <c r="G39" s="48">
        <v>134000</v>
      </c>
      <c r="H39" s="48"/>
      <c r="I39" s="48">
        <v>0</v>
      </c>
      <c r="J39" s="48"/>
      <c r="K39" s="48">
        <v>200000</v>
      </c>
      <c r="L39" s="48"/>
      <c r="M39" s="48">
        <v>56968</v>
      </c>
      <c r="N39" s="48"/>
      <c r="O39" s="48">
        <v>538711</v>
      </c>
      <c r="P39" s="48"/>
      <c r="Q39" s="48">
        <f>143128+163411</f>
        <v>306539</v>
      </c>
      <c r="R39" s="48"/>
      <c r="S39" s="48">
        <f t="shared" si="0"/>
        <v>1236218</v>
      </c>
      <c r="T39" s="44"/>
      <c r="U39" s="48">
        <v>121325</v>
      </c>
      <c r="W39" s="44">
        <f>+S39-'Stmt net assets'!O39-U39</f>
        <v>0</v>
      </c>
    </row>
    <row r="40" spans="1:23" s="65" customFormat="1" ht="12.75" customHeight="1">
      <c r="A40" s="35" t="s">
        <v>58</v>
      </c>
      <c r="B40" s="51"/>
      <c r="C40" s="35" t="s">
        <v>59</v>
      </c>
      <c r="D40" s="35"/>
      <c r="E40" s="48">
        <v>124368</v>
      </c>
      <c r="F40" s="48"/>
      <c r="G40" s="48">
        <v>0</v>
      </c>
      <c r="H40" s="48"/>
      <c r="I40" s="48">
        <v>0</v>
      </c>
      <c r="J40" s="48"/>
      <c r="K40" s="48">
        <v>11173</v>
      </c>
      <c r="L40" s="48"/>
      <c r="M40" s="48">
        <v>459913</v>
      </c>
      <c r="N40" s="48"/>
      <c r="O40" s="48">
        <v>684035</v>
      </c>
      <c r="P40" s="48"/>
      <c r="Q40" s="48">
        <v>511640</v>
      </c>
      <c r="R40" s="48"/>
      <c r="S40" s="48">
        <f t="shared" si="0"/>
        <v>1791129</v>
      </c>
      <c r="T40" s="44"/>
      <c r="U40" s="48">
        <v>146236</v>
      </c>
      <c r="W40" s="44">
        <f>+S40-'Stmt net assets'!O40-U40</f>
        <v>0</v>
      </c>
    </row>
    <row r="41" spans="1:23" s="141" customFormat="1" ht="12.75" hidden="1" customHeight="1">
      <c r="A41" s="137" t="s">
        <v>477</v>
      </c>
      <c r="B41" s="140"/>
      <c r="C41" s="142" t="s">
        <v>15</v>
      </c>
      <c r="D41" s="142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>
        <f>SUM(E41:Q41)</f>
        <v>0</v>
      </c>
      <c r="T41" s="137"/>
      <c r="U41" s="148"/>
      <c r="W41" s="137">
        <f>+S41-'Stmt net assets'!O41-U41</f>
        <v>0</v>
      </c>
    </row>
    <row r="42" spans="1:23" s="141" customFormat="1" ht="12.75" hidden="1" customHeight="1">
      <c r="A42" s="142" t="s">
        <v>60</v>
      </c>
      <c r="B42" s="140"/>
      <c r="C42" s="142" t="s">
        <v>61</v>
      </c>
      <c r="D42" s="142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>
        <f t="shared" si="0"/>
        <v>0</v>
      </c>
      <c r="T42" s="137"/>
      <c r="U42" s="148"/>
      <c r="W42" s="137">
        <f>+S42-'Stmt net assets'!O42-U42</f>
        <v>0</v>
      </c>
    </row>
    <row r="43" spans="1:23" s="65" customFormat="1" ht="12.75" customHeight="1">
      <c r="A43" s="44" t="s">
        <v>62</v>
      </c>
      <c r="B43" s="51"/>
      <c r="C43" s="35" t="s">
        <v>15</v>
      </c>
      <c r="D43" s="35"/>
      <c r="E43" s="48">
        <v>23865120</v>
      </c>
      <c r="F43" s="48"/>
      <c r="G43" s="48">
        <v>0</v>
      </c>
      <c r="H43" s="48"/>
      <c r="I43" s="48">
        <v>0</v>
      </c>
      <c r="J43" s="48"/>
      <c r="K43" s="48">
        <f>529070+645000+903535+149500+1038369</f>
        <v>3265474</v>
      </c>
      <c r="L43" s="48"/>
      <c r="M43" s="48">
        <v>515030</v>
      </c>
      <c r="N43" s="48"/>
      <c r="O43" s="48">
        <v>7287432</v>
      </c>
      <c r="P43" s="48"/>
      <c r="Q43" s="48">
        <v>1096634</v>
      </c>
      <c r="R43" s="48"/>
      <c r="S43" s="48">
        <f t="shared" si="0"/>
        <v>36029690</v>
      </c>
      <c r="T43" s="44"/>
      <c r="U43" s="48">
        <v>4355254</v>
      </c>
      <c r="W43" s="44">
        <f>+S43-'Stmt net assets'!O43-U43</f>
        <v>0</v>
      </c>
    </row>
    <row r="44" spans="1:23" s="141" customFormat="1" ht="12.75" hidden="1" customHeight="1">
      <c r="A44" s="142" t="s">
        <v>486</v>
      </c>
      <c r="B44" s="140"/>
      <c r="C44" s="142" t="s">
        <v>111</v>
      </c>
      <c r="D44" s="142"/>
      <c r="E44" s="148">
        <v>0</v>
      </c>
      <c r="F44" s="148"/>
      <c r="G44" s="148">
        <v>0</v>
      </c>
      <c r="H44" s="148"/>
      <c r="I44" s="148">
        <v>0</v>
      </c>
      <c r="J44" s="148"/>
      <c r="K44" s="148">
        <v>0</v>
      </c>
      <c r="L44" s="148"/>
      <c r="M44" s="148">
        <v>0</v>
      </c>
      <c r="N44" s="148"/>
      <c r="O44" s="148">
        <v>0</v>
      </c>
      <c r="P44" s="148"/>
      <c r="Q44" s="148">
        <v>0</v>
      </c>
      <c r="R44" s="148"/>
      <c r="S44" s="148">
        <f>SUM(E44:Q44)</f>
        <v>0</v>
      </c>
      <c r="T44" s="137"/>
      <c r="U44" s="148">
        <v>0</v>
      </c>
      <c r="W44" s="137">
        <f>+S44-'Stmt net assets'!O44-U44</f>
        <v>0</v>
      </c>
    </row>
    <row r="45" spans="1:23" s="65" customFormat="1" ht="12.75" customHeight="1">
      <c r="A45" s="35" t="s">
        <v>63</v>
      </c>
      <c r="B45" s="51"/>
      <c r="C45" s="35" t="s">
        <v>64</v>
      </c>
      <c r="D45" s="35"/>
      <c r="E45" s="48">
        <v>0</v>
      </c>
      <c r="F45" s="48"/>
      <c r="G45" s="48">
        <v>0</v>
      </c>
      <c r="H45" s="48"/>
      <c r="I45" s="48">
        <v>0</v>
      </c>
      <c r="J45" s="48"/>
      <c r="K45" s="48">
        <v>0</v>
      </c>
      <c r="L45" s="48"/>
      <c r="M45" s="48">
        <v>0</v>
      </c>
      <c r="N45" s="48"/>
      <c r="O45" s="48">
        <v>296181</v>
      </c>
      <c r="P45" s="48"/>
      <c r="Q45" s="48">
        <v>1806377</v>
      </c>
      <c r="R45" s="48"/>
      <c r="S45" s="48">
        <f t="shared" si="0"/>
        <v>2102558</v>
      </c>
      <c r="T45" s="44"/>
      <c r="U45" s="48">
        <v>86528</v>
      </c>
      <c r="W45" s="44">
        <f>+S45-'Stmt net assets'!O45-U45</f>
        <v>0</v>
      </c>
    </row>
    <row r="46" spans="1:23" s="65" customFormat="1" ht="12.75" customHeight="1">
      <c r="A46" s="35" t="s">
        <v>65</v>
      </c>
      <c r="B46" s="51"/>
      <c r="C46" s="35" t="s">
        <v>66</v>
      </c>
      <c r="D46" s="35"/>
      <c r="E46" s="48">
        <v>15404170</v>
      </c>
      <c r="F46" s="48"/>
      <c r="G46" s="48">
        <v>6981000</v>
      </c>
      <c r="H46" s="48"/>
      <c r="I46" s="48">
        <v>0</v>
      </c>
      <c r="J46" s="48"/>
      <c r="K46" s="48">
        <v>0</v>
      </c>
      <c r="L46" s="48"/>
      <c r="M46" s="48">
        <v>2438</v>
      </c>
      <c r="N46" s="48"/>
      <c r="O46" s="48">
        <v>577163</v>
      </c>
      <c r="P46" s="48"/>
      <c r="Q46" s="48">
        <v>0</v>
      </c>
      <c r="R46" s="48"/>
      <c r="S46" s="48">
        <f t="shared" si="0"/>
        <v>22964771</v>
      </c>
      <c r="T46" s="44"/>
      <c r="U46" s="48">
        <v>1241438</v>
      </c>
      <c r="W46" s="44">
        <f>+S46-'Stmt net assets'!O46-U46</f>
        <v>0</v>
      </c>
    </row>
    <row r="47" spans="1:23" s="65" customFormat="1" ht="12.75" customHeight="1">
      <c r="A47" s="64" t="s">
        <v>67</v>
      </c>
      <c r="B47" s="66"/>
      <c r="C47" s="64" t="s">
        <v>375</v>
      </c>
      <c r="D47" s="64"/>
      <c r="E47" s="48">
        <v>1395000</v>
      </c>
      <c r="F47" s="48"/>
      <c r="G47" s="48">
        <v>1188575</v>
      </c>
      <c r="H47" s="48"/>
      <c r="I47" s="48">
        <v>0</v>
      </c>
      <c r="J47" s="48"/>
      <c r="K47" s="48">
        <v>0</v>
      </c>
      <c r="L47" s="48"/>
      <c r="M47" s="48">
        <v>161238</v>
      </c>
      <c r="N47" s="48"/>
      <c r="O47" s="48">
        <v>480636</v>
      </c>
      <c r="P47" s="48"/>
      <c r="Q47" s="48">
        <v>0</v>
      </c>
      <c r="R47" s="48"/>
      <c r="S47" s="48">
        <f t="shared" si="0"/>
        <v>3225449</v>
      </c>
      <c r="T47" s="44"/>
      <c r="U47" s="48">
        <v>415607</v>
      </c>
      <c r="W47" s="44">
        <f>+S47-'Stmt net assets'!O47-U47</f>
        <v>0</v>
      </c>
    </row>
    <row r="48" spans="1:23" s="65" customFormat="1" ht="12.75" customHeight="1">
      <c r="A48" s="64" t="s">
        <v>68</v>
      </c>
      <c r="B48" s="66"/>
      <c r="C48" s="64" t="s">
        <v>45</v>
      </c>
      <c r="D48" s="64"/>
      <c r="E48" s="48">
        <v>0</v>
      </c>
      <c r="F48" s="48"/>
      <c r="G48" s="48">
        <v>0</v>
      </c>
      <c r="H48" s="48"/>
      <c r="I48" s="48">
        <v>166701</v>
      </c>
      <c r="J48" s="48"/>
      <c r="K48" s="48">
        <v>0</v>
      </c>
      <c r="L48" s="48"/>
      <c r="M48" s="48">
        <v>0</v>
      </c>
      <c r="N48" s="48"/>
      <c r="O48" s="48">
        <v>117647</v>
      </c>
      <c r="P48" s="48"/>
      <c r="Q48" s="48">
        <v>0</v>
      </c>
      <c r="R48" s="48"/>
      <c r="S48" s="48">
        <f t="shared" si="0"/>
        <v>284348</v>
      </c>
      <c r="T48" s="44"/>
      <c r="U48" s="48">
        <v>39403</v>
      </c>
      <c r="W48" s="44">
        <f>+S48-'Stmt net assets'!O48-U48</f>
        <v>0</v>
      </c>
    </row>
    <row r="49" spans="1:23" s="65" customFormat="1" ht="12.75" customHeight="1">
      <c r="A49" s="35" t="s">
        <v>69</v>
      </c>
      <c r="B49" s="51"/>
      <c r="C49" s="35" t="s">
        <v>70</v>
      </c>
      <c r="D49" s="35"/>
      <c r="E49" s="48">
        <f>955000+8322+450000</f>
        <v>1413322</v>
      </c>
      <c r="F49" s="48"/>
      <c r="G49" s="48">
        <v>0</v>
      </c>
      <c r="H49" s="48"/>
      <c r="I49" s="48">
        <v>0</v>
      </c>
      <c r="J49" s="48"/>
      <c r="K49" s="48">
        <v>88287</v>
      </c>
      <c r="L49" s="48"/>
      <c r="M49" s="48">
        <v>141498</v>
      </c>
      <c r="N49" s="48"/>
      <c r="O49" s="48">
        <v>2342084</v>
      </c>
      <c r="P49" s="48"/>
      <c r="Q49" s="48">
        <v>614280</v>
      </c>
      <c r="R49" s="48"/>
      <c r="S49" s="48">
        <f t="shared" si="0"/>
        <v>4599471</v>
      </c>
      <c r="T49" s="44"/>
      <c r="U49" s="48">
        <v>1269250</v>
      </c>
      <c r="W49" s="44">
        <f>+S49-'Stmt net assets'!O49-U49</f>
        <v>0</v>
      </c>
    </row>
    <row r="50" spans="1:23" s="65" customFormat="1" ht="12.75" customHeight="1">
      <c r="A50" s="35" t="s">
        <v>71</v>
      </c>
      <c r="B50" s="51"/>
      <c r="C50" s="35" t="s">
        <v>45</v>
      </c>
      <c r="D50" s="35"/>
      <c r="E50" s="48">
        <v>352955000</v>
      </c>
      <c r="F50" s="48"/>
      <c r="G50" s="48">
        <v>38115000</v>
      </c>
      <c r="H50" s="48"/>
      <c r="I50" s="48">
        <v>0</v>
      </c>
      <c r="J50" s="48"/>
      <c r="K50" s="48">
        <v>3374000</v>
      </c>
      <c r="L50" s="48"/>
      <c r="M50" s="48">
        <v>471000</v>
      </c>
      <c r="N50" s="48"/>
      <c r="O50" s="48">
        <v>86652000</v>
      </c>
      <c r="P50" s="48"/>
      <c r="Q50" s="48">
        <f>34677000+14819000+6285000+1741000</f>
        <v>57522000</v>
      </c>
      <c r="R50" s="48"/>
      <c r="S50" s="48">
        <f t="shared" si="0"/>
        <v>539089000</v>
      </c>
      <c r="T50" s="44"/>
      <c r="U50" s="48">
        <v>78868000</v>
      </c>
      <c r="W50" s="44">
        <f>+S50-'Stmt net assets'!O50-U50</f>
        <v>0</v>
      </c>
    </row>
    <row r="51" spans="1:23" s="65" customFormat="1" ht="12.75" customHeight="1">
      <c r="A51" s="44" t="s">
        <v>464</v>
      </c>
      <c r="B51" s="51"/>
      <c r="C51" s="44" t="s">
        <v>465</v>
      </c>
      <c r="D51" s="44"/>
      <c r="E51" s="48">
        <v>4100000</v>
      </c>
      <c r="F51" s="48"/>
      <c r="G51" s="48">
        <v>0</v>
      </c>
      <c r="H51" s="48"/>
      <c r="I51" s="48">
        <v>0</v>
      </c>
      <c r="J51" s="48"/>
      <c r="K51" s="48">
        <v>0</v>
      </c>
      <c r="L51" s="48"/>
      <c r="M51" s="48">
        <v>249985</v>
      </c>
      <c r="N51" s="48"/>
      <c r="O51" s="48">
        <v>366371</v>
      </c>
      <c r="P51" s="48"/>
      <c r="Q51" s="48">
        <v>0</v>
      </c>
      <c r="R51" s="48"/>
      <c r="S51" s="48">
        <f t="shared" si="0"/>
        <v>4716356</v>
      </c>
      <c r="T51" s="44"/>
      <c r="U51" s="48">
        <v>543797</v>
      </c>
      <c r="W51" s="44">
        <f>+S51-'Stmt net assets'!O51-U51</f>
        <v>0</v>
      </c>
    </row>
    <row r="52" spans="1:23" s="65" customFormat="1" ht="12.75" customHeight="1">
      <c r="A52" s="35" t="s">
        <v>72</v>
      </c>
      <c r="B52" s="51"/>
      <c r="C52" s="35" t="s">
        <v>66</v>
      </c>
      <c r="D52" s="35"/>
      <c r="E52" s="48">
        <f>805000+3270000+190000+28496</f>
        <v>4293496</v>
      </c>
      <c r="F52" s="48"/>
      <c r="G52" s="48">
        <v>0</v>
      </c>
      <c r="H52" s="48"/>
      <c r="I52" s="48">
        <v>0</v>
      </c>
      <c r="J52" s="48"/>
      <c r="K52" s="48">
        <v>66130</v>
      </c>
      <c r="L52" s="48"/>
      <c r="M52" s="48">
        <v>880285</v>
      </c>
      <c r="N52" s="48"/>
      <c r="O52" s="48">
        <v>177529</v>
      </c>
      <c r="P52" s="48"/>
      <c r="Q52" s="48">
        <v>87893</v>
      </c>
      <c r="R52" s="48"/>
      <c r="S52" s="48">
        <f t="shared" si="0"/>
        <v>5505333</v>
      </c>
      <c r="T52" s="44"/>
      <c r="U52" s="48">
        <v>501858</v>
      </c>
      <c r="W52" s="44">
        <f>+S52-'Stmt net assets'!O52-U52</f>
        <v>0</v>
      </c>
    </row>
    <row r="53" spans="1:23" s="65" customFormat="1" ht="12.75" customHeight="1">
      <c r="A53" s="35" t="s">
        <v>73</v>
      </c>
      <c r="C53" s="35" t="s">
        <v>27</v>
      </c>
      <c r="D53" s="35"/>
      <c r="E53" s="48">
        <v>336990000</v>
      </c>
      <c r="F53" s="48"/>
      <c r="G53" s="48">
        <f>6760000+58900000</f>
        <v>65660000</v>
      </c>
      <c r="H53" s="48"/>
      <c r="I53" s="48">
        <v>2250000</v>
      </c>
      <c r="J53" s="48"/>
      <c r="K53" s="48">
        <v>0</v>
      </c>
      <c r="L53" s="48"/>
      <c r="M53" s="48">
        <v>11786000</v>
      </c>
      <c r="N53" s="48"/>
      <c r="O53" s="48">
        <f>7859000+2250000+59978000+61191000</f>
        <v>131278000</v>
      </c>
      <c r="P53" s="48"/>
      <c r="Q53" s="48">
        <f>14835000+44265000+8991000+140714000+16086000-10577000</f>
        <v>214314000</v>
      </c>
      <c r="R53" s="48"/>
      <c r="S53" s="48">
        <f t="shared" si="0"/>
        <v>762278000</v>
      </c>
      <c r="T53" s="44"/>
      <c r="U53" s="48">
        <v>79723000</v>
      </c>
      <c r="W53" s="44">
        <f>+S53-'Stmt net assets'!O53-U53</f>
        <v>0</v>
      </c>
    </row>
    <row r="54" spans="1:23" s="65" customFormat="1" ht="12.75" customHeight="1">
      <c r="A54" s="35" t="s">
        <v>74</v>
      </c>
      <c r="B54" s="51"/>
      <c r="C54" s="35" t="s">
        <v>27</v>
      </c>
      <c r="D54" s="35"/>
      <c r="E54" s="48">
        <v>17795000</v>
      </c>
      <c r="F54" s="48"/>
      <c r="G54" s="48">
        <v>0</v>
      </c>
      <c r="H54" s="48"/>
      <c r="I54" s="48">
        <v>0</v>
      </c>
      <c r="J54" s="48"/>
      <c r="K54" s="48">
        <v>1405583</v>
      </c>
      <c r="L54" s="48"/>
      <c r="M54" s="48">
        <v>53000</v>
      </c>
      <c r="N54" s="48"/>
      <c r="O54" s="48">
        <v>6789536</v>
      </c>
      <c r="P54" s="48"/>
      <c r="Q54" s="48">
        <v>890000</v>
      </c>
      <c r="R54" s="48"/>
      <c r="S54" s="48">
        <f t="shared" si="0"/>
        <v>26933119</v>
      </c>
      <c r="T54" s="44"/>
      <c r="U54" s="48">
        <v>4889310</v>
      </c>
      <c r="W54" s="44">
        <f>+S54-'Stmt net assets'!O54-U54</f>
        <v>0</v>
      </c>
    </row>
    <row r="55" spans="1:23" s="66" customFormat="1" ht="12.75" customHeight="1">
      <c r="A55" s="35" t="s">
        <v>75</v>
      </c>
      <c r="B55" s="51"/>
      <c r="C55" s="35" t="s">
        <v>76</v>
      </c>
      <c r="D55" s="35"/>
      <c r="E55" s="48">
        <v>3275000</v>
      </c>
      <c r="F55" s="48"/>
      <c r="G55" s="48">
        <v>0</v>
      </c>
      <c r="H55" s="48"/>
      <c r="I55" s="48">
        <v>0</v>
      </c>
      <c r="J55" s="48"/>
      <c r="K55" s="48">
        <f>231538+362564</f>
        <v>594102</v>
      </c>
      <c r="L55" s="48"/>
      <c r="M55" s="48">
        <v>15868</v>
      </c>
      <c r="N55" s="48"/>
      <c r="O55" s="48">
        <v>114122</v>
      </c>
      <c r="P55" s="48"/>
      <c r="Q55" s="48">
        <v>74877</v>
      </c>
      <c r="R55" s="48"/>
      <c r="S55" s="48">
        <f t="shared" si="0"/>
        <v>4073969</v>
      </c>
      <c r="T55" s="44"/>
      <c r="U55" s="48">
        <v>441884</v>
      </c>
      <c r="V55" s="65"/>
      <c r="W55" s="44">
        <f>+S55-'Stmt net assets'!O55-U55</f>
        <v>0</v>
      </c>
    </row>
    <row r="56" spans="1:23" s="65" customFormat="1" ht="12.75" customHeight="1">
      <c r="A56" s="35" t="s">
        <v>77</v>
      </c>
      <c r="B56" s="51"/>
      <c r="C56" s="35" t="s">
        <v>43</v>
      </c>
      <c r="D56" s="35"/>
      <c r="E56" s="48">
        <f>5450000+874526000+14225000+2000000+18083000+26753000</f>
        <v>941037000</v>
      </c>
      <c r="F56" s="48"/>
      <c r="G56" s="48">
        <f>62725000+2400000</f>
        <v>65125000</v>
      </c>
      <c r="H56" s="48"/>
      <c r="I56" s="48">
        <f>9913000+10000</f>
        <v>9923000</v>
      </c>
      <c r="J56" s="48"/>
      <c r="K56" s="48">
        <v>0</v>
      </c>
      <c r="L56" s="48"/>
      <c r="M56" s="48">
        <v>0</v>
      </c>
      <c r="N56" s="48"/>
      <c r="O56" s="48">
        <v>0</v>
      </c>
      <c r="P56" s="48"/>
      <c r="Q56" s="48">
        <v>65131000</v>
      </c>
      <c r="R56" s="48"/>
      <c r="S56" s="48">
        <f t="shared" si="0"/>
        <v>1081216000</v>
      </c>
      <c r="T56" s="44"/>
      <c r="U56" s="48">
        <v>93391000</v>
      </c>
      <c r="W56" s="44">
        <f>+S56-'Stmt net assets'!O56-U56</f>
        <v>0</v>
      </c>
    </row>
    <row r="57" spans="1:23" s="65" customFormat="1" ht="12.75" customHeight="1">
      <c r="A57" s="35" t="s">
        <v>94</v>
      </c>
      <c r="B57" s="51"/>
      <c r="C57" s="35" t="s">
        <v>94</v>
      </c>
      <c r="D57" s="35"/>
      <c r="E57" s="48">
        <v>0</v>
      </c>
      <c r="F57" s="48"/>
      <c r="G57" s="48">
        <v>0</v>
      </c>
      <c r="H57" s="48"/>
      <c r="I57" s="48">
        <v>0</v>
      </c>
      <c r="J57" s="48"/>
      <c r="K57" s="48">
        <v>0</v>
      </c>
      <c r="L57" s="48"/>
      <c r="M57" s="48">
        <v>0</v>
      </c>
      <c r="N57" s="48"/>
      <c r="O57" s="48">
        <v>67115</v>
      </c>
      <c r="P57" s="48"/>
      <c r="Q57" s="48">
        <v>0</v>
      </c>
      <c r="R57" s="48"/>
      <c r="S57" s="48">
        <f>SUM(E57:Q57)</f>
        <v>67115</v>
      </c>
      <c r="T57" s="44"/>
      <c r="U57" s="48">
        <v>38296</v>
      </c>
      <c r="W57" s="44">
        <f>+S57-'Stmt net assets'!O57-U57</f>
        <v>0</v>
      </c>
    </row>
    <row r="58" spans="1:23" s="65" customFormat="1" ht="12.75" customHeight="1">
      <c r="A58" s="35" t="s">
        <v>78</v>
      </c>
      <c r="B58" s="51"/>
      <c r="C58" s="35" t="s">
        <v>19</v>
      </c>
      <c r="D58" s="35"/>
      <c r="E58" s="48">
        <v>1555000</v>
      </c>
      <c r="F58" s="48"/>
      <c r="G58" s="48">
        <v>0</v>
      </c>
      <c r="H58" s="48"/>
      <c r="I58" s="48">
        <v>317500</v>
      </c>
      <c r="J58" s="48"/>
      <c r="K58" s="48">
        <f>1226509+27673</f>
        <v>1254182</v>
      </c>
      <c r="L58" s="48"/>
      <c r="M58" s="48">
        <v>261030</v>
      </c>
      <c r="N58" s="48"/>
      <c r="O58" s="48">
        <v>714022</v>
      </c>
      <c r="P58" s="48"/>
      <c r="Q58" s="48">
        <v>0</v>
      </c>
      <c r="R58" s="48"/>
      <c r="S58" s="48">
        <f t="shared" si="0"/>
        <v>4101734</v>
      </c>
      <c r="T58" s="44"/>
      <c r="U58" s="48">
        <v>676557</v>
      </c>
      <c r="W58" s="44">
        <f>+S58-'Stmt net assets'!O58-U58</f>
        <v>0</v>
      </c>
    </row>
    <row r="59" spans="1:23" s="65" customFormat="1" ht="12.75" customHeight="1">
      <c r="A59" s="35" t="s">
        <v>79</v>
      </c>
      <c r="C59" s="35" t="s">
        <v>80</v>
      </c>
      <c r="D59" s="35"/>
      <c r="E59" s="48">
        <v>0</v>
      </c>
      <c r="F59" s="48"/>
      <c r="G59" s="48">
        <v>0</v>
      </c>
      <c r="H59" s="48"/>
      <c r="I59" s="48">
        <v>0</v>
      </c>
      <c r="J59" s="48"/>
      <c r="K59" s="48">
        <v>0</v>
      </c>
      <c r="L59" s="48"/>
      <c r="M59" s="48">
        <v>0</v>
      </c>
      <c r="N59" s="48"/>
      <c r="O59" s="48">
        <v>232421</v>
      </c>
      <c r="P59" s="48"/>
      <c r="Q59" s="48">
        <v>0</v>
      </c>
      <c r="R59" s="48"/>
      <c r="S59" s="48">
        <f t="shared" si="0"/>
        <v>232421</v>
      </c>
      <c r="T59" s="44"/>
      <c r="U59" s="48">
        <v>29381</v>
      </c>
      <c r="W59" s="44">
        <f>+S59-'Stmt net assets'!O59-U59</f>
        <v>0</v>
      </c>
    </row>
    <row r="60" spans="1:23" s="66" customFormat="1" ht="12.75" customHeight="1">
      <c r="A60" s="35" t="s">
        <v>81</v>
      </c>
      <c r="B60" s="51"/>
      <c r="C60" s="35" t="s">
        <v>81</v>
      </c>
      <c r="D60" s="35"/>
      <c r="E60" s="48">
        <v>315000</v>
      </c>
      <c r="F60" s="48"/>
      <c r="G60" s="48">
        <v>0</v>
      </c>
      <c r="H60" s="48"/>
      <c r="I60" s="48">
        <v>0</v>
      </c>
      <c r="J60" s="48"/>
      <c r="K60" s="48">
        <v>0</v>
      </c>
      <c r="L60" s="48"/>
      <c r="M60" s="48">
        <v>236143</v>
      </c>
      <c r="N60" s="48"/>
      <c r="O60" s="48">
        <v>710826</v>
      </c>
      <c r="P60" s="48"/>
      <c r="Q60" s="48">
        <v>0</v>
      </c>
      <c r="R60" s="48"/>
      <c r="S60" s="48">
        <f t="shared" si="0"/>
        <v>1261969</v>
      </c>
      <c r="T60" s="44"/>
      <c r="U60" s="48">
        <v>339795</v>
      </c>
      <c r="V60" s="65"/>
      <c r="W60" s="44">
        <f>+S60-'Stmt net assets'!O60-U60</f>
        <v>0</v>
      </c>
    </row>
    <row r="61" spans="1:23" s="65" customFormat="1" ht="12.75" customHeight="1">
      <c r="A61" s="47" t="s">
        <v>466</v>
      </c>
      <c r="B61" s="47"/>
      <c r="C61" s="47" t="s">
        <v>57</v>
      </c>
      <c r="D61" s="35"/>
      <c r="E61" s="48">
        <v>130000</v>
      </c>
      <c r="F61" s="48"/>
      <c r="G61" s="48">
        <v>0</v>
      </c>
      <c r="H61" s="48"/>
      <c r="I61" s="48">
        <v>0</v>
      </c>
      <c r="J61" s="48"/>
      <c r="K61" s="48">
        <v>0</v>
      </c>
      <c r="L61" s="48"/>
      <c r="M61" s="48">
        <v>0</v>
      </c>
      <c r="N61" s="48"/>
      <c r="O61" s="48">
        <v>118303</v>
      </c>
      <c r="P61" s="48"/>
      <c r="Q61" s="48">
        <v>108115</v>
      </c>
      <c r="R61" s="48"/>
      <c r="S61" s="48">
        <f t="shared" si="0"/>
        <v>356418</v>
      </c>
      <c r="T61" s="44"/>
      <c r="U61" s="48">
        <v>88512</v>
      </c>
      <c r="W61" s="44">
        <f>+S61-'Stmt net assets'!O61-U61</f>
        <v>0</v>
      </c>
    </row>
    <row r="62" spans="1:23" s="65" customFormat="1" ht="12.75" customHeight="1">
      <c r="A62" s="35" t="s">
        <v>82</v>
      </c>
      <c r="B62" s="51"/>
      <c r="C62" s="35" t="s">
        <v>13</v>
      </c>
      <c r="D62" s="35"/>
      <c r="E62" s="48">
        <v>8112418</v>
      </c>
      <c r="F62" s="48"/>
      <c r="G62" s="48">
        <v>0</v>
      </c>
      <c r="H62" s="48"/>
      <c r="I62" s="48">
        <v>0</v>
      </c>
      <c r="J62" s="48"/>
      <c r="K62" s="48">
        <v>0</v>
      </c>
      <c r="L62" s="48"/>
      <c r="M62" s="48">
        <v>2936495</v>
      </c>
      <c r="N62" s="48"/>
      <c r="O62" s="48">
        <v>7068273</v>
      </c>
      <c r="P62" s="48"/>
      <c r="Q62" s="48">
        <v>1246395</v>
      </c>
      <c r="R62" s="48"/>
      <c r="S62" s="48">
        <f t="shared" si="0"/>
        <v>19363581</v>
      </c>
      <c r="T62" s="44"/>
      <c r="U62" s="48">
        <v>5198694</v>
      </c>
      <c r="W62" s="44">
        <f>+S62-'Stmt net assets'!O62-U62</f>
        <v>0</v>
      </c>
    </row>
    <row r="63" spans="1:23" s="65" customFormat="1" ht="12.75" customHeight="1">
      <c r="A63" s="35" t="s">
        <v>83</v>
      </c>
      <c r="B63" s="51"/>
      <c r="C63" s="35" t="s">
        <v>66</v>
      </c>
      <c r="D63" s="35"/>
      <c r="E63" s="48">
        <f>54900224+9015000</f>
        <v>63915224</v>
      </c>
      <c r="F63" s="48"/>
      <c r="G63" s="48">
        <v>555600</v>
      </c>
      <c r="H63" s="48"/>
      <c r="I63" s="48">
        <v>0</v>
      </c>
      <c r="J63" s="48"/>
      <c r="K63" s="48">
        <v>0</v>
      </c>
      <c r="L63" s="48"/>
      <c r="M63" s="48">
        <v>0</v>
      </c>
      <c r="N63" s="48"/>
      <c r="O63" s="48">
        <v>11883251</v>
      </c>
      <c r="P63" s="48"/>
      <c r="Q63" s="48">
        <f>49177+9696742+1995000+676003-343490</f>
        <v>12073432</v>
      </c>
      <c r="R63" s="48"/>
      <c r="S63" s="48">
        <f t="shared" si="0"/>
        <v>88427507</v>
      </c>
      <c r="T63" s="44"/>
      <c r="U63" s="48">
        <f>10798259</f>
        <v>10798259</v>
      </c>
      <c r="W63" s="44">
        <f>+S63-'Stmt net assets'!O63-U63</f>
        <v>0</v>
      </c>
    </row>
    <row r="64" spans="1:23" s="141" customFormat="1" ht="12.75" hidden="1" customHeight="1">
      <c r="A64" s="142" t="s">
        <v>84</v>
      </c>
      <c r="B64" s="140"/>
      <c r="C64" s="142" t="s">
        <v>45</v>
      </c>
      <c r="D64" s="142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>
        <f t="shared" si="0"/>
        <v>0</v>
      </c>
      <c r="T64" s="137"/>
      <c r="U64" s="148"/>
      <c r="W64" s="137">
        <f>+S64-'Stmt net assets'!O64-U64</f>
        <v>0</v>
      </c>
    </row>
    <row r="65" spans="1:24" s="65" customFormat="1" ht="12.75" customHeight="1">
      <c r="A65" s="35" t="s">
        <v>85</v>
      </c>
      <c r="B65" s="51"/>
      <c r="C65" s="35" t="s">
        <v>85</v>
      </c>
      <c r="D65" s="35"/>
      <c r="E65" s="48">
        <v>160000</v>
      </c>
      <c r="F65" s="48"/>
      <c r="G65" s="48">
        <v>317284</v>
      </c>
      <c r="H65" s="48"/>
      <c r="I65" s="48">
        <v>0</v>
      </c>
      <c r="J65" s="48"/>
      <c r="K65" s="48">
        <v>0</v>
      </c>
      <c r="L65" s="48"/>
      <c r="M65" s="48">
        <v>16090</v>
      </c>
      <c r="N65" s="48"/>
      <c r="O65" s="48">
        <v>661328</v>
      </c>
      <c r="P65" s="48"/>
      <c r="Q65" s="48">
        <v>0</v>
      </c>
      <c r="R65" s="48"/>
      <c r="S65" s="48">
        <f t="shared" si="0"/>
        <v>1154702</v>
      </c>
      <c r="T65" s="44"/>
      <c r="U65" s="48">
        <v>388686</v>
      </c>
      <c r="W65" s="44">
        <f>+S65-'Stmt net assets'!O65-U65</f>
        <v>0</v>
      </c>
    </row>
    <row r="66" spans="1:24" s="65" customFormat="1" ht="12.75" customHeight="1">
      <c r="A66" s="35" t="s">
        <v>86</v>
      </c>
      <c r="B66" s="51"/>
      <c r="C66" s="35" t="s">
        <v>86</v>
      </c>
      <c r="D66" s="35"/>
      <c r="E66" s="48">
        <f>3477834+4615000</f>
        <v>8092834</v>
      </c>
      <c r="F66" s="48"/>
      <c r="G66" s="48">
        <f>66000+33000</f>
        <v>99000</v>
      </c>
      <c r="H66" s="48"/>
      <c r="I66" s="48">
        <v>0</v>
      </c>
      <c r="J66" s="48"/>
      <c r="K66" s="48">
        <v>0</v>
      </c>
      <c r="L66" s="48"/>
      <c r="M66" s="48">
        <v>59791</v>
      </c>
      <c r="N66" s="48"/>
      <c r="O66" s="48">
        <v>4464113</v>
      </c>
      <c r="P66" s="48"/>
      <c r="Q66" s="48">
        <v>308479</v>
      </c>
      <c r="R66" s="48"/>
      <c r="S66" s="48">
        <f t="shared" si="0"/>
        <v>13024217</v>
      </c>
      <c r="T66" s="44"/>
      <c r="U66" s="48">
        <v>1284241</v>
      </c>
      <c r="W66" s="44">
        <f>+S66-'Stmt net assets'!O66-U66</f>
        <v>0</v>
      </c>
    </row>
    <row r="67" spans="1:24" s="65" customFormat="1" ht="12.75" customHeight="1">
      <c r="A67" s="64" t="s">
        <v>87</v>
      </c>
      <c r="B67" s="66"/>
      <c r="C67" s="64" t="s">
        <v>88</v>
      </c>
      <c r="D67" s="64"/>
      <c r="E67" s="48">
        <v>0</v>
      </c>
      <c r="F67" s="48"/>
      <c r="G67" s="48">
        <v>0</v>
      </c>
      <c r="H67" s="48"/>
      <c r="I67" s="48">
        <v>0</v>
      </c>
      <c r="J67" s="48"/>
      <c r="K67" s="48">
        <v>0</v>
      </c>
      <c r="L67" s="48"/>
      <c r="M67" s="48">
        <v>0</v>
      </c>
      <c r="N67" s="48"/>
      <c r="O67" s="48">
        <v>289594</v>
      </c>
      <c r="P67" s="48"/>
      <c r="Q67" s="48">
        <v>0</v>
      </c>
      <c r="R67" s="48"/>
      <c r="S67" s="48">
        <f t="shared" si="0"/>
        <v>289594</v>
      </c>
      <c r="T67" s="44"/>
      <c r="U67" s="48">
        <v>122763</v>
      </c>
      <c r="W67" s="44">
        <f>+S67-'Stmt net assets'!O67-U67</f>
        <v>0</v>
      </c>
    </row>
    <row r="68" spans="1:24" s="65" customFormat="1" ht="12.75" customHeight="1">
      <c r="A68" s="35" t="s">
        <v>395</v>
      </c>
      <c r="B68" s="51"/>
      <c r="C68" s="35" t="s">
        <v>89</v>
      </c>
      <c r="D68" s="35"/>
      <c r="E68" s="48">
        <v>0</v>
      </c>
      <c r="F68" s="48"/>
      <c r="G68" s="48">
        <v>0</v>
      </c>
      <c r="H68" s="48"/>
      <c r="I68" s="48">
        <v>0</v>
      </c>
      <c r="J68" s="48"/>
      <c r="K68" s="48">
        <v>0</v>
      </c>
      <c r="L68" s="48"/>
      <c r="M68" s="48">
        <v>0</v>
      </c>
      <c r="N68" s="48"/>
      <c r="O68" s="48">
        <v>1021618</v>
      </c>
      <c r="P68" s="48"/>
      <c r="Q68" s="48">
        <f>2370000+291066</f>
        <v>2661066</v>
      </c>
      <c r="R68" s="48"/>
      <c r="S68" s="48">
        <f t="shared" si="0"/>
        <v>3682684</v>
      </c>
      <c r="T68" s="44"/>
      <c r="U68" s="48">
        <v>438931</v>
      </c>
      <c r="W68" s="44">
        <f>+S68-'Stmt net assets'!O68-U68</f>
        <v>0</v>
      </c>
    </row>
    <row r="69" spans="1:24" s="107" customFormat="1" ht="12.75" customHeight="1">
      <c r="A69" s="35" t="s">
        <v>90</v>
      </c>
      <c r="B69" s="96"/>
      <c r="C69" s="35" t="s">
        <v>43</v>
      </c>
      <c r="D69" s="35"/>
      <c r="E69" s="48">
        <f>3284128+120000</f>
        <v>3404128</v>
      </c>
      <c r="F69" s="48"/>
      <c r="G69" s="48">
        <v>42425000</v>
      </c>
      <c r="H69" s="48"/>
      <c r="I69" s="48">
        <v>0</v>
      </c>
      <c r="J69" s="48"/>
      <c r="K69" s="48">
        <v>9757969</v>
      </c>
      <c r="L69" s="48"/>
      <c r="M69" s="48">
        <v>0</v>
      </c>
      <c r="N69" s="48"/>
      <c r="O69" s="48">
        <v>2083228</v>
      </c>
      <c r="P69" s="48"/>
      <c r="Q69" s="48">
        <v>82448</v>
      </c>
      <c r="R69" s="48"/>
      <c r="S69" s="48">
        <f t="shared" si="0"/>
        <v>57752773</v>
      </c>
      <c r="T69" s="44"/>
      <c r="U69" s="48">
        <v>7399668</v>
      </c>
      <c r="W69" s="44">
        <f>+S69-'Stmt net assets'!O69-U69</f>
        <v>0</v>
      </c>
    </row>
    <row r="70" spans="1:24" s="65" customFormat="1" ht="12.75" customHeight="1">
      <c r="A70" s="35" t="s">
        <v>93</v>
      </c>
      <c r="B70" s="51"/>
      <c r="C70" s="35" t="s">
        <v>94</v>
      </c>
      <c r="D70" s="35"/>
      <c r="E70" s="48">
        <v>0</v>
      </c>
      <c r="F70" s="48"/>
      <c r="G70" s="48">
        <v>0</v>
      </c>
      <c r="H70" s="48"/>
      <c r="I70" s="48">
        <v>0</v>
      </c>
      <c r="J70" s="48"/>
      <c r="K70" s="48">
        <v>1876712</v>
      </c>
      <c r="L70" s="48"/>
      <c r="M70" s="48">
        <v>98000</v>
      </c>
      <c r="N70" s="48"/>
      <c r="O70" s="48">
        <v>517229</v>
      </c>
      <c r="P70" s="48"/>
      <c r="Q70" s="48">
        <v>882731</v>
      </c>
      <c r="R70" s="48"/>
      <c r="S70" s="48">
        <f t="shared" si="0"/>
        <v>3374672</v>
      </c>
      <c r="T70" s="44"/>
      <c r="U70" s="48">
        <v>317678</v>
      </c>
      <c r="W70" s="44">
        <f>+S70-'Stmt net assets'!O70-U70</f>
        <v>0</v>
      </c>
    </row>
    <row r="71" spans="1:24" s="65" customFormat="1" ht="12.75" customHeight="1">
      <c r="A71" s="35" t="s">
        <v>492</v>
      </c>
      <c r="B71" s="51"/>
      <c r="C71" s="35" t="s">
        <v>27</v>
      </c>
      <c r="D71" s="35"/>
      <c r="E71" s="48">
        <v>0</v>
      </c>
      <c r="F71" s="48"/>
      <c r="G71" s="48">
        <v>0</v>
      </c>
      <c r="H71" s="48"/>
      <c r="I71" s="48">
        <v>0</v>
      </c>
      <c r="J71" s="48"/>
      <c r="K71" s="48">
        <v>4175807</v>
      </c>
      <c r="L71" s="48"/>
      <c r="M71" s="48">
        <v>68546</v>
      </c>
      <c r="N71" s="48"/>
      <c r="O71" s="48">
        <v>1864338</v>
      </c>
      <c r="P71" s="48"/>
      <c r="Q71" s="48">
        <v>1118061</v>
      </c>
      <c r="R71" s="48"/>
      <c r="S71" s="48">
        <f>SUM(E71:Q71)</f>
        <v>7226752</v>
      </c>
      <c r="T71" s="44"/>
      <c r="U71" s="48">
        <v>348574</v>
      </c>
      <c r="W71" s="44">
        <f>+S71-'Stmt net assets'!O71-U71</f>
        <v>0</v>
      </c>
      <c r="X71" s="107"/>
    </row>
    <row r="72" spans="1:24" s="65" customFormat="1" ht="12.75" customHeight="1">
      <c r="A72" s="35"/>
      <c r="B72" s="51"/>
      <c r="C72" s="35"/>
      <c r="D72" s="35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4"/>
      <c r="U72" s="48" t="s">
        <v>485</v>
      </c>
      <c r="W72" s="44"/>
      <c r="X72" s="107"/>
    </row>
    <row r="73" spans="1:24" s="65" customFormat="1" ht="12.75" customHeight="1">
      <c r="A73" s="35" t="s">
        <v>95</v>
      </c>
      <c r="B73" s="51"/>
      <c r="C73" s="35" t="s">
        <v>94</v>
      </c>
      <c r="D73" s="35"/>
      <c r="E73" s="68">
        <v>0</v>
      </c>
      <c r="F73" s="68"/>
      <c r="G73" s="68">
        <v>0</v>
      </c>
      <c r="H73" s="68"/>
      <c r="I73" s="68">
        <v>0</v>
      </c>
      <c r="J73" s="68"/>
      <c r="K73" s="68">
        <f>26826+265000+692739</f>
        <v>984565</v>
      </c>
      <c r="L73" s="68"/>
      <c r="M73" s="68">
        <v>255640</v>
      </c>
      <c r="N73" s="68"/>
      <c r="O73" s="68">
        <v>163297</v>
      </c>
      <c r="P73" s="68"/>
      <c r="Q73" s="68">
        <v>0</v>
      </c>
      <c r="R73" s="68"/>
      <c r="S73" s="68">
        <f t="shared" ref="S73:S79" si="1">SUM(E73:Q73)</f>
        <v>1403502</v>
      </c>
      <c r="T73" s="46"/>
      <c r="U73" s="68">
        <v>484073</v>
      </c>
      <c r="W73" s="44">
        <f>+S73-'Stmt net assets'!O73-U73</f>
        <v>0</v>
      </c>
    </row>
    <row r="74" spans="1:24" s="65" customFormat="1" ht="12.75" customHeight="1">
      <c r="A74" s="35" t="s">
        <v>91</v>
      </c>
      <c r="B74" s="51"/>
      <c r="C74" s="35" t="s">
        <v>92</v>
      </c>
      <c r="D74" s="35"/>
      <c r="E74" s="48">
        <v>27660000</v>
      </c>
      <c r="F74" s="48"/>
      <c r="G74" s="48">
        <v>0</v>
      </c>
      <c r="H74" s="48"/>
      <c r="I74" s="48">
        <v>0</v>
      </c>
      <c r="J74" s="48"/>
      <c r="K74" s="48">
        <v>320752</v>
      </c>
      <c r="L74" s="48"/>
      <c r="M74" s="48">
        <v>18631</v>
      </c>
      <c r="N74" s="48"/>
      <c r="O74" s="48">
        <v>2176073</v>
      </c>
      <c r="P74" s="48"/>
      <c r="Q74" s="48">
        <v>0</v>
      </c>
      <c r="R74" s="48"/>
      <c r="S74" s="48">
        <f t="shared" si="1"/>
        <v>30175456</v>
      </c>
      <c r="T74" s="44"/>
      <c r="U74" s="48">
        <v>1205239</v>
      </c>
      <c r="W74" s="44">
        <f>+S74-'Stmt net assets'!O74-U74</f>
        <v>0</v>
      </c>
    </row>
    <row r="75" spans="1:24" s="65" customFormat="1" ht="12.75" customHeight="1">
      <c r="A75" s="35" t="s">
        <v>96</v>
      </c>
      <c r="B75" s="51"/>
      <c r="C75" s="35" t="s">
        <v>97</v>
      </c>
      <c r="D75" s="35"/>
      <c r="E75" s="48">
        <v>0</v>
      </c>
      <c r="F75" s="48"/>
      <c r="G75" s="48">
        <v>1057461</v>
      </c>
      <c r="H75" s="48"/>
      <c r="I75" s="48">
        <v>0</v>
      </c>
      <c r="J75" s="48"/>
      <c r="K75" s="48">
        <v>468750</v>
      </c>
      <c r="L75" s="48"/>
      <c r="M75" s="48">
        <v>0</v>
      </c>
      <c r="N75" s="48"/>
      <c r="O75" s="48">
        <v>502453</v>
      </c>
      <c r="P75" s="48"/>
      <c r="Q75" s="48">
        <v>458343</v>
      </c>
      <c r="R75" s="48"/>
      <c r="S75" s="48">
        <f t="shared" si="1"/>
        <v>2487007</v>
      </c>
      <c r="T75" s="44"/>
      <c r="U75" s="48">
        <v>231622</v>
      </c>
      <c r="W75" s="44">
        <f>+S75-'Stmt net assets'!O75-U75</f>
        <v>0</v>
      </c>
    </row>
    <row r="76" spans="1:24" s="65" customFormat="1" ht="12.75" customHeight="1">
      <c r="A76" s="35" t="s">
        <v>98</v>
      </c>
      <c r="B76" s="51"/>
      <c r="C76" s="35" t="s">
        <v>17</v>
      </c>
      <c r="D76" s="35"/>
      <c r="E76" s="48">
        <v>28533205</v>
      </c>
      <c r="F76" s="48"/>
      <c r="G76" s="48">
        <v>843242</v>
      </c>
      <c r="H76" s="48"/>
      <c r="I76" s="48">
        <v>0</v>
      </c>
      <c r="J76" s="48"/>
      <c r="K76" s="48">
        <v>434173</v>
      </c>
      <c r="L76" s="48"/>
      <c r="M76" s="48">
        <v>0</v>
      </c>
      <c r="N76" s="48"/>
      <c r="O76" s="48">
        <v>5443313</v>
      </c>
      <c r="P76" s="48"/>
      <c r="Q76" s="48">
        <v>0</v>
      </c>
      <c r="R76" s="48"/>
      <c r="S76" s="48">
        <f t="shared" si="1"/>
        <v>35253933</v>
      </c>
      <c r="T76" s="44"/>
      <c r="U76" s="48">
        <v>1659575</v>
      </c>
      <c r="W76" s="44">
        <f>+S76-'Stmt net assets'!O76-U76</f>
        <v>0</v>
      </c>
      <c r="X76" s="107"/>
    </row>
    <row r="77" spans="1:24" s="65" customFormat="1" ht="12.75" customHeight="1">
      <c r="A77" s="35" t="s">
        <v>99</v>
      </c>
      <c r="B77" s="51"/>
      <c r="C77" s="35" t="s">
        <v>66</v>
      </c>
      <c r="D77" s="35"/>
      <c r="E77" s="48">
        <v>0</v>
      </c>
      <c r="F77" s="48"/>
      <c r="G77" s="48">
        <v>0</v>
      </c>
      <c r="H77" s="48"/>
      <c r="I77" s="48">
        <v>0</v>
      </c>
      <c r="J77" s="48"/>
      <c r="K77" s="48">
        <v>0</v>
      </c>
      <c r="L77" s="48"/>
      <c r="M77" s="48">
        <v>0</v>
      </c>
      <c r="N77" s="48"/>
      <c r="O77" s="48">
        <v>372614</v>
      </c>
      <c r="P77" s="48"/>
      <c r="Q77" s="48">
        <v>0</v>
      </c>
      <c r="R77" s="48"/>
      <c r="S77" s="48">
        <f t="shared" si="1"/>
        <v>372614</v>
      </c>
      <c r="T77" s="44"/>
      <c r="U77" s="48">
        <v>241710</v>
      </c>
      <c r="W77" s="44">
        <f>+S77-'Stmt net assets'!O77-U77</f>
        <v>0</v>
      </c>
    </row>
    <row r="78" spans="1:24" s="65" customFormat="1" ht="12.75" customHeight="1">
      <c r="A78" s="35" t="s">
        <v>100</v>
      </c>
      <c r="B78" s="51"/>
      <c r="C78" s="35" t="s">
        <v>27</v>
      </c>
      <c r="D78" s="35"/>
      <c r="E78" s="48">
        <v>23007141</v>
      </c>
      <c r="F78" s="48"/>
      <c r="G78" s="48">
        <v>1235000</v>
      </c>
      <c r="H78" s="48"/>
      <c r="I78" s="48">
        <v>6886280</v>
      </c>
      <c r="J78" s="48"/>
      <c r="K78" s="48">
        <v>0</v>
      </c>
      <c r="L78" s="48"/>
      <c r="M78" s="48">
        <v>1304712</v>
      </c>
      <c r="N78" s="48"/>
      <c r="O78" s="48">
        <v>7947689</v>
      </c>
      <c r="P78" s="48"/>
      <c r="Q78" s="48">
        <f>717174+1340000+532981</f>
        <v>2590155</v>
      </c>
      <c r="R78" s="48"/>
      <c r="S78" s="48">
        <f t="shared" si="1"/>
        <v>42970977</v>
      </c>
      <c r="T78" s="44"/>
      <c r="U78" s="48">
        <v>11408828</v>
      </c>
      <c r="W78" s="44">
        <f>+S78-'Stmt net assets'!O78-U78</f>
        <v>0</v>
      </c>
    </row>
    <row r="79" spans="1:24" s="65" customFormat="1" ht="12.75" customHeight="1">
      <c r="A79" s="35" t="s">
        <v>101</v>
      </c>
      <c r="B79" s="51"/>
      <c r="C79" s="35" t="s">
        <v>30</v>
      </c>
      <c r="D79" s="35"/>
      <c r="E79" s="48">
        <v>8847019</v>
      </c>
      <c r="F79" s="48"/>
      <c r="G79" s="48">
        <v>2012412</v>
      </c>
      <c r="H79" s="48"/>
      <c r="I79" s="48">
        <v>0</v>
      </c>
      <c r="J79" s="48"/>
      <c r="K79" s="48">
        <v>0</v>
      </c>
      <c r="L79" s="48"/>
      <c r="M79" s="48">
        <v>627014</v>
      </c>
      <c r="N79" s="48"/>
      <c r="O79" s="48">
        <v>1048928</v>
      </c>
      <c r="P79" s="48"/>
      <c r="Q79" s="48">
        <v>0</v>
      </c>
      <c r="R79" s="48"/>
      <c r="S79" s="48">
        <f t="shared" si="1"/>
        <v>12535373</v>
      </c>
      <c r="T79" s="44"/>
      <c r="U79" s="48">
        <v>2310980</v>
      </c>
      <c r="W79" s="44">
        <f>+S79-'Stmt net assets'!O79-U79</f>
        <v>0</v>
      </c>
    </row>
    <row r="80" spans="1:24" s="65" customFormat="1" ht="12.75" customHeight="1">
      <c r="A80" s="35" t="s">
        <v>102</v>
      </c>
      <c r="B80" s="51"/>
      <c r="C80" s="35" t="s">
        <v>103</v>
      </c>
      <c r="D80" s="35"/>
      <c r="E80" s="48">
        <v>12530000</v>
      </c>
      <c r="F80" s="48"/>
      <c r="G80" s="48">
        <v>0</v>
      </c>
      <c r="H80" s="48"/>
      <c r="I80" s="48">
        <v>0</v>
      </c>
      <c r="J80" s="48"/>
      <c r="K80" s="48">
        <v>0</v>
      </c>
      <c r="L80" s="48"/>
      <c r="M80" s="48">
        <v>0</v>
      </c>
      <c r="N80" s="48"/>
      <c r="O80" s="48">
        <v>2512096</v>
      </c>
      <c r="P80" s="48"/>
      <c r="Q80" s="48">
        <v>0</v>
      </c>
      <c r="R80" s="48"/>
      <c r="S80" s="48">
        <f t="shared" ref="S80:S146" si="2">SUM(E80:Q80)</f>
        <v>15042096</v>
      </c>
      <c r="T80" s="44"/>
      <c r="U80" s="48">
        <v>991909</v>
      </c>
      <c r="W80" s="44">
        <f>+S80-'Stmt net assets'!O80-U80</f>
        <v>0</v>
      </c>
    </row>
    <row r="81" spans="1:23" s="65" customFormat="1" ht="12.75" customHeight="1">
      <c r="A81" s="35" t="s">
        <v>104</v>
      </c>
      <c r="B81" s="51"/>
      <c r="C81" s="35" t="s">
        <v>13</v>
      </c>
      <c r="D81" s="35"/>
      <c r="E81" s="48">
        <v>7960000</v>
      </c>
      <c r="F81" s="48"/>
      <c r="G81" s="48">
        <v>670000</v>
      </c>
      <c r="H81" s="48"/>
      <c r="I81" s="48">
        <v>0</v>
      </c>
      <c r="J81" s="48"/>
      <c r="K81" s="48">
        <v>512286</v>
      </c>
      <c r="L81" s="48"/>
      <c r="M81" s="48">
        <v>0</v>
      </c>
      <c r="N81" s="48"/>
      <c r="O81" s="48">
        <v>1115914</v>
      </c>
      <c r="P81" s="48"/>
      <c r="Q81" s="48">
        <v>0</v>
      </c>
      <c r="R81" s="48"/>
      <c r="S81" s="48">
        <f t="shared" si="2"/>
        <v>10258200</v>
      </c>
      <c r="T81" s="44"/>
      <c r="U81" s="48">
        <v>1169878</v>
      </c>
      <c r="W81" s="44">
        <f>+S81-'Stmt net assets'!O81-U81</f>
        <v>0</v>
      </c>
    </row>
    <row r="82" spans="1:23" s="65" customFormat="1" ht="12.75" customHeight="1">
      <c r="A82" s="35" t="s">
        <v>105</v>
      </c>
      <c r="B82" s="51"/>
      <c r="C82" s="35" t="s">
        <v>27</v>
      </c>
      <c r="D82" s="35"/>
      <c r="E82" s="48">
        <v>24250209</v>
      </c>
      <c r="F82" s="48"/>
      <c r="G82" s="48">
        <v>0</v>
      </c>
      <c r="H82" s="48"/>
      <c r="I82" s="48">
        <v>1475038</v>
      </c>
      <c r="J82" s="48"/>
      <c r="K82" s="48">
        <v>0</v>
      </c>
      <c r="L82" s="48"/>
      <c r="M82" s="48">
        <v>260991</v>
      </c>
      <c r="N82" s="48"/>
      <c r="O82" s="48">
        <v>2055906</v>
      </c>
      <c r="P82" s="48"/>
      <c r="Q82" s="48">
        <v>0</v>
      </c>
      <c r="R82" s="48"/>
      <c r="S82" s="48">
        <f t="shared" si="2"/>
        <v>28042144</v>
      </c>
      <c r="T82" s="44"/>
      <c r="U82" s="48">
        <v>1319113</v>
      </c>
      <c r="W82" s="44">
        <f>+S82-'Stmt net assets'!O82-U82</f>
        <v>0</v>
      </c>
    </row>
    <row r="83" spans="1:23" s="65" customFormat="1" ht="12.75" customHeight="1">
      <c r="A83" s="35" t="s">
        <v>106</v>
      </c>
      <c r="B83" s="51"/>
      <c r="C83" s="35" t="s">
        <v>107</v>
      </c>
      <c r="D83" s="35"/>
      <c r="E83" s="48">
        <v>2765000</v>
      </c>
      <c r="F83" s="48"/>
      <c r="G83" s="48">
        <v>165205</v>
      </c>
      <c r="H83" s="48"/>
      <c r="I83" s="48">
        <v>0</v>
      </c>
      <c r="J83" s="48"/>
      <c r="K83" s="48">
        <v>257238</v>
      </c>
      <c r="L83" s="48"/>
      <c r="M83" s="48">
        <v>0</v>
      </c>
      <c r="N83" s="48"/>
      <c r="O83" s="48">
        <v>3669261</v>
      </c>
      <c r="P83" s="48"/>
      <c r="Q83" s="48">
        <f>1206404+78989-137357</f>
        <v>1148036</v>
      </c>
      <c r="R83" s="48"/>
      <c r="S83" s="48">
        <f t="shared" si="2"/>
        <v>8004740</v>
      </c>
      <c r="T83" s="44"/>
      <c r="U83" s="48">
        <v>1962980</v>
      </c>
      <c r="W83" s="44">
        <f>+S83-'Stmt net assets'!O83-U83</f>
        <v>0</v>
      </c>
    </row>
    <row r="84" spans="1:23" s="65" customFormat="1" ht="12.75" customHeight="1">
      <c r="A84" s="35" t="s">
        <v>108</v>
      </c>
      <c r="B84" s="51"/>
      <c r="C84" s="35" t="s">
        <v>45</v>
      </c>
      <c r="D84" s="35"/>
      <c r="E84" s="48">
        <f>21146+3285000</f>
        <v>3306146</v>
      </c>
      <c r="F84" s="48"/>
      <c r="G84" s="48">
        <v>0</v>
      </c>
      <c r="H84" s="48"/>
      <c r="I84" s="48">
        <v>0</v>
      </c>
      <c r="J84" s="48"/>
      <c r="K84" s="48">
        <f>35159+6586+4497+20136</f>
        <v>66378</v>
      </c>
      <c r="L84" s="48"/>
      <c r="M84" s="48">
        <v>0</v>
      </c>
      <c r="N84" s="48"/>
      <c r="O84" s="48">
        <v>447618</v>
      </c>
      <c r="P84" s="48"/>
      <c r="Q84" s="48">
        <v>0</v>
      </c>
      <c r="R84" s="48"/>
      <c r="S84" s="48">
        <f t="shared" si="2"/>
        <v>3820142</v>
      </c>
      <c r="T84" s="44"/>
      <c r="U84" s="48">
        <v>461078</v>
      </c>
      <c r="W84" s="44">
        <f>+S84-'Stmt net assets'!O84-U84</f>
        <v>0</v>
      </c>
    </row>
    <row r="85" spans="1:23" s="65" customFormat="1" ht="12.75" customHeight="1">
      <c r="A85" s="35" t="s">
        <v>109</v>
      </c>
      <c r="C85" s="35" t="s">
        <v>110</v>
      </c>
      <c r="D85" s="35"/>
      <c r="E85" s="48">
        <v>0</v>
      </c>
      <c r="F85" s="48"/>
      <c r="G85" s="48">
        <v>269662</v>
      </c>
      <c r="H85" s="48"/>
      <c r="I85" s="48">
        <v>0</v>
      </c>
      <c r="J85" s="48"/>
      <c r="K85" s="48">
        <v>138640</v>
      </c>
      <c r="L85" s="48"/>
      <c r="M85" s="48">
        <v>384198</v>
      </c>
      <c r="N85" s="48"/>
      <c r="O85" s="48">
        <v>1205969</v>
      </c>
      <c r="P85" s="48"/>
      <c r="Q85" s="48">
        <v>0</v>
      </c>
      <c r="R85" s="48"/>
      <c r="S85" s="48">
        <f t="shared" si="2"/>
        <v>1998469</v>
      </c>
      <c r="T85" s="44"/>
      <c r="U85" s="48">
        <v>641196</v>
      </c>
      <c r="W85" s="44">
        <f>+S85-'Stmt net assets'!O85-U85</f>
        <v>0</v>
      </c>
    </row>
    <row r="86" spans="1:23" s="65" customFormat="1" ht="12.75" customHeight="1">
      <c r="A86" s="44" t="s">
        <v>43</v>
      </c>
      <c r="C86" s="35" t="s">
        <v>111</v>
      </c>
      <c r="D86" s="35"/>
      <c r="E86" s="48">
        <v>7155664</v>
      </c>
      <c r="F86" s="48"/>
      <c r="G86" s="48">
        <v>3023000</v>
      </c>
      <c r="H86" s="48"/>
      <c r="I86" s="48">
        <f>325000+260000+190000</f>
        <v>775000</v>
      </c>
      <c r="J86" s="48"/>
      <c r="K86" s="48">
        <v>0</v>
      </c>
      <c r="L86" s="48"/>
      <c r="M86" s="48">
        <v>0</v>
      </c>
      <c r="N86" s="48"/>
      <c r="O86" s="48">
        <v>792267</v>
      </c>
      <c r="P86" s="48"/>
      <c r="Q86" s="48">
        <v>69668</v>
      </c>
      <c r="R86" s="48"/>
      <c r="S86" s="48">
        <f t="shared" si="2"/>
        <v>11815599</v>
      </c>
      <c r="T86" s="44"/>
      <c r="U86" s="48">
        <f>854113+10000</f>
        <v>864113</v>
      </c>
      <c r="W86" s="44">
        <f>+S86-'Stmt net assets'!O86-U86</f>
        <v>0</v>
      </c>
    </row>
    <row r="87" spans="1:23" s="65" customFormat="1" ht="12.75" customHeight="1">
      <c r="A87" s="35" t="s">
        <v>112</v>
      </c>
      <c r="B87" s="51"/>
      <c r="C87" s="35" t="s">
        <v>76</v>
      </c>
      <c r="D87" s="35"/>
      <c r="E87" s="48">
        <v>3345000</v>
      </c>
      <c r="F87" s="48"/>
      <c r="G87" s="48">
        <v>0</v>
      </c>
      <c r="H87" s="48"/>
      <c r="I87" s="48">
        <v>0</v>
      </c>
      <c r="J87" s="48"/>
      <c r="K87" s="48">
        <v>0</v>
      </c>
      <c r="L87" s="48"/>
      <c r="M87" s="48">
        <v>0</v>
      </c>
      <c r="N87" s="48"/>
      <c r="O87" s="48">
        <v>819757</v>
      </c>
      <c r="P87" s="48"/>
      <c r="Q87" s="48">
        <v>783198</v>
      </c>
      <c r="R87" s="48"/>
      <c r="S87" s="48">
        <f t="shared" si="2"/>
        <v>4947955</v>
      </c>
      <c r="T87" s="44"/>
      <c r="U87" s="48">
        <v>315771</v>
      </c>
      <c r="W87" s="44">
        <f>+S87-'Stmt net assets'!O87-U87</f>
        <v>0</v>
      </c>
    </row>
    <row r="88" spans="1:23" s="65" customFormat="1" ht="12.75" customHeight="1">
      <c r="A88" s="35" t="s">
        <v>113</v>
      </c>
      <c r="B88" s="51"/>
      <c r="C88" s="35" t="s">
        <v>43</v>
      </c>
      <c r="D88" s="35"/>
      <c r="E88" s="48">
        <v>22406282</v>
      </c>
      <c r="F88" s="48"/>
      <c r="G88" s="48">
        <v>0</v>
      </c>
      <c r="H88" s="48"/>
      <c r="I88" s="48">
        <v>0</v>
      </c>
      <c r="J88" s="48"/>
      <c r="K88" s="48">
        <v>861423</v>
      </c>
      <c r="L88" s="48"/>
      <c r="M88" s="48">
        <v>75593</v>
      </c>
      <c r="N88" s="48"/>
      <c r="O88" s="48">
        <v>1902798</v>
      </c>
      <c r="P88" s="48"/>
      <c r="Q88" s="48">
        <v>0</v>
      </c>
      <c r="R88" s="48"/>
      <c r="S88" s="48">
        <f t="shared" si="2"/>
        <v>25246096</v>
      </c>
      <c r="T88" s="44"/>
      <c r="U88" s="48">
        <v>1926425</v>
      </c>
      <c r="W88" s="44">
        <f>+S88-'Stmt net assets'!O88-U88</f>
        <v>0</v>
      </c>
    </row>
    <row r="89" spans="1:23" s="65" customFormat="1" ht="12.75" customHeight="1">
      <c r="A89" s="35" t="s">
        <v>493</v>
      </c>
      <c r="B89" s="51"/>
      <c r="C89" s="35" t="s">
        <v>57</v>
      </c>
      <c r="D89" s="35"/>
      <c r="E89" s="48">
        <v>2842746</v>
      </c>
      <c r="F89" s="48"/>
      <c r="G89" s="48">
        <v>0</v>
      </c>
      <c r="H89" s="48"/>
      <c r="I89" s="48">
        <v>0</v>
      </c>
      <c r="J89" s="48"/>
      <c r="K89" s="48">
        <v>0</v>
      </c>
      <c r="L89" s="48"/>
      <c r="M89" s="48">
        <v>0</v>
      </c>
      <c r="N89" s="48"/>
      <c r="O89" s="48">
        <v>591635</v>
      </c>
      <c r="P89" s="48"/>
      <c r="Q89" s="48">
        <f>27081+102650</f>
        <v>129731</v>
      </c>
      <c r="R89" s="48"/>
      <c r="S89" s="48">
        <f>SUM(E89:Q89)</f>
        <v>3564112</v>
      </c>
      <c r="T89" s="44"/>
      <c r="U89" s="48">
        <v>603496</v>
      </c>
      <c r="W89" s="44">
        <f>+S89-'Stmt net assets'!O89-U89</f>
        <v>0</v>
      </c>
    </row>
    <row r="90" spans="1:23" s="65" customFormat="1" ht="12.75" customHeight="1">
      <c r="A90" s="35" t="s">
        <v>114</v>
      </c>
      <c r="B90" s="51"/>
      <c r="C90" s="35" t="s">
        <v>27</v>
      </c>
      <c r="D90" s="35"/>
      <c r="E90" s="48">
        <v>28823431</v>
      </c>
      <c r="F90" s="48"/>
      <c r="G90" s="48">
        <v>1088451</v>
      </c>
      <c r="H90" s="48"/>
      <c r="I90" s="48">
        <v>3410000</v>
      </c>
      <c r="J90" s="48"/>
      <c r="K90" s="48">
        <v>0</v>
      </c>
      <c r="L90" s="48"/>
      <c r="M90" s="48">
        <v>0</v>
      </c>
      <c r="N90" s="48"/>
      <c r="O90" s="48">
        <v>5192725</v>
      </c>
      <c r="P90" s="48"/>
      <c r="Q90" s="48">
        <f>1128884+646049</f>
        <v>1774933</v>
      </c>
      <c r="R90" s="48"/>
      <c r="S90" s="48">
        <f>SUM(E90:Q90)</f>
        <v>40289540</v>
      </c>
      <c r="T90" s="44"/>
      <c r="U90" s="48">
        <v>2487889</v>
      </c>
      <c r="W90" s="44">
        <f>+S90-'Stmt net assets'!O90-U90</f>
        <v>0</v>
      </c>
    </row>
    <row r="91" spans="1:23" s="65" customFormat="1" ht="12.75" customHeight="1">
      <c r="A91" s="35" t="s">
        <v>115</v>
      </c>
      <c r="C91" s="35" t="s">
        <v>19</v>
      </c>
      <c r="D91" s="35"/>
      <c r="E91" s="48">
        <v>1269191</v>
      </c>
      <c r="F91" s="48"/>
      <c r="G91" s="48">
        <v>675000</v>
      </c>
      <c r="H91" s="48"/>
      <c r="I91" s="48">
        <v>0</v>
      </c>
      <c r="J91" s="48"/>
      <c r="K91" s="48">
        <v>194948</v>
      </c>
      <c r="L91" s="48"/>
      <c r="M91" s="48">
        <v>236052</v>
      </c>
      <c r="N91" s="48"/>
      <c r="O91" s="48">
        <v>108166</v>
      </c>
      <c r="P91" s="48"/>
      <c r="Q91" s="48">
        <v>0</v>
      </c>
      <c r="R91" s="48"/>
      <c r="S91" s="48">
        <f t="shared" si="2"/>
        <v>2483357</v>
      </c>
      <c r="T91" s="44"/>
      <c r="U91" s="48">
        <v>395667</v>
      </c>
      <c r="W91" s="44">
        <f>+S91-'Stmt net assets'!O91-U91</f>
        <v>0</v>
      </c>
    </row>
    <row r="92" spans="1:23" s="65" customFormat="1" ht="12.75" customHeight="1">
      <c r="A92" s="35" t="s">
        <v>116</v>
      </c>
      <c r="B92" s="51"/>
      <c r="C92" s="35" t="s">
        <v>80</v>
      </c>
      <c r="D92" s="35"/>
      <c r="E92" s="48">
        <v>0</v>
      </c>
      <c r="F92" s="48"/>
      <c r="G92" s="48">
        <v>0</v>
      </c>
      <c r="H92" s="48"/>
      <c r="I92" s="48">
        <v>0</v>
      </c>
      <c r="J92" s="48"/>
      <c r="K92" s="48">
        <v>4785270</v>
      </c>
      <c r="L92" s="48"/>
      <c r="M92" s="48">
        <v>0</v>
      </c>
      <c r="N92" s="48"/>
      <c r="O92" s="48">
        <v>539738</v>
      </c>
      <c r="P92" s="48"/>
      <c r="Q92" s="48">
        <v>276705</v>
      </c>
      <c r="R92" s="48"/>
      <c r="S92" s="48">
        <f t="shared" si="2"/>
        <v>5601713</v>
      </c>
      <c r="T92" s="44"/>
      <c r="U92" s="48">
        <v>368738</v>
      </c>
      <c r="W92" s="44">
        <f>+S92-'Stmt net assets'!O92-U92</f>
        <v>0</v>
      </c>
    </row>
    <row r="93" spans="1:23" s="65" customFormat="1" ht="12.75" customHeight="1">
      <c r="A93" s="44" t="s">
        <v>117</v>
      </c>
      <c r="B93" s="51"/>
      <c r="C93" s="35" t="s">
        <v>43</v>
      </c>
      <c r="D93" s="35"/>
      <c r="E93" s="48">
        <v>0</v>
      </c>
      <c r="F93" s="48"/>
      <c r="G93" s="48">
        <v>0</v>
      </c>
      <c r="H93" s="48"/>
      <c r="I93" s="48">
        <v>0</v>
      </c>
      <c r="J93" s="48"/>
      <c r="K93" s="48">
        <v>1435538</v>
      </c>
      <c r="L93" s="48"/>
      <c r="M93" s="48">
        <v>61302</v>
      </c>
      <c r="N93" s="48"/>
      <c r="O93" s="48">
        <v>669581</v>
      </c>
      <c r="P93" s="48"/>
      <c r="Q93" s="48">
        <v>0</v>
      </c>
      <c r="R93" s="48"/>
      <c r="S93" s="48">
        <f t="shared" si="2"/>
        <v>2166421</v>
      </c>
      <c r="T93" s="44"/>
      <c r="U93" s="48">
        <v>473230</v>
      </c>
      <c r="W93" s="44">
        <f>+S93-'Stmt net assets'!O93-U93</f>
        <v>0</v>
      </c>
    </row>
    <row r="94" spans="1:23" s="65" customFormat="1" ht="12.75" customHeight="1">
      <c r="A94" s="35" t="s">
        <v>118</v>
      </c>
      <c r="B94" s="51"/>
      <c r="C94" s="35" t="s">
        <v>13</v>
      </c>
      <c r="D94" s="35"/>
      <c r="E94" s="48">
        <v>4975000</v>
      </c>
      <c r="F94" s="48"/>
      <c r="G94" s="48">
        <v>0</v>
      </c>
      <c r="H94" s="48"/>
      <c r="I94" s="48">
        <v>0</v>
      </c>
      <c r="J94" s="48"/>
      <c r="K94" s="48">
        <v>0</v>
      </c>
      <c r="L94" s="48"/>
      <c r="M94" s="48">
        <v>0</v>
      </c>
      <c r="N94" s="48"/>
      <c r="O94" s="48">
        <v>1406420</v>
      </c>
      <c r="P94" s="48"/>
      <c r="Q94" s="48">
        <v>23500179</v>
      </c>
      <c r="R94" s="48"/>
      <c r="S94" s="48">
        <f t="shared" si="2"/>
        <v>29881599</v>
      </c>
      <c r="T94" s="44"/>
      <c r="U94" s="48">
        <v>910269</v>
      </c>
      <c r="W94" s="44">
        <f>+S94-'Stmt net assets'!O94-U94</f>
        <v>0</v>
      </c>
    </row>
    <row r="95" spans="1:23" s="65" customFormat="1" ht="12.75" customHeight="1">
      <c r="A95" s="35" t="s">
        <v>120</v>
      </c>
      <c r="B95" s="51"/>
      <c r="C95" s="35" t="s">
        <v>121</v>
      </c>
      <c r="D95" s="35"/>
      <c r="E95" s="48">
        <v>2295000</v>
      </c>
      <c r="F95" s="48"/>
      <c r="G95" s="48">
        <v>1216500</v>
      </c>
      <c r="H95" s="48"/>
      <c r="I95" s="48">
        <v>0</v>
      </c>
      <c r="J95" s="48"/>
      <c r="K95" s="48">
        <v>318765</v>
      </c>
      <c r="L95" s="48"/>
      <c r="M95" s="48">
        <v>515712</v>
      </c>
      <c r="N95" s="48"/>
      <c r="O95" s="48">
        <v>415622</v>
      </c>
      <c r="P95" s="48"/>
      <c r="Q95" s="48">
        <v>-83613</v>
      </c>
      <c r="R95" s="48"/>
      <c r="S95" s="48">
        <f t="shared" si="2"/>
        <v>4677986</v>
      </c>
      <c r="T95" s="44"/>
      <c r="U95" s="48">
        <v>420317</v>
      </c>
      <c r="W95" s="44">
        <f>+S95-'Stmt net assets'!O95-U95</f>
        <v>0</v>
      </c>
    </row>
    <row r="96" spans="1:23" s="65" customFormat="1" ht="12.75" customHeight="1">
      <c r="A96" s="35" t="s">
        <v>122</v>
      </c>
      <c r="B96" s="51"/>
      <c r="C96" s="35" t="s">
        <v>43</v>
      </c>
      <c r="D96" s="35"/>
      <c r="E96" s="48">
        <v>12146051</v>
      </c>
      <c r="F96" s="48"/>
      <c r="G96" s="48">
        <v>59436</v>
      </c>
      <c r="H96" s="48"/>
      <c r="I96" s="48">
        <v>0</v>
      </c>
      <c r="J96" s="48"/>
      <c r="K96" s="48">
        <v>3836340</v>
      </c>
      <c r="L96" s="48"/>
      <c r="M96" s="48">
        <v>321349</v>
      </c>
      <c r="N96" s="48"/>
      <c r="O96" s="48">
        <v>1131888</v>
      </c>
      <c r="P96" s="48"/>
      <c r="Q96" s="48">
        <v>16260000</v>
      </c>
      <c r="R96" s="48"/>
      <c r="S96" s="48">
        <f t="shared" si="2"/>
        <v>33755064</v>
      </c>
      <c r="T96" s="44"/>
      <c r="U96" s="48">
        <v>1959248</v>
      </c>
      <c r="W96" s="44">
        <f>+S96-'Stmt net assets'!O96-U96</f>
        <v>0</v>
      </c>
    </row>
    <row r="97" spans="1:25" s="65" customFormat="1" ht="12.75" customHeight="1">
      <c r="A97" s="44" t="s">
        <v>45</v>
      </c>
      <c r="B97" s="51"/>
      <c r="C97" s="35" t="s">
        <v>103</v>
      </c>
      <c r="D97" s="35"/>
      <c r="E97" s="48">
        <v>30525000</v>
      </c>
      <c r="F97" s="48"/>
      <c r="G97" s="48">
        <v>2492000</v>
      </c>
      <c r="H97" s="48"/>
      <c r="I97" s="48">
        <v>0</v>
      </c>
      <c r="J97" s="48"/>
      <c r="K97" s="48">
        <v>0</v>
      </c>
      <c r="L97" s="48"/>
      <c r="M97" s="48">
        <v>0</v>
      </c>
      <c r="N97" s="48"/>
      <c r="O97" s="48">
        <v>6419247</v>
      </c>
      <c r="P97" s="48"/>
      <c r="Q97" s="48">
        <v>-139839</v>
      </c>
      <c r="R97" s="48"/>
      <c r="S97" s="48">
        <f t="shared" si="2"/>
        <v>39296408</v>
      </c>
      <c r="T97" s="44"/>
      <c r="U97" s="48">
        <v>3933005</v>
      </c>
      <c r="W97" s="44">
        <f>+S97-'Stmt net assets'!O97-U97</f>
        <v>0</v>
      </c>
    </row>
    <row r="98" spans="1:25" s="65" customFormat="1" ht="12.75" customHeight="1">
      <c r="A98" s="44" t="s">
        <v>123</v>
      </c>
      <c r="B98" s="51"/>
      <c r="C98" s="35" t="s">
        <v>45</v>
      </c>
      <c r="D98" s="35"/>
      <c r="E98" s="48">
        <v>2605000</v>
      </c>
      <c r="F98" s="48"/>
      <c r="G98" s="48">
        <v>0</v>
      </c>
      <c r="H98" s="48"/>
      <c r="I98" s="48">
        <v>0</v>
      </c>
      <c r="J98" s="48"/>
      <c r="K98" s="48">
        <v>1001169</v>
      </c>
      <c r="L98" s="48"/>
      <c r="M98" s="48">
        <v>1238630</v>
      </c>
      <c r="N98" s="48"/>
      <c r="O98" s="48">
        <v>320456</v>
      </c>
      <c r="P98" s="48"/>
      <c r="Q98" s="48">
        <v>-47152</v>
      </c>
      <c r="R98" s="48"/>
      <c r="S98" s="48">
        <f t="shared" si="2"/>
        <v>5118103</v>
      </c>
      <c r="T98" s="44"/>
      <c r="U98" s="48">
        <v>453514</v>
      </c>
      <c r="W98" s="44">
        <f>+S98-'Stmt net assets'!O98-U98</f>
        <v>0</v>
      </c>
    </row>
    <row r="99" spans="1:25" s="65" customFormat="1" ht="12.75" customHeight="1">
      <c r="A99" s="64" t="s">
        <v>124</v>
      </c>
      <c r="B99" s="66"/>
      <c r="C99" s="64" t="s">
        <v>125</v>
      </c>
      <c r="D99" s="64"/>
      <c r="E99" s="48">
        <v>4480000</v>
      </c>
      <c r="F99" s="48"/>
      <c r="G99" s="48">
        <v>0</v>
      </c>
      <c r="H99" s="48"/>
      <c r="I99" s="48">
        <v>0</v>
      </c>
      <c r="J99" s="48"/>
      <c r="K99" s="48">
        <v>0</v>
      </c>
      <c r="L99" s="48"/>
      <c r="M99" s="48">
        <v>60426</v>
      </c>
      <c r="N99" s="48"/>
      <c r="O99" s="48">
        <v>714850</v>
      </c>
      <c r="P99" s="48"/>
      <c r="Q99" s="48">
        <v>0</v>
      </c>
      <c r="R99" s="48"/>
      <c r="S99" s="48">
        <f t="shared" si="2"/>
        <v>5255276</v>
      </c>
      <c r="T99" s="44"/>
      <c r="U99" s="48">
        <v>306321</v>
      </c>
      <c r="W99" s="44">
        <f>+S99-'Stmt net assets'!O99-U99</f>
        <v>0</v>
      </c>
    </row>
    <row r="100" spans="1:25" s="65" customFormat="1" ht="12.75" customHeight="1">
      <c r="A100" s="35" t="s">
        <v>126</v>
      </c>
      <c r="B100" s="51"/>
      <c r="C100" s="35" t="s">
        <v>27</v>
      </c>
      <c r="D100" s="35"/>
      <c r="E100" s="48">
        <v>9308837</v>
      </c>
      <c r="F100" s="48"/>
      <c r="G100" s="48">
        <v>4251162</v>
      </c>
      <c r="H100" s="48"/>
      <c r="I100" s="48">
        <v>0</v>
      </c>
      <c r="J100" s="48"/>
      <c r="K100" s="48">
        <v>0</v>
      </c>
      <c r="L100" s="48"/>
      <c r="M100" s="48">
        <v>1774</v>
      </c>
      <c r="N100" s="48"/>
      <c r="O100" s="48">
        <v>934905</v>
      </c>
      <c r="P100" s="48"/>
      <c r="Q100" s="48">
        <v>2293601</v>
      </c>
      <c r="R100" s="48"/>
      <c r="S100" s="48">
        <f t="shared" si="2"/>
        <v>16790279</v>
      </c>
      <c r="T100" s="44"/>
      <c r="U100" s="48">
        <v>1621666</v>
      </c>
      <c r="W100" s="44">
        <f>+S100-'Stmt net assets'!O100-U100</f>
        <v>0</v>
      </c>
    </row>
    <row r="101" spans="1:25" s="65" customFormat="1" ht="12.75" customHeight="1">
      <c r="A101" s="35" t="s">
        <v>127</v>
      </c>
      <c r="B101" s="51"/>
      <c r="C101" s="35" t="s">
        <v>43</v>
      </c>
      <c r="D101" s="35"/>
      <c r="E101" s="48">
        <v>39301403</v>
      </c>
      <c r="F101" s="48"/>
      <c r="G101" s="48">
        <v>70000</v>
      </c>
      <c r="H101" s="48"/>
      <c r="I101" s="48">
        <v>0</v>
      </c>
      <c r="J101" s="48"/>
      <c r="K101" s="48">
        <v>2216777</v>
      </c>
      <c r="L101" s="48"/>
      <c r="M101" s="48">
        <v>811978</v>
      </c>
      <c r="N101" s="48"/>
      <c r="O101" s="48">
        <v>1680867</v>
      </c>
      <c r="P101" s="48"/>
      <c r="Q101" s="48">
        <v>1175361</v>
      </c>
      <c r="R101" s="48"/>
      <c r="S101" s="48">
        <f t="shared" si="2"/>
        <v>45256386</v>
      </c>
      <c r="T101" s="44"/>
      <c r="U101" s="48">
        <v>3178604</v>
      </c>
      <c r="W101" s="44">
        <f>+S101-'Stmt net assets'!O101-U101</f>
        <v>0</v>
      </c>
    </row>
    <row r="102" spans="1:25" s="65" customFormat="1" ht="12.75" customHeight="1">
      <c r="A102" s="35" t="s">
        <v>128</v>
      </c>
      <c r="B102" s="51"/>
      <c r="C102" s="35" t="s">
        <v>119</v>
      </c>
      <c r="D102" s="35"/>
      <c r="E102" s="48">
        <v>700000</v>
      </c>
      <c r="F102" s="48"/>
      <c r="G102" s="48">
        <v>0</v>
      </c>
      <c r="H102" s="48"/>
      <c r="I102" s="48">
        <v>0</v>
      </c>
      <c r="J102" s="48"/>
      <c r="K102" s="48">
        <v>0</v>
      </c>
      <c r="L102" s="48"/>
      <c r="M102" s="48">
        <v>275080</v>
      </c>
      <c r="N102" s="48"/>
      <c r="O102" s="48">
        <v>373035</v>
      </c>
      <c r="P102" s="48"/>
      <c r="Q102" s="48">
        <v>0</v>
      </c>
      <c r="R102" s="48"/>
      <c r="S102" s="48">
        <f t="shared" si="2"/>
        <v>1348115</v>
      </c>
      <c r="T102" s="44"/>
      <c r="U102" s="48">
        <v>70875</v>
      </c>
      <c r="W102" s="44">
        <f>+S102-'Stmt net assets'!O102-U102</f>
        <v>0</v>
      </c>
    </row>
    <row r="103" spans="1:25" s="66" customFormat="1" ht="12.75" customHeight="1">
      <c r="A103" s="35" t="s">
        <v>129</v>
      </c>
      <c r="B103" s="51"/>
      <c r="C103" s="35" t="s">
        <v>80</v>
      </c>
      <c r="D103" s="35"/>
      <c r="E103" s="48">
        <v>4370000</v>
      </c>
      <c r="F103" s="48"/>
      <c r="G103" s="48">
        <v>0</v>
      </c>
      <c r="H103" s="48"/>
      <c r="I103" s="48">
        <v>0</v>
      </c>
      <c r="J103" s="48"/>
      <c r="K103" s="48">
        <v>0</v>
      </c>
      <c r="L103" s="48"/>
      <c r="M103" s="48">
        <v>0</v>
      </c>
      <c r="N103" s="48"/>
      <c r="O103" s="48">
        <v>230259</v>
      </c>
      <c r="P103" s="48"/>
      <c r="Q103" s="48">
        <v>0</v>
      </c>
      <c r="R103" s="48"/>
      <c r="S103" s="48">
        <f t="shared" si="2"/>
        <v>4600259</v>
      </c>
      <c r="T103" s="44"/>
      <c r="U103" s="48">
        <v>505492</v>
      </c>
      <c r="V103" s="65"/>
      <c r="W103" s="44">
        <f>+S103-'Stmt net assets'!O103-U103</f>
        <v>0</v>
      </c>
    </row>
    <row r="104" spans="1:25" s="65" customFormat="1" ht="12.75" customHeight="1">
      <c r="A104" s="35" t="s">
        <v>130</v>
      </c>
      <c r="B104" s="51"/>
      <c r="C104" s="35" t="s">
        <v>66</v>
      </c>
      <c r="D104" s="35"/>
      <c r="E104" s="48">
        <v>6137336</v>
      </c>
      <c r="F104" s="48"/>
      <c r="G104" s="48">
        <v>6565000</v>
      </c>
      <c r="H104" s="48"/>
      <c r="I104" s="48">
        <v>10306530</v>
      </c>
      <c r="J104" s="48"/>
      <c r="K104" s="48">
        <v>1887394</v>
      </c>
      <c r="L104" s="48"/>
      <c r="M104" s="48">
        <v>940845</v>
      </c>
      <c r="N104" s="48"/>
      <c r="O104" s="48">
        <v>1315473</v>
      </c>
      <c r="P104" s="48"/>
      <c r="Q104" s="48">
        <v>0</v>
      </c>
      <c r="R104" s="48"/>
      <c r="S104" s="48">
        <f t="shared" si="2"/>
        <v>27152578</v>
      </c>
      <c r="T104" s="44"/>
      <c r="U104" s="48">
        <v>2383387</v>
      </c>
      <c r="W104" s="44">
        <f>+S104-'Stmt net assets'!O104-U104</f>
        <v>0</v>
      </c>
    </row>
    <row r="105" spans="1:25" s="65" customFormat="1" ht="12.75" customHeight="1">
      <c r="A105" s="35" t="s">
        <v>131</v>
      </c>
      <c r="B105" s="51"/>
      <c r="C105" s="35" t="s">
        <v>13</v>
      </c>
      <c r="D105" s="35"/>
      <c r="E105" s="48">
        <v>29080000</v>
      </c>
      <c r="F105" s="48"/>
      <c r="G105" s="48">
        <v>1925000</v>
      </c>
      <c r="H105" s="48"/>
      <c r="I105" s="48">
        <v>0</v>
      </c>
      <c r="J105" s="48"/>
      <c r="K105" s="48">
        <v>0</v>
      </c>
      <c r="L105" s="48"/>
      <c r="M105" s="48">
        <v>384766</v>
      </c>
      <c r="N105" s="48"/>
      <c r="O105" s="48">
        <v>1512317</v>
      </c>
      <c r="P105" s="48"/>
      <c r="Q105" s="48">
        <v>0</v>
      </c>
      <c r="R105" s="48"/>
      <c r="S105" s="48">
        <f t="shared" si="2"/>
        <v>32902083</v>
      </c>
      <c r="T105" s="44"/>
      <c r="U105" s="48">
        <v>3154085</v>
      </c>
      <c r="W105" s="44">
        <f>+S105-'Stmt net assets'!O105-U105</f>
        <v>0</v>
      </c>
    </row>
    <row r="106" spans="1:25" s="65" customFormat="1" ht="12.75" customHeight="1">
      <c r="A106" s="35" t="s">
        <v>38</v>
      </c>
      <c r="B106" s="51"/>
      <c r="C106" s="35" t="s">
        <v>132</v>
      </c>
      <c r="D106" s="35"/>
      <c r="E106" s="48">
        <v>1877661</v>
      </c>
      <c r="F106" s="48"/>
      <c r="G106" s="48">
        <v>0</v>
      </c>
      <c r="H106" s="48"/>
      <c r="I106" s="48">
        <v>540000</v>
      </c>
      <c r="J106" s="48"/>
      <c r="K106" s="48">
        <v>0</v>
      </c>
      <c r="L106" s="48"/>
      <c r="M106" s="48">
        <v>17427</v>
      </c>
      <c r="N106" s="48"/>
      <c r="O106" s="48">
        <v>540430</v>
      </c>
      <c r="P106" s="48"/>
      <c r="Q106" s="48">
        <v>0</v>
      </c>
      <c r="R106" s="48"/>
      <c r="S106" s="48">
        <f t="shared" si="2"/>
        <v>2975518</v>
      </c>
      <c r="T106" s="44"/>
      <c r="U106" s="48">
        <v>328009</v>
      </c>
      <c r="W106" s="44">
        <f>+S106-'Stmt net assets'!O106-U106</f>
        <v>0</v>
      </c>
    </row>
    <row r="107" spans="1:25" s="65" customFormat="1" ht="12.75" customHeight="1">
      <c r="A107" s="35" t="s">
        <v>133</v>
      </c>
      <c r="B107" s="51"/>
      <c r="C107" s="35" t="s">
        <v>27</v>
      </c>
      <c r="D107" s="35"/>
      <c r="E107" s="48">
        <v>28221359</v>
      </c>
      <c r="F107" s="48"/>
      <c r="G107" s="48">
        <v>617778</v>
      </c>
      <c r="H107" s="48"/>
      <c r="I107" s="48">
        <v>7700000</v>
      </c>
      <c r="J107" s="48"/>
      <c r="K107" s="48">
        <v>43986</v>
      </c>
      <c r="L107" s="48"/>
      <c r="M107" s="48">
        <v>0</v>
      </c>
      <c r="N107" s="48"/>
      <c r="O107" s="48">
        <v>554529</v>
      </c>
      <c r="P107" s="48"/>
      <c r="Q107" s="48">
        <v>576932</v>
      </c>
      <c r="R107" s="48"/>
      <c r="S107" s="48">
        <f t="shared" si="2"/>
        <v>37714584</v>
      </c>
      <c r="T107" s="44"/>
      <c r="U107" s="48">
        <v>1833883</v>
      </c>
      <c r="W107" s="44">
        <f>+S107-'Stmt net assets'!O107-U107</f>
        <v>0</v>
      </c>
    </row>
    <row r="108" spans="1:25" s="65" customFormat="1" ht="12.75" customHeight="1">
      <c r="A108" s="35" t="s">
        <v>483</v>
      </c>
      <c r="B108" s="51"/>
      <c r="C108" s="35" t="s">
        <v>45</v>
      </c>
      <c r="D108" s="35"/>
      <c r="E108" s="48">
        <v>3151260</v>
      </c>
      <c r="F108" s="48"/>
      <c r="G108" s="48">
        <v>0</v>
      </c>
      <c r="H108" s="48"/>
      <c r="I108" s="48">
        <v>0</v>
      </c>
      <c r="J108" s="48"/>
      <c r="K108" s="48">
        <v>0</v>
      </c>
      <c r="L108" s="48"/>
      <c r="M108" s="48">
        <v>0</v>
      </c>
      <c r="N108" s="48"/>
      <c r="O108" s="48">
        <v>1303713</v>
      </c>
      <c r="P108" s="48"/>
      <c r="Q108" s="48">
        <v>0</v>
      </c>
      <c r="R108" s="48"/>
      <c r="S108" s="48">
        <f t="shared" si="2"/>
        <v>4454973</v>
      </c>
      <c r="T108" s="44"/>
      <c r="U108" s="48">
        <v>715112</v>
      </c>
      <c r="W108" s="44">
        <f>+S108-'Stmt net assets'!O108-U108</f>
        <v>0</v>
      </c>
    </row>
    <row r="109" spans="1:25" s="65" customFormat="1" ht="12.75" customHeight="1">
      <c r="A109" s="35" t="s">
        <v>134</v>
      </c>
      <c r="B109" s="51"/>
      <c r="C109" s="35" t="s">
        <v>135</v>
      </c>
      <c r="D109" s="35"/>
      <c r="E109" s="48">
        <v>2525000</v>
      </c>
      <c r="F109" s="48"/>
      <c r="G109" s="48">
        <v>0</v>
      </c>
      <c r="H109" s="48"/>
      <c r="I109" s="48">
        <v>0</v>
      </c>
      <c r="J109" s="48"/>
      <c r="K109" s="48">
        <v>115600</v>
      </c>
      <c r="L109" s="48"/>
      <c r="M109" s="48">
        <v>2936</v>
      </c>
      <c r="N109" s="48"/>
      <c r="O109" s="48">
        <v>183653</v>
      </c>
      <c r="P109" s="48"/>
      <c r="Q109" s="48">
        <f>16240+480057</f>
        <v>496297</v>
      </c>
      <c r="R109" s="48"/>
      <c r="S109" s="48">
        <f t="shared" si="2"/>
        <v>3323486</v>
      </c>
      <c r="T109" s="44"/>
      <c r="U109" s="48">
        <v>86978</v>
      </c>
      <c r="W109" s="44">
        <f>+S109-'Stmt net assets'!O109-U109</f>
        <v>0</v>
      </c>
    </row>
    <row r="110" spans="1:25" s="65" customFormat="1" ht="12.75" customHeight="1">
      <c r="A110" s="35" t="s">
        <v>136</v>
      </c>
      <c r="B110" s="51"/>
      <c r="C110" s="35" t="s">
        <v>136</v>
      </c>
      <c r="D110" s="35"/>
      <c r="E110" s="48">
        <v>0</v>
      </c>
      <c r="F110" s="48"/>
      <c r="G110" s="48">
        <v>0</v>
      </c>
      <c r="H110" s="48"/>
      <c r="I110" s="48">
        <v>539158</v>
      </c>
      <c r="J110" s="48"/>
      <c r="K110" s="48">
        <v>0</v>
      </c>
      <c r="L110" s="48"/>
      <c r="M110" s="48">
        <v>0</v>
      </c>
      <c r="N110" s="48"/>
      <c r="O110" s="48">
        <v>472936</v>
      </c>
      <c r="P110" s="48"/>
      <c r="Q110" s="48">
        <v>69158</v>
      </c>
      <c r="R110" s="48"/>
      <c r="S110" s="48">
        <f t="shared" si="2"/>
        <v>1081252</v>
      </c>
      <c r="T110" s="44"/>
      <c r="U110" s="48">
        <v>160760</v>
      </c>
      <c r="W110" s="44">
        <f>+S110-'Stmt net assets'!O110-U110</f>
        <v>0</v>
      </c>
      <c r="Y110" s="108"/>
    </row>
    <row r="111" spans="1:25" s="65" customFormat="1" ht="12.75" customHeight="1">
      <c r="A111" s="35" t="s">
        <v>137</v>
      </c>
      <c r="B111" s="51"/>
      <c r="C111" s="35" t="s">
        <v>22</v>
      </c>
      <c r="D111" s="35"/>
      <c r="E111" s="48">
        <v>1970000</v>
      </c>
      <c r="F111" s="48"/>
      <c r="G111" s="48">
        <v>458000</v>
      </c>
      <c r="H111" s="48"/>
      <c r="I111" s="48">
        <v>0</v>
      </c>
      <c r="J111" s="48"/>
      <c r="K111" s="48">
        <v>335867</v>
      </c>
      <c r="L111" s="48"/>
      <c r="M111" s="48">
        <v>0</v>
      </c>
      <c r="N111" s="48"/>
      <c r="O111" s="48">
        <v>934075</v>
      </c>
      <c r="P111" s="48"/>
      <c r="Q111" s="48">
        <v>0</v>
      </c>
      <c r="R111" s="48"/>
      <c r="S111" s="48">
        <f t="shared" si="2"/>
        <v>3697942</v>
      </c>
      <c r="T111" s="44"/>
      <c r="U111" s="48">
        <v>935609</v>
      </c>
      <c r="W111" s="44">
        <f>+S111-'Stmt net assets'!O111-U111</f>
        <v>0</v>
      </c>
    </row>
    <row r="112" spans="1:25" s="65" customFormat="1" ht="12.75" hidden="1" customHeight="1">
      <c r="A112" s="35" t="s">
        <v>138</v>
      </c>
      <c r="B112" s="51"/>
      <c r="C112" s="35" t="s">
        <v>139</v>
      </c>
      <c r="D112" s="35"/>
      <c r="E112" s="48">
        <v>64000</v>
      </c>
      <c r="F112" s="48"/>
      <c r="G112" s="48">
        <v>0</v>
      </c>
      <c r="H112" s="48"/>
      <c r="I112" s="48">
        <v>0</v>
      </c>
      <c r="J112" s="48"/>
      <c r="K112" s="48">
        <v>17265</v>
      </c>
      <c r="L112" s="48"/>
      <c r="M112" s="48">
        <v>48298</v>
      </c>
      <c r="N112" s="48"/>
      <c r="O112" s="48">
        <v>0</v>
      </c>
      <c r="P112" s="48"/>
      <c r="Q112" s="48">
        <v>0</v>
      </c>
      <c r="R112" s="48"/>
      <c r="S112" s="48">
        <f t="shared" si="2"/>
        <v>129563</v>
      </c>
      <c r="T112" s="44"/>
      <c r="U112" s="48">
        <v>1195714</v>
      </c>
      <c r="W112" s="44">
        <f>+S112-'Stmt net assets'!O112-U112</f>
        <v>-1066151</v>
      </c>
    </row>
    <row r="113" spans="1:23" s="66" customFormat="1" ht="12.75" customHeight="1">
      <c r="A113" s="35" t="s">
        <v>140</v>
      </c>
      <c r="B113" s="51"/>
      <c r="C113" s="35" t="s">
        <v>66</v>
      </c>
      <c r="D113" s="35"/>
      <c r="E113" s="48">
        <v>4218631</v>
      </c>
      <c r="F113" s="48"/>
      <c r="G113" s="48">
        <v>619149</v>
      </c>
      <c r="H113" s="48"/>
      <c r="I113" s="48">
        <v>2637298</v>
      </c>
      <c r="J113" s="48"/>
      <c r="K113" s="48">
        <v>0</v>
      </c>
      <c r="L113" s="48"/>
      <c r="M113" s="48">
        <v>0</v>
      </c>
      <c r="N113" s="48"/>
      <c r="O113" s="48">
        <v>3924321</v>
      </c>
      <c r="P113" s="48"/>
      <c r="Q113" s="48">
        <v>0</v>
      </c>
      <c r="R113" s="48"/>
      <c r="S113" s="48">
        <f t="shared" si="2"/>
        <v>11399399</v>
      </c>
      <c r="T113" s="44"/>
      <c r="U113" s="48">
        <v>2918846</v>
      </c>
      <c r="V113" s="65"/>
      <c r="W113" s="44">
        <f>+S113-'Stmt net assets'!O113-U113</f>
        <v>0</v>
      </c>
    </row>
    <row r="114" spans="1:23" s="66" customFormat="1" ht="12.75" customHeight="1">
      <c r="A114" s="35" t="s">
        <v>479</v>
      </c>
      <c r="B114" s="51"/>
      <c r="C114" s="35" t="s">
        <v>92</v>
      </c>
      <c r="D114" s="35"/>
      <c r="E114" s="48">
        <v>3966504</v>
      </c>
      <c r="F114" s="48"/>
      <c r="G114" s="48">
        <v>0</v>
      </c>
      <c r="H114" s="48"/>
      <c r="I114" s="48">
        <v>810000</v>
      </c>
      <c r="J114" s="48"/>
      <c r="K114" s="48">
        <v>415969</v>
      </c>
      <c r="L114" s="48"/>
      <c r="M114" s="48">
        <v>4535</v>
      </c>
      <c r="N114" s="48"/>
      <c r="O114" s="48">
        <v>134310</v>
      </c>
      <c r="P114" s="48"/>
      <c r="Q114" s="48">
        <v>0</v>
      </c>
      <c r="R114" s="48"/>
      <c r="S114" s="48">
        <f t="shared" si="2"/>
        <v>5331318</v>
      </c>
      <c r="T114" s="44"/>
      <c r="U114" s="48">
        <v>287774</v>
      </c>
      <c r="V114" s="65"/>
      <c r="W114" s="44">
        <f>+S114-'Stmt net assets'!O114-U114</f>
        <v>0</v>
      </c>
    </row>
    <row r="115" spans="1:23" s="65" customFormat="1" ht="12.75" customHeight="1">
      <c r="A115" s="64" t="s">
        <v>141</v>
      </c>
      <c r="B115" s="66"/>
      <c r="C115" s="64" t="s">
        <v>27</v>
      </c>
      <c r="D115" s="64"/>
      <c r="E115" s="48">
        <v>36361438</v>
      </c>
      <c r="F115" s="48"/>
      <c r="G115" s="48"/>
      <c r="H115" s="48"/>
      <c r="I115" s="48">
        <v>5374000</v>
      </c>
      <c r="J115" s="48"/>
      <c r="K115" s="48">
        <v>355416</v>
      </c>
      <c r="L115" s="48"/>
      <c r="M115" s="48">
        <v>1379783</v>
      </c>
      <c r="N115" s="48"/>
      <c r="O115" s="48">
        <v>6067582</v>
      </c>
      <c r="P115" s="48"/>
      <c r="Q115" s="48">
        <v>0</v>
      </c>
      <c r="R115" s="48"/>
      <c r="S115" s="48">
        <f t="shared" si="2"/>
        <v>49538219</v>
      </c>
      <c r="T115" s="44"/>
      <c r="U115" s="48">
        <v>5287145</v>
      </c>
      <c r="W115" s="44">
        <f>+S115-'Stmt net assets'!O115-U115</f>
        <v>0</v>
      </c>
    </row>
    <row r="116" spans="1:23" s="65" customFormat="1" ht="12.75" customHeight="1">
      <c r="A116" s="35" t="s">
        <v>142</v>
      </c>
      <c r="B116" s="51"/>
      <c r="C116" s="35" t="s">
        <v>102</v>
      </c>
      <c r="D116" s="35"/>
      <c r="E116" s="48">
        <v>3660000</v>
      </c>
      <c r="F116" s="48"/>
      <c r="G116" s="48">
        <v>292000</v>
      </c>
      <c r="H116" s="48"/>
      <c r="I116" s="48">
        <v>0</v>
      </c>
      <c r="J116" s="48"/>
      <c r="K116" s="48">
        <v>2088111</v>
      </c>
      <c r="L116" s="48"/>
      <c r="M116" s="48">
        <v>859143</v>
      </c>
      <c r="N116" s="48"/>
      <c r="O116" s="48">
        <v>4742394</v>
      </c>
      <c r="P116" s="48"/>
      <c r="Q116" s="48">
        <v>0</v>
      </c>
      <c r="R116" s="48"/>
      <c r="S116" s="48">
        <f t="shared" si="2"/>
        <v>11641648</v>
      </c>
      <c r="T116" s="44"/>
      <c r="U116" s="48">
        <v>1957564</v>
      </c>
      <c r="W116" s="44">
        <f>+S116-'Stmt net assets'!O116-U116</f>
        <v>0</v>
      </c>
    </row>
    <row r="117" spans="1:23" s="65" customFormat="1" ht="12.75" customHeight="1">
      <c r="A117" s="64" t="s">
        <v>143</v>
      </c>
      <c r="B117" s="66"/>
      <c r="C117" s="64" t="s">
        <v>111</v>
      </c>
      <c r="D117" s="64"/>
      <c r="E117" s="48">
        <v>5247054</v>
      </c>
      <c r="F117" s="48"/>
      <c r="G117" s="48">
        <v>409529</v>
      </c>
      <c r="H117" s="48"/>
      <c r="I117" s="48">
        <v>0</v>
      </c>
      <c r="J117" s="48"/>
      <c r="K117" s="48">
        <v>0</v>
      </c>
      <c r="L117" s="48"/>
      <c r="M117" s="48">
        <v>0</v>
      </c>
      <c r="N117" s="48"/>
      <c r="O117" s="48">
        <v>898758</v>
      </c>
      <c r="P117" s="48"/>
      <c r="Q117" s="48">
        <v>2509763</v>
      </c>
      <c r="R117" s="48"/>
      <c r="S117" s="48">
        <f t="shared" si="2"/>
        <v>9065104</v>
      </c>
      <c r="T117" s="44"/>
      <c r="U117" s="48">
        <v>792587</v>
      </c>
      <c r="W117" s="44">
        <f>+S117-'Stmt net assets'!O117-U117</f>
        <v>0</v>
      </c>
    </row>
    <row r="118" spans="1:23" s="65" customFormat="1" ht="12.75" customHeight="1">
      <c r="A118" s="35" t="s">
        <v>144</v>
      </c>
      <c r="B118" s="51"/>
      <c r="C118" s="35" t="s">
        <v>88</v>
      </c>
      <c r="D118" s="35"/>
      <c r="E118" s="48">
        <v>1380851</v>
      </c>
      <c r="F118" s="48"/>
      <c r="G118" s="48">
        <v>18000</v>
      </c>
      <c r="H118" s="48"/>
      <c r="I118" s="48">
        <v>862727</v>
      </c>
      <c r="J118" s="48"/>
      <c r="K118" s="48">
        <v>0</v>
      </c>
      <c r="L118" s="48"/>
      <c r="M118" s="48">
        <v>0</v>
      </c>
      <c r="N118" s="48"/>
      <c r="O118" s="48">
        <v>2739027</v>
      </c>
      <c r="P118" s="48"/>
      <c r="Q118" s="48">
        <v>110000</v>
      </c>
      <c r="R118" s="48"/>
      <c r="S118" s="48">
        <f t="shared" si="2"/>
        <v>5110605</v>
      </c>
      <c r="T118" s="44"/>
      <c r="U118" s="48">
        <v>1212286</v>
      </c>
      <c r="W118" s="44">
        <f>+S118-'Stmt net assets'!O118-U118</f>
        <v>0</v>
      </c>
    </row>
    <row r="119" spans="1:23" s="65" customFormat="1" ht="12.75" customHeight="1">
      <c r="A119" s="35" t="s">
        <v>36</v>
      </c>
      <c r="B119" s="51"/>
      <c r="C119" s="35" t="s">
        <v>145</v>
      </c>
      <c r="D119" s="35"/>
      <c r="E119" s="48">
        <v>0</v>
      </c>
      <c r="F119" s="48"/>
      <c r="G119" s="48">
        <v>0</v>
      </c>
      <c r="H119" s="48"/>
      <c r="I119" s="48">
        <v>0</v>
      </c>
      <c r="J119" s="48"/>
      <c r="K119" s="48">
        <v>0</v>
      </c>
      <c r="L119" s="48"/>
      <c r="M119" s="48">
        <v>466738</v>
      </c>
      <c r="N119" s="48"/>
      <c r="O119" s="48">
        <v>276845</v>
      </c>
      <c r="P119" s="48"/>
      <c r="Q119" s="48">
        <v>10346</v>
      </c>
      <c r="R119" s="48"/>
      <c r="S119" s="48">
        <f t="shared" si="2"/>
        <v>753929</v>
      </c>
      <c r="T119" s="44"/>
      <c r="U119" s="48">
        <v>194779</v>
      </c>
      <c r="W119" s="44">
        <f>+S119-'Stmt net assets'!O119-U119</f>
        <v>0</v>
      </c>
    </row>
    <row r="120" spans="1:23" s="65" customFormat="1" ht="12.75" customHeight="1">
      <c r="A120" s="35" t="s">
        <v>146</v>
      </c>
      <c r="B120" s="51"/>
      <c r="C120" s="35" t="s">
        <v>147</v>
      </c>
      <c r="D120" s="35"/>
      <c r="E120" s="48">
        <v>646600</v>
      </c>
      <c r="F120" s="48"/>
      <c r="G120" s="48">
        <v>42000</v>
      </c>
      <c r="H120" s="48"/>
      <c r="I120" s="48">
        <v>0</v>
      </c>
      <c r="J120" s="48"/>
      <c r="K120" s="48">
        <v>883511</v>
      </c>
      <c r="L120" s="48"/>
      <c r="M120" s="48">
        <v>1180</v>
      </c>
      <c r="N120" s="48"/>
      <c r="O120" s="48">
        <v>266198</v>
      </c>
      <c r="P120" s="48"/>
      <c r="Q120" s="48">
        <v>64730</v>
      </c>
      <c r="R120" s="48"/>
      <c r="S120" s="48">
        <f t="shared" si="2"/>
        <v>1904219</v>
      </c>
      <c r="T120" s="44"/>
      <c r="U120" s="48">
        <v>230902</v>
      </c>
      <c r="W120" s="44">
        <f>+S120-'Stmt net assets'!O120-U120</f>
        <v>0</v>
      </c>
    </row>
    <row r="121" spans="1:23" s="65" customFormat="1" ht="12.75" customHeight="1">
      <c r="A121" s="35" t="s">
        <v>17</v>
      </c>
      <c r="B121" s="51"/>
      <c r="C121" s="35" t="s">
        <v>17</v>
      </c>
      <c r="D121" s="35"/>
      <c r="E121" s="48">
        <v>27731792</v>
      </c>
      <c r="F121" s="48"/>
      <c r="G121" s="48">
        <v>567014</v>
      </c>
      <c r="H121" s="48"/>
      <c r="I121" s="48">
        <v>0</v>
      </c>
      <c r="J121" s="48"/>
      <c r="K121" s="48">
        <f>5455000+1240041+2088849+1062114+250000</f>
        <v>10096004</v>
      </c>
      <c r="L121" s="48"/>
      <c r="M121" s="48">
        <v>2832561</v>
      </c>
      <c r="N121" s="48"/>
      <c r="O121" s="48">
        <v>6379998</v>
      </c>
      <c r="P121" s="48"/>
      <c r="Q121" s="48">
        <v>0</v>
      </c>
      <c r="R121" s="48"/>
      <c r="S121" s="48">
        <f t="shared" si="2"/>
        <v>47607369</v>
      </c>
      <c r="T121" s="44"/>
      <c r="U121" s="48">
        <v>4162938</v>
      </c>
      <c r="W121" s="44">
        <f>+S121-'Stmt net assets'!O121-U121</f>
        <v>0</v>
      </c>
    </row>
    <row r="122" spans="1:23" s="65" customFormat="1" ht="12.75" customHeight="1">
      <c r="A122" s="35" t="s">
        <v>148</v>
      </c>
      <c r="B122" s="51"/>
      <c r="C122" s="35" t="s">
        <v>15</v>
      </c>
      <c r="D122" s="35"/>
      <c r="E122" s="48">
        <v>326000</v>
      </c>
      <c r="F122" s="48"/>
      <c r="G122" s="48">
        <v>0</v>
      </c>
      <c r="H122" s="48"/>
      <c r="I122" s="48">
        <v>0</v>
      </c>
      <c r="J122" s="48"/>
      <c r="K122" s="48">
        <v>0</v>
      </c>
      <c r="L122" s="48"/>
      <c r="M122" s="48">
        <v>0</v>
      </c>
      <c r="N122" s="48"/>
      <c r="O122" s="48">
        <v>253898</v>
      </c>
      <c r="P122" s="48"/>
      <c r="Q122" s="48">
        <v>45937</v>
      </c>
      <c r="R122" s="48"/>
      <c r="S122" s="48">
        <f t="shared" si="2"/>
        <v>625835</v>
      </c>
      <c r="T122" s="44"/>
      <c r="U122" s="48">
        <v>141762</v>
      </c>
      <c r="W122" s="44">
        <f>+S122-'Stmt net assets'!O122-U122</f>
        <v>0</v>
      </c>
    </row>
    <row r="123" spans="1:23" s="65" customFormat="1" ht="12.75" customHeight="1">
      <c r="A123" s="35" t="s">
        <v>149</v>
      </c>
      <c r="B123" s="51"/>
      <c r="C123" s="35" t="s">
        <v>45</v>
      </c>
      <c r="D123" s="35"/>
      <c r="E123" s="48">
        <v>4629808</v>
      </c>
      <c r="F123" s="48"/>
      <c r="G123" s="48">
        <v>0</v>
      </c>
      <c r="H123" s="48"/>
      <c r="I123" s="48">
        <v>0</v>
      </c>
      <c r="J123" s="48"/>
      <c r="K123" s="48">
        <v>2763737</v>
      </c>
      <c r="L123" s="48"/>
      <c r="M123" s="48">
        <v>42841</v>
      </c>
      <c r="N123" s="48"/>
      <c r="O123" s="48">
        <v>932406</v>
      </c>
      <c r="P123" s="48"/>
      <c r="Q123" s="48">
        <v>34737</v>
      </c>
      <c r="R123" s="48"/>
      <c r="S123" s="48">
        <f t="shared" si="2"/>
        <v>8403529</v>
      </c>
      <c r="T123" s="44"/>
      <c r="U123" s="48">
        <v>779627</v>
      </c>
      <c r="W123" s="44">
        <f>+S123-'Stmt net assets'!O123-U123</f>
        <v>0</v>
      </c>
    </row>
    <row r="124" spans="1:23" s="65" customFormat="1" ht="12.75" customHeight="1">
      <c r="A124" s="35" t="s">
        <v>150</v>
      </c>
      <c r="B124" s="51"/>
      <c r="C124" s="35" t="s">
        <v>27</v>
      </c>
      <c r="D124" s="35"/>
      <c r="E124" s="48">
        <v>2190000</v>
      </c>
      <c r="F124" s="48"/>
      <c r="G124" s="48">
        <v>8000</v>
      </c>
      <c r="H124" s="48"/>
      <c r="I124" s="48">
        <v>1000000</v>
      </c>
      <c r="J124" s="48"/>
      <c r="K124" s="48">
        <v>0</v>
      </c>
      <c r="L124" s="48"/>
      <c r="M124" s="48">
        <v>3263</v>
      </c>
      <c r="N124" s="48"/>
      <c r="O124" s="48">
        <v>1207275</v>
      </c>
      <c r="P124" s="48"/>
      <c r="Q124" s="48">
        <v>0</v>
      </c>
      <c r="R124" s="48"/>
      <c r="S124" s="48">
        <f t="shared" si="2"/>
        <v>4408538</v>
      </c>
      <c r="T124" s="44"/>
      <c r="U124" s="48">
        <v>1353479</v>
      </c>
      <c r="W124" s="44">
        <f>+S124-'Stmt net assets'!O124-U124</f>
        <v>0</v>
      </c>
    </row>
    <row r="125" spans="1:23" s="65" customFormat="1" ht="12.75" customHeight="1">
      <c r="A125" s="35" t="s">
        <v>151</v>
      </c>
      <c r="C125" s="35" t="s">
        <v>13</v>
      </c>
      <c r="D125" s="35"/>
      <c r="E125" s="48">
        <v>8177089</v>
      </c>
      <c r="F125" s="48"/>
      <c r="G125" s="48">
        <v>1770200</v>
      </c>
      <c r="H125" s="48"/>
      <c r="I125" s="48">
        <v>250000</v>
      </c>
      <c r="J125" s="48"/>
      <c r="K125" s="48">
        <v>0</v>
      </c>
      <c r="L125" s="48"/>
      <c r="M125" s="48">
        <v>226788</v>
      </c>
      <c r="N125" s="48"/>
      <c r="O125" s="48">
        <v>526365</v>
      </c>
      <c r="P125" s="48"/>
      <c r="Q125" s="48">
        <v>2474940</v>
      </c>
      <c r="R125" s="48"/>
      <c r="S125" s="48">
        <f t="shared" si="2"/>
        <v>13425382</v>
      </c>
      <c r="T125" s="44"/>
      <c r="U125" s="48">
        <v>847515</v>
      </c>
      <c r="W125" s="44">
        <f>+S125-'Stmt net assets'!O125-U125</f>
        <v>0</v>
      </c>
    </row>
    <row r="126" spans="1:23" s="65" customFormat="1" ht="12.75" customHeight="1">
      <c r="A126" s="35" t="s">
        <v>482</v>
      </c>
      <c r="C126" s="35" t="s">
        <v>45</v>
      </c>
      <c r="D126" s="35"/>
      <c r="E126" s="48">
        <v>1065000</v>
      </c>
      <c r="F126" s="48"/>
      <c r="G126" s="48">
        <v>0</v>
      </c>
      <c r="H126" s="48"/>
      <c r="I126" s="48">
        <v>0</v>
      </c>
      <c r="J126" s="48"/>
      <c r="K126" s="48">
        <v>0</v>
      </c>
      <c r="L126" s="48"/>
      <c r="M126" s="48">
        <v>0</v>
      </c>
      <c r="N126" s="48"/>
      <c r="O126" s="48">
        <v>167426</v>
      </c>
      <c r="P126" s="48"/>
      <c r="Q126" s="48">
        <v>0</v>
      </c>
      <c r="R126" s="48"/>
      <c r="S126" s="48">
        <f t="shared" si="2"/>
        <v>1232426</v>
      </c>
      <c r="T126" s="44"/>
      <c r="U126" s="48">
        <v>336108</v>
      </c>
      <c r="W126" s="44">
        <f>+S126-'Stmt net assets'!O126-U126</f>
        <v>0</v>
      </c>
    </row>
    <row r="127" spans="1:23" s="65" customFormat="1" ht="12.75" customHeight="1">
      <c r="A127" s="35" t="s">
        <v>152</v>
      </c>
      <c r="B127" s="51"/>
      <c r="C127" s="35" t="s">
        <v>153</v>
      </c>
      <c r="D127" s="35"/>
      <c r="E127" s="48">
        <v>3580000</v>
      </c>
      <c r="F127" s="48"/>
      <c r="G127" s="48">
        <v>0</v>
      </c>
      <c r="H127" s="48"/>
      <c r="I127" s="48">
        <v>510000</v>
      </c>
      <c r="J127" s="48"/>
      <c r="K127" s="48">
        <v>0</v>
      </c>
      <c r="L127" s="48"/>
      <c r="M127" s="48">
        <v>39983</v>
      </c>
      <c r="N127" s="48"/>
      <c r="O127" s="48">
        <v>5444801</v>
      </c>
      <c r="P127" s="48"/>
      <c r="Q127" s="48">
        <v>1264603</v>
      </c>
      <c r="R127" s="48"/>
      <c r="S127" s="48">
        <f t="shared" si="2"/>
        <v>10839387</v>
      </c>
      <c r="T127" s="44"/>
      <c r="U127" s="48">
        <v>1659321</v>
      </c>
      <c r="W127" s="44">
        <f>+S127-'Stmt net assets'!O127-U127</f>
        <v>0</v>
      </c>
    </row>
    <row r="128" spans="1:23" s="141" customFormat="1" ht="12.75" hidden="1" customHeight="1">
      <c r="A128" s="142" t="s">
        <v>154</v>
      </c>
      <c r="B128" s="140"/>
      <c r="C128" s="142" t="s">
        <v>27</v>
      </c>
      <c r="D128" s="142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>
        <f t="shared" si="2"/>
        <v>0</v>
      </c>
      <c r="T128" s="137"/>
      <c r="U128" s="148"/>
      <c r="W128" s="137">
        <f>+S128-'Stmt net assets'!O128-U128</f>
        <v>0</v>
      </c>
    </row>
    <row r="129" spans="1:23" s="65" customFormat="1" ht="12.75" customHeight="1">
      <c r="A129" s="35" t="s">
        <v>155</v>
      </c>
      <c r="C129" s="35" t="s">
        <v>40</v>
      </c>
      <c r="D129" s="35"/>
      <c r="E129" s="48">
        <v>145500</v>
      </c>
      <c r="F129" s="48"/>
      <c r="G129" s="48">
        <v>1208000</v>
      </c>
      <c r="H129" s="48"/>
      <c r="I129" s="48">
        <v>0</v>
      </c>
      <c r="J129" s="48"/>
      <c r="K129" s="48">
        <v>119781</v>
      </c>
      <c r="L129" s="48"/>
      <c r="M129" s="48">
        <v>0</v>
      </c>
      <c r="N129" s="48"/>
      <c r="O129" s="48">
        <v>703889</v>
      </c>
      <c r="P129" s="48"/>
      <c r="Q129" s="48">
        <v>0</v>
      </c>
      <c r="R129" s="48"/>
      <c r="S129" s="48">
        <f t="shared" si="2"/>
        <v>2177170</v>
      </c>
      <c r="T129" s="44"/>
      <c r="U129" s="48">
        <v>18557</v>
      </c>
      <c r="W129" s="44">
        <f>+S129-'Stmt net assets'!O129-U129</f>
        <v>0</v>
      </c>
    </row>
    <row r="130" spans="1:23" s="65" customFormat="1" ht="12.75" customHeight="1">
      <c r="A130" s="35" t="s">
        <v>156</v>
      </c>
      <c r="B130" s="51"/>
      <c r="C130" s="35" t="s">
        <v>156</v>
      </c>
      <c r="D130" s="35"/>
      <c r="E130" s="48">
        <v>0</v>
      </c>
      <c r="F130" s="48"/>
      <c r="G130" s="48">
        <v>0</v>
      </c>
      <c r="H130" s="48"/>
      <c r="I130" s="48">
        <v>2980000</v>
      </c>
      <c r="J130" s="48"/>
      <c r="K130" s="48">
        <v>611075</v>
      </c>
      <c r="L130" s="48"/>
      <c r="M130" s="48">
        <v>114018</v>
      </c>
      <c r="N130" s="48"/>
      <c r="O130" s="48">
        <v>4020783</v>
      </c>
      <c r="P130" s="48"/>
      <c r="Q130" s="48">
        <v>1980124</v>
      </c>
      <c r="R130" s="48"/>
      <c r="S130" s="48">
        <f t="shared" si="2"/>
        <v>9706000</v>
      </c>
      <c r="T130" s="44"/>
      <c r="U130" s="48">
        <f>3917236-54161</f>
        <v>3863075</v>
      </c>
      <c r="W130" s="44">
        <f>+S130-'Stmt net assets'!O130-U130</f>
        <v>0</v>
      </c>
    </row>
    <row r="131" spans="1:23" s="65" customFormat="1" ht="12.75" customHeight="1">
      <c r="A131" s="35" t="s">
        <v>157</v>
      </c>
      <c r="B131" s="51"/>
      <c r="C131" s="35" t="s">
        <v>33</v>
      </c>
      <c r="D131" s="35"/>
      <c r="E131" s="48">
        <v>0</v>
      </c>
      <c r="F131" s="48"/>
      <c r="G131" s="48">
        <v>0</v>
      </c>
      <c r="H131" s="48"/>
      <c r="I131" s="48">
        <v>0</v>
      </c>
      <c r="J131" s="48"/>
      <c r="K131" s="48">
        <v>7773</v>
      </c>
      <c r="L131" s="48"/>
      <c r="M131" s="48">
        <v>0</v>
      </c>
      <c r="N131" s="48"/>
      <c r="O131" s="48">
        <v>83114</v>
      </c>
      <c r="P131" s="48"/>
      <c r="Q131" s="48">
        <v>572118</v>
      </c>
      <c r="R131" s="48"/>
      <c r="S131" s="48">
        <f t="shared" si="2"/>
        <v>663005</v>
      </c>
      <c r="T131" s="44"/>
      <c r="U131" s="48">
        <v>387240</v>
      </c>
      <c r="W131" s="44">
        <f>+S131-'Stmt net assets'!O131-U131</f>
        <v>0</v>
      </c>
    </row>
    <row r="132" spans="1:23" s="65" customFormat="1" ht="12.75" customHeight="1">
      <c r="A132" s="35" t="s">
        <v>158</v>
      </c>
      <c r="B132" s="51"/>
      <c r="C132" s="35" t="s">
        <v>159</v>
      </c>
      <c r="D132" s="35"/>
      <c r="E132" s="48">
        <v>8038889</v>
      </c>
      <c r="F132" s="48"/>
      <c r="G132" s="48">
        <v>0</v>
      </c>
      <c r="H132" s="48"/>
      <c r="I132" s="48">
        <v>0</v>
      </c>
      <c r="J132" s="48"/>
      <c r="K132" s="48">
        <v>0</v>
      </c>
      <c r="L132" s="48"/>
      <c r="M132" s="48">
        <v>33171</v>
      </c>
      <c r="N132" s="48"/>
      <c r="O132" s="48">
        <v>723732</v>
      </c>
      <c r="P132" s="48"/>
      <c r="Q132" s="48">
        <v>0</v>
      </c>
      <c r="R132" s="48"/>
      <c r="S132" s="48">
        <f t="shared" si="2"/>
        <v>8795792</v>
      </c>
      <c r="T132" s="44"/>
      <c r="U132" s="48">
        <v>992142</v>
      </c>
      <c r="W132" s="44">
        <f>+S132-'Stmt net assets'!O132-U132</f>
        <v>0</v>
      </c>
    </row>
    <row r="133" spans="1:23" s="65" customFormat="1" ht="12.75" customHeight="1">
      <c r="A133" s="35"/>
      <c r="B133" s="51"/>
      <c r="C133" s="35"/>
      <c r="D133" s="35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4"/>
      <c r="U133" s="48" t="s">
        <v>485</v>
      </c>
      <c r="W133" s="44"/>
    </row>
    <row r="134" spans="1:23" s="66" customFormat="1" ht="12.75" customHeight="1">
      <c r="A134" s="64" t="s">
        <v>160</v>
      </c>
      <c r="C134" s="64" t="s">
        <v>111</v>
      </c>
      <c r="D134" s="64"/>
      <c r="E134" s="68">
        <v>18915000</v>
      </c>
      <c r="F134" s="68"/>
      <c r="G134" s="68">
        <v>358000</v>
      </c>
      <c r="H134" s="68"/>
      <c r="I134" s="68">
        <v>0</v>
      </c>
      <c r="J134" s="68"/>
      <c r="K134" s="68">
        <v>0</v>
      </c>
      <c r="L134" s="68"/>
      <c r="M134" s="68">
        <v>20335000</v>
      </c>
      <c r="N134" s="68"/>
      <c r="O134" s="68">
        <v>973957</v>
      </c>
      <c r="P134" s="68"/>
      <c r="Q134" s="68">
        <v>0</v>
      </c>
      <c r="R134" s="68"/>
      <c r="S134" s="68">
        <f t="shared" si="2"/>
        <v>40581957</v>
      </c>
      <c r="T134" s="46"/>
      <c r="U134" s="68">
        <v>1628633</v>
      </c>
      <c r="W134" s="46">
        <f>+S134-'Stmt net assets'!O134-U134</f>
        <v>0</v>
      </c>
    </row>
    <row r="135" spans="1:23" s="65" customFormat="1" ht="12.75" customHeight="1">
      <c r="A135" s="35" t="s">
        <v>161</v>
      </c>
      <c r="C135" s="35" t="s">
        <v>15</v>
      </c>
      <c r="D135" s="35"/>
      <c r="E135" s="48">
        <v>19019544</v>
      </c>
      <c r="F135" s="48"/>
      <c r="G135" s="48">
        <v>0</v>
      </c>
      <c r="H135" s="48"/>
      <c r="I135" s="48">
        <v>0</v>
      </c>
      <c r="J135" s="48"/>
      <c r="K135" s="48">
        <v>2376762</v>
      </c>
      <c r="L135" s="48"/>
      <c r="M135" s="48">
        <v>321947</v>
      </c>
      <c r="N135" s="48"/>
      <c r="O135" s="48">
        <v>2152703</v>
      </c>
      <c r="P135" s="48"/>
      <c r="Q135" s="48">
        <v>1568173</v>
      </c>
      <c r="R135" s="48"/>
      <c r="S135" s="48">
        <f t="shared" si="2"/>
        <v>25439129</v>
      </c>
      <c r="T135" s="44"/>
      <c r="U135" s="48">
        <v>1110747</v>
      </c>
      <c r="W135" s="44">
        <f>+S135-'Stmt net assets'!O135-U135</f>
        <v>0</v>
      </c>
    </row>
    <row r="136" spans="1:23" s="65" customFormat="1" ht="12.75" customHeight="1">
      <c r="A136" s="35" t="s">
        <v>162</v>
      </c>
      <c r="B136" s="51"/>
      <c r="C136" s="35" t="s">
        <v>163</v>
      </c>
      <c r="D136" s="35"/>
      <c r="E136" s="48">
        <v>18875000</v>
      </c>
      <c r="F136" s="48"/>
      <c r="G136" s="48">
        <v>133800</v>
      </c>
      <c r="H136" s="48"/>
      <c r="I136" s="48">
        <v>0</v>
      </c>
      <c r="J136" s="48"/>
      <c r="K136" s="48">
        <v>367349</v>
      </c>
      <c r="L136" s="48"/>
      <c r="M136" s="48">
        <v>0</v>
      </c>
      <c r="N136" s="48"/>
      <c r="O136" s="48">
        <v>2306317</v>
      </c>
      <c r="P136" s="48"/>
      <c r="Q136" s="48">
        <v>56724</v>
      </c>
      <c r="R136" s="48"/>
      <c r="S136" s="48">
        <f t="shared" si="2"/>
        <v>21739190</v>
      </c>
      <c r="T136" s="44"/>
      <c r="U136" s="48">
        <v>1780926</v>
      </c>
      <c r="W136" s="44">
        <f>+S136-'Stmt net assets'!O136-U136</f>
        <v>0</v>
      </c>
    </row>
    <row r="137" spans="1:23" s="65" customFormat="1" ht="12.75" customHeight="1">
      <c r="A137" s="35" t="s">
        <v>164</v>
      </c>
      <c r="C137" s="35" t="s">
        <v>27</v>
      </c>
      <c r="D137" s="35"/>
      <c r="E137" s="48">
        <v>0</v>
      </c>
      <c r="F137" s="48"/>
      <c r="G137" s="48">
        <v>0</v>
      </c>
      <c r="H137" s="48"/>
      <c r="I137" s="48">
        <v>7000000</v>
      </c>
      <c r="J137" s="48"/>
      <c r="K137" s="48">
        <v>1574987</v>
      </c>
      <c r="L137" s="48"/>
      <c r="M137" s="48">
        <v>0</v>
      </c>
      <c r="N137" s="48"/>
      <c r="O137" s="48">
        <v>2353358</v>
      </c>
      <c r="P137" s="48"/>
      <c r="Q137" s="48">
        <v>10000</v>
      </c>
      <c r="R137" s="48"/>
      <c r="S137" s="48">
        <f t="shared" si="2"/>
        <v>10938345</v>
      </c>
      <c r="T137" s="44"/>
      <c r="U137" s="48">
        <v>1701199</v>
      </c>
      <c r="W137" s="44">
        <f>+S137-'Stmt net assets'!O137-U137</f>
        <v>0</v>
      </c>
    </row>
    <row r="138" spans="1:23" s="65" customFormat="1" ht="12.75" customHeight="1">
      <c r="A138" s="35" t="s">
        <v>53</v>
      </c>
      <c r="B138" s="51"/>
      <c r="C138" s="35" t="s">
        <v>53</v>
      </c>
      <c r="D138" s="35"/>
      <c r="E138" s="48">
        <v>725000</v>
      </c>
      <c r="F138" s="48"/>
      <c r="G138" s="48">
        <v>1478712</v>
      </c>
      <c r="H138" s="48"/>
      <c r="I138" s="48">
        <v>0</v>
      </c>
      <c r="J138" s="48"/>
      <c r="K138" s="48">
        <v>156412</v>
      </c>
      <c r="L138" s="48"/>
      <c r="M138" s="48">
        <v>0</v>
      </c>
      <c r="N138" s="48"/>
      <c r="O138" s="48">
        <v>469860</v>
      </c>
      <c r="P138" s="48"/>
      <c r="Q138" s="48">
        <v>0</v>
      </c>
      <c r="R138" s="48"/>
      <c r="S138" s="48">
        <f t="shared" si="2"/>
        <v>2829984</v>
      </c>
      <c r="T138" s="44"/>
      <c r="U138" s="48">
        <v>469875</v>
      </c>
      <c r="W138" s="44">
        <f>+S138-'Stmt net assets'!O138-U138</f>
        <v>0</v>
      </c>
    </row>
    <row r="139" spans="1:23" s="65" customFormat="1" ht="12.75" customHeight="1">
      <c r="A139" s="35" t="s">
        <v>165</v>
      </c>
      <c r="B139" s="51"/>
      <c r="C139" s="35" t="s">
        <v>92</v>
      </c>
      <c r="D139" s="35"/>
      <c r="E139" s="48">
        <v>19244376</v>
      </c>
      <c r="F139" s="48"/>
      <c r="G139" s="48">
        <v>5560624</v>
      </c>
      <c r="H139" s="48"/>
      <c r="I139" s="48">
        <v>0</v>
      </c>
      <c r="J139" s="48"/>
      <c r="K139" s="48">
        <v>0</v>
      </c>
      <c r="L139" s="48"/>
      <c r="M139" s="48">
        <v>0</v>
      </c>
      <c r="N139" s="48"/>
      <c r="O139" s="48">
        <v>2859942</v>
      </c>
      <c r="P139" s="48"/>
      <c r="Q139" s="48">
        <v>8385122</v>
      </c>
      <c r="R139" s="48"/>
      <c r="S139" s="48">
        <f t="shared" si="2"/>
        <v>36050064</v>
      </c>
      <c r="T139" s="44"/>
      <c r="U139" s="48">
        <v>11038280</v>
      </c>
      <c r="W139" s="44">
        <f>+S139-'Stmt net assets'!O139-U139</f>
        <v>0</v>
      </c>
    </row>
    <row r="140" spans="1:23" s="65" customFormat="1" ht="12.75" customHeight="1">
      <c r="A140" s="35" t="s">
        <v>166</v>
      </c>
      <c r="B140" s="51"/>
      <c r="C140" s="35" t="s">
        <v>92</v>
      </c>
      <c r="D140" s="35"/>
      <c r="E140" s="48">
        <v>0</v>
      </c>
      <c r="F140" s="48"/>
      <c r="G140" s="48">
        <v>0</v>
      </c>
      <c r="H140" s="48"/>
      <c r="I140" s="48">
        <v>0</v>
      </c>
      <c r="J140" s="48"/>
      <c r="K140" s="48">
        <v>0</v>
      </c>
      <c r="L140" s="48"/>
      <c r="M140" s="48">
        <v>4612</v>
      </c>
      <c r="N140" s="48"/>
      <c r="O140" s="48">
        <v>319399</v>
      </c>
      <c r="P140" s="48"/>
      <c r="Q140" s="48">
        <v>352474</v>
      </c>
      <c r="R140" s="48"/>
      <c r="S140" s="48">
        <f t="shared" si="2"/>
        <v>676485</v>
      </c>
      <c r="T140" s="44"/>
      <c r="U140" s="48">
        <v>165163</v>
      </c>
      <c r="W140" s="44">
        <f>+S140-'Stmt net assets'!O140-U140</f>
        <v>0</v>
      </c>
    </row>
    <row r="141" spans="1:23" s="65" customFormat="1" ht="12.75" customHeight="1">
      <c r="A141" s="35" t="s">
        <v>167</v>
      </c>
      <c r="B141" s="51"/>
      <c r="C141" s="35" t="s">
        <v>66</v>
      </c>
      <c r="D141" s="35"/>
      <c r="E141" s="48">
        <v>3530752</v>
      </c>
      <c r="F141" s="48"/>
      <c r="G141" s="48">
        <v>0</v>
      </c>
      <c r="H141" s="48"/>
      <c r="I141" s="48">
        <v>0</v>
      </c>
      <c r="J141" s="48"/>
      <c r="K141" s="48">
        <v>0</v>
      </c>
      <c r="L141" s="48"/>
      <c r="M141" s="48">
        <v>0</v>
      </c>
      <c r="N141" s="48"/>
      <c r="O141" s="48">
        <v>1518502</v>
      </c>
      <c r="P141" s="48"/>
      <c r="Q141" s="48">
        <v>245931</v>
      </c>
      <c r="R141" s="48"/>
      <c r="S141" s="48">
        <f t="shared" si="2"/>
        <v>5295185</v>
      </c>
      <c r="T141" s="44"/>
      <c r="U141" s="48">
        <v>567692</v>
      </c>
      <c r="W141" s="44">
        <f>+S141-'Stmt net assets'!O141-U141</f>
        <v>0</v>
      </c>
    </row>
    <row r="142" spans="1:23" s="65" customFormat="1" ht="12.75" customHeight="1">
      <c r="A142" s="44" t="s">
        <v>168</v>
      </c>
      <c r="B142" s="66"/>
      <c r="C142" s="64" t="s">
        <v>27</v>
      </c>
      <c r="D142" s="64"/>
      <c r="E142" s="48">
        <v>14681884</v>
      </c>
      <c r="F142" s="48"/>
      <c r="G142" s="48">
        <v>1509480</v>
      </c>
      <c r="H142" s="48"/>
      <c r="I142" s="48">
        <v>0</v>
      </c>
      <c r="J142" s="48"/>
      <c r="K142" s="48">
        <v>0</v>
      </c>
      <c r="L142" s="48"/>
      <c r="M142" s="48">
        <v>69160</v>
      </c>
      <c r="N142" s="48"/>
      <c r="O142" s="48">
        <v>2677834</v>
      </c>
      <c r="P142" s="48"/>
      <c r="Q142" s="48">
        <v>0</v>
      </c>
      <c r="R142" s="48"/>
      <c r="S142" s="48">
        <f t="shared" si="2"/>
        <v>18938358</v>
      </c>
      <c r="T142" s="44"/>
      <c r="U142" s="48">
        <v>3569687</v>
      </c>
      <c r="W142" s="44">
        <f>+S142-'Stmt net assets'!O142-U142</f>
        <v>0</v>
      </c>
    </row>
    <row r="143" spans="1:23" s="65" customFormat="1" ht="12.75" customHeight="1">
      <c r="A143" s="35" t="s">
        <v>169</v>
      </c>
      <c r="B143" s="51"/>
      <c r="C143" s="35" t="s">
        <v>103</v>
      </c>
      <c r="D143" s="35"/>
      <c r="E143" s="48">
        <v>22215000</v>
      </c>
      <c r="F143" s="48"/>
      <c r="G143" s="48">
        <v>3099442</v>
      </c>
      <c r="H143" s="48"/>
      <c r="I143" s="48">
        <v>0</v>
      </c>
      <c r="J143" s="48"/>
      <c r="K143" s="48">
        <v>0</v>
      </c>
      <c r="L143" s="48"/>
      <c r="M143" s="48">
        <v>0</v>
      </c>
      <c r="N143" s="48"/>
      <c r="O143" s="48">
        <v>4375147</v>
      </c>
      <c r="P143" s="48"/>
      <c r="Q143" s="48">
        <v>2554565</v>
      </c>
      <c r="R143" s="48"/>
      <c r="S143" s="48">
        <f t="shared" si="2"/>
        <v>32244154</v>
      </c>
      <c r="T143" s="44"/>
      <c r="U143" s="48">
        <v>3237775</v>
      </c>
      <c r="W143" s="44">
        <f>+S143-'Stmt net assets'!O143-U143</f>
        <v>0</v>
      </c>
    </row>
    <row r="144" spans="1:23" s="65" customFormat="1" ht="12.75" customHeight="1">
      <c r="A144" s="35" t="s">
        <v>170</v>
      </c>
      <c r="B144" s="51"/>
      <c r="C144" s="35" t="s">
        <v>171</v>
      </c>
      <c r="D144" s="35"/>
      <c r="E144" s="48">
        <v>3655000</v>
      </c>
      <c r="F144" s="48"/>
      <c r="G144" s="48">
        <v>0</v>
      </c>
      <c r="H144" s="48"/>
      <c r="I144" s="48">
        <v>0</v>
      </c>
      <c r="J144" s="48"/>
      <c r="K144" s="48">
        <v>0</v>
      </c>
      <c r="L144" s="48"/>
      <c r="M144" s="48">
        <v>0</v>
      </c>
      <c r="N144" s="48"/>
      <c r="O144" s="48">
        <v>165075</v>
      </c>
      <c r="P144" s="48"/>
      <c r="Q144" s="48">
        <v>51120</v>
      </c>
      <c r="R144" s="48"/>
      <c r="S144" s="48">
        <f t="shared" si="2"/>
        <v>3871195</v>
      </c>
      <c r="T144" s="44"/>
      <c r="U144" s="48">
        <v>308242</v>
      </c>
      <c r="W144" s="44">
        <f>+S144-'Stmt net assets'!O144-U144</f>
        <v>0</v>
      </c>
    </row>
    <row r="145" spans="1:23" s="65" customFormat="1" ht="12.75" customHeight="1">
      <c r="A145" s="35" t="s">
        <v>172</v>
      </c>
      <c r="B145" s="51"/>
      <c r="C145" s="35" t="s">
        <v>103</v>
      </c>
      <c r="D145" s="35"/>
      <c r="E145" s="48">
        <v>8387607</v>
      </c>
      <c r="F145" s="48"/>
      <c r="G145" s="48">
        <v>928900</v>
      </c>
      <c r="H145" s="48"/>
      <c r="I145" s="48">
        <v>0</v>
      </c>
      <c r="J145" s="48"/>
      <c r="K145" s="48">
        <v>0</v>
      </c>
      <c r="L145" s="48"/>
      <c r="M145" s="48">
        <v>539205</v>
      </c>
      <c r="N145" s="48"/>
      <c r="O145" s="48">
        <v>91684</v>
      </c>
      <c r="P145" s="48"/>
      <c r="Q145" s="48">
        <v>0</v>
      </c>
      <c r="R145" s="48"/>
      <c r="S145" s="48">
        <f t="shared" si="2"/>
        <v>9947396</v>
      </c>
      <c r="T145" s="44"/>
      <c r="U145" s="48">
        <v>645763</v>
      </c>
      <c r="W145" s="44">
        <f>+S145-'Stmt net assets'!O145-U145</f>
        <v>0</v>
      </c>
    </row>
    <row r="146" spans="1:23" s="65" customFormat="1" ht="12.75" customHeight="1">
      <c r="A146" s="35" t="s">
        <v>66</v>
      </c>
      <c r="B146" s="51"/>
      <c r="C146" s="35" t="s">
        <v>45</v>
      </c>
      <c r="D146" s="35"/>
      <c r="E146" s="48">
        <v>7638416</v>
      </c>
      <c r="F146" s="48"/>
      <c r="G146" s="48">
        <v>153580</v>
      </c>
      <c r="H146" s="48"/>
      <c r="I146" s="48">
        <v>0</v>
      </c>
      <c r="J146" s="48"/>
      <c r="K146" s="48">
        <v>0</v>
      </c>
      <c r="L146" s="48"/>
      <c r="M146" s="48">
        <v>0</v>
      </c>
      <c r="N146" s="48"/>
      <c r="O146" s="48">
        <v>683178</v>
      </c>
      <c r="P146" s="48"/>
      <c r="Q146" s="48">
        <v>0</v>
      </c>
      <c r="R146" s="48"/>
      <c r="S146" s="48">
        <f t="shared" si="2"/>
        <v>8475174</v>
      </c>
      <c r="T146" s="44"/>
      <c r="U146" s="48">
        <v>1107300</v>
      </c>
      <c r="W146" s="44">
        <f>+S146-'Stmt net assets'!O146-U146</f>
        <v>0</v>
      </c>
    </row>
    <row r="147" spans="1:23" s="65" customFormat="1" ht="12.75" customHeight="1">
      <c r="A147" s="35" t="s">
        <v>173</v>
      </c>
      <c r="B147" s="51"/>
      <c r="C147" s="35" t="s">
        <v>66</v>
      </c>
      <c r="D147" s="35"/>
      <c r="E147" s="48">
        <v>0</v>
      </c>
      <c r="F147" s="48"/>
      <c r="G147" s="48">
        <v>0</v>
      </c>
      <c r="H147" s="48"/>
      <c r="I147" s="48">
        <v>5275540</v>
      </c>
      <c r="J147" s="48"/>
      <c r="K147" s="48">
        <v>0</v>
      </c>
      <c r="L147" s="48"/>
      <c r="M147" s="48">
        <v>0</v>
      </c>
      <c r="N147" s="48"/>
      <c r="O147" s="48">
        <v>2529130</v>
      </c>
      <c r="P147" s="48"/>
      <c r="Q147" s="48">
        <v>0</v>
      </c>
      <c r="R147" s="48"/>
      <c r="S147" s="48">
        <f t="shared" ref="S147:S213" si="3">SUM(E147:Q147)</f>
        <v>7804670</v>
      </c>
      <c r="T147" s="44"/>
      <c r="U147" s="48">
        <v>5388987</v>
      </c>
      <c r="W147" s="44">
        <f>+S147-'Stmt net assets'!O147-U147</f>
        <v>0</v>
      </c>
    </row>
    <row r="148" spans="1:23" s="65" customFormat="1" ht="12.75" customHeight="1">
      <c r="A148" s="35" t="s">
        <v>174</v>
      </c>
      <c r="B148" s="51"/>
      <c r="C148" s="35" t="s">
        <v>45</v>
      </c>
      <c r="D148" s="35"/>
      <c r="E148" s="48">
        <v>1389922</v>
      </c>
      <c r="F148" s="48"/>
      <c r="G148" s="48">
        <v>0</v>
      </c>
      <c r="H148" s="48"/>
      <c r="I148" s="48">
        <v>0</v>
      </c>
      <c r="J148" s="48"/>
      <c r="K148" s="48">
        <v>0</v>
      </c>
      <c r="L148" s="48"/>
      <c r="M148" s="48">
        <v>0</v>
      </c>
      <c r="N148" s="48"/>
      <c r="O148" s="48">
        <v>160749</v>
      </c>
      <c r="P148" s="48"/>
      <c r="Q148" s="48">
        <f>209838-160749</f>
        <v>49089</v>
      </c>
      <c r="R148" s="48"/>
      <c r="S148" s="48">
        <f t="shared" si="3"/>
        <v>1599760</v>
      </c>
      <c r="T148" s="44"/>
      <c r="U148" s="48">
        <v>269711</v>
      </c>
      <c r="W148" s="44">
        <f>+S148-'Stmt net assets'!O148-U148</f>
        <v>0</v>
      </c>
    </row>
    <row r="149" spans="1:23" s="65" customFormat="1" ht="12.75" customHeight="1">
      <c r="A149" s="35" t="s">
        <v>175</v>
      </c>
      <c r="B149" s="51"/>
      <c r="C149" s="35" t="s">
        <v>176</v>
      </c>
      <c r="D149" s="35"/>
      <c r="E149" s="48">
        <v>5715065</v>
      </c>
      <c r="F149" s="48"/>
      <c r="G149" s="48">
        <v>0</v>
      </c>
      <c r="H149" s="48"/>
      <c r="I149" s="48">
        <v>0</v>
      </c>
      <c r="J149" s="48"/>
      <c r="K149" s="48">
        <v>350625</v>
      </c>
      <c r="L149" s="48"/>
      <c r="M149" s="48">
        <v>0</v>
      </c>
      <c r="N149" s="48"/>
      <c r="O149" s="48">
        <v>842421</v>
      </c>
      <c r="P149" s="48"/>
      <c r="Q149" s="48">
        <v>449153</v>
      </c>
      <c r="R149" s="48"/>
      <c r="S149" s="48">
        <f>SUM(E149:Q149)</f>
        <v>7357264</v>
      </c>
      <c r="T149" s="44"/>
      <c r="U149" s="48">
        <v>533580</v>
      </c>
      <c r="W149" s="44">
        <f>+S149-'Stmt net assets'!O149-U149</f>
        <v>0</v>
      </c>
    </row>
    <row r="150" spans="1:23" s="65" customFormat="1" ht="12.75" customHeight="1">
      <c r="A150" s="35" t="s">
        <v>177</v>
      </c>
      <c r="B150" s="51"/>
      <c r="C150" s="35" t="s">
        <v>13</v>
      </c>
      <c r="D150" s="35"/>
      <c r="E150" s="48">
        <v>1151190</v>
      </c>
      <c r="F150" s="48"/>
      <c r="G150" s="48">
        <v>0</v>
      </c>
      <c r="H150" s="48"/>
      <c r="I150" s="48">
        <v>0</v>
      </c>
      <c r="J150" s="48"/>
      <c r="K150" s="48">
        <v>0</v>
      </c>
      <c r="L150" s="48"/>
      <c r="M150" s="48">
        <v>289953</v>
      </c>
      <c r="N150" s="48"/>
      <c r="O150" s="48">
        <v>142993</v>
      </c>
      <c r="P150" s="48"/>
      <c r="Q150" s="48">
        <v>0</v>
      </c>
      <c r="R150" s="48"/>
      <c r="S150" s="48">
        <f t="shared" si="3"/>
        <v>1584136</v>
      </c>
      <c r="T150" s="44"/>
      <c r="U150" s="48">
        <v>295815</v>
      </c>
      <c r="W150" s="44">
        <f>+S150-'Stmt net assets'!O150-U150</f>
        <v>0</v>
      </c>
    </row>
    <row r="151" spans="1:23" s="66" customFormat="1" ht="12.75" customHeight="1">
      <c r="A151" s="35" t="s">
        <v>178</v>
      </c>
      <c r="B151" s="51"/>
      <c r="C151" s="35" t="s">
        <v>179</v>
      </c>
      <c r="D151" s="35"/>
      <c r="E151" s="48">
        <v>630000</v>
      </c>
      <c r="F151" s="48"/>
      <c r="G151" s="48">
        <v>533553</v>
      </c>
      <c r="H151" s="48"/>
      <c r="I151" s="48">
        <v>0</v>
      </c>
      <c r="J151" s="48"/>
      <c r="K151" s="48">
        <v>123512</v>
      </c>
      <c r="L151" s="48"/>
      <c r="M151" s="48">
        <v>0</v>
      </c>
      <c r="N151" s="48"/>
      <c r="O151" s="48">
        <v>594556</v>
      </c>
      <c r="P151" s="48"/>
      <c r="Q151" s="48">
        <v>0</v>
      </c>
      <c r="R151" s="48"/>
      <c r="S151" s="48">
        <f t="shared" si="3"/>
        <v>1881621</v>
      </c>
      <c r="T151" s="44"/>
      <c r="U151" s="48">
        <v>358951</v>
      </c>
      <c r="V151" s="65"/>
      <c r="W151" s="44">
        <f>+S151-'Stmt net assets'!O151-U151</f>
        <v>0</v>
      </c>
    </row>
    <row r="152" spans="1:23" s="141" customFormat="1" ht="12.75" hidden="1" customHeight="1">
      <c r="A152" s="142" t="s">
        <v>180</v>
      </c>
      <c r="B152" s="140"/>
      <c r="C152" s="142" t="s">
        <v>20</v>
      </c>
      <c r="D152" s="142"/>
      <c r="E152" s="148">
        <v>0</v>
      </c>
      <c r="F152" s="148"/>
      <c r="G152" s="148">
        <v>0</v>
      </c>
      <c r="H152" s="148"/>
      <c r="I152" s="148">
        <v>0</v>
      </c>
      <c r="J152" s="148"/>
      <c r="K152" s="148">
        <v>0</v>
      </c>
      <c r="L152" s="148"/>
      <c r="M152" s="148">
        <v>0</v>
      </c>
      <c r="N152" s="148"/>
      <c r="O152" s="148">
        <v>0</v>
      </c>
      <c r="P152" s="148"/>
      <c r="Q152" s="148">
        <v>0</v>
      </c>
      <c r="R152" s="148"/>
      <c r="S152" s="148">
        <f t="shared" si="3"/>
        <v>0</v>
      </c>
      <c r="T152" s="137"/>
      <c r="U152" s="148">
        <v>0</v>
      </c>
      <c r="W152" s="137">
        <f>+S152-'Stmt net assets'!O152-U152</f>
        <v>0</v>
      </c>
    </row>
    <row r="153" spans="1:23" s="65" customFormat="1" ht="12.75" customHeight="1">
      <c r="A153" s="35" t="s">
        <v>182</v>
      </c>
      <c r="C153" s="35" t="s">
        <v>183</v>
      </c>
      <c r="D153" s="35"/>
      <c r="E153" s="48">
        <v>0</v>
      </c>
      <c r="F153" s="48"/>
      <c r="G153" s="48">
        <v>0</v>
      </c>
      <c r="H153" s="48"/>
      <c r="I153" s="48">
        <v>0</v>
      </c>
      <c r="J153" s="48"/>
      <c r="K153" s="48">
        <v>0</v>
      </c>
      <c r="L153" s="48"/>
      <c r="M153" s="48">
        <v>0</v>
      </c>
      <c r="N153" s="48"/>
      <c r="O153" s="48">
        <v>51433</v>
      </c>
      <c r="P153" s="48"/>
      <c r="Q153" s="48">
        <v>1573729</v>
      </c>
      <c r="R153" s="48"/>
      <c r="S153" s="48">
        <f t="shared" si="3"/>
        <v>1625162</v>
      </c>
      <c r="T153" s="44"/>
      <c r="U153" s="48">
        <v>115319</v>
      </c>
      <c r="W153" s="44">
        <f>+S153-'Stmt net assets'!O153-U153</f>
        <v>0</v>
      </c>
    </row>
    <row r="154" spans="1:23" s="65" customFormat="1" ht="12.75" customHeight="1">
      <c r="A154" s="35" t="s">
        <v>491</v>
      </c>
      <c r="B154" s="51"/>
      <c r="C154" s="35" t="s">
        <v>13</v>
      </c>
      <c r="D154" s="35"/>
      <c r="E154" s="48">
        <v>0</v>
      </c>
      <c r="F154" s="48"/>
      <c r="G154" s="48">
        <v>0</v>
      </c>
      <c r="H154" s="48"/>
      <c r="I154" s="48">
        <v>0</v>
      </c>
      <c r="J154" s="48"/>
      <c r="K154" s="48">
        <v>0</v>
      </c>
      <c r="L154" s="48"/>
      <c r="M154" s="48">
        <v>122007</v>
      </c>
      <c r="N154" s="48"/>
      <c r="O154" s="48">
        <v>574140</v>
      </c>
      <c r="P154" s="48"/>
      <c r="Q154" s="48">
        <v>0</v>
      </c>
      <c r="R154" s="48"/>
      <c r="S154" s="48">
        <f>SUM(E154:Q154)</f>
        <v>696147</v>
      </c>
      <c r="T154" s="44"/>
      <c r="U154" s="48">
        <v>119296</v>
      </c>
      <c r="W154" s="44">
        <f>+S154-'Stmt net assets'!O154-U154</f>
        <v>0</v>
      </c>
    </row>
    <row r="155" spans="1:23" s="65" customFormat="1" ht="12.75" customHeight="1">
      <c r="A155" s="35" t="s">
        <v>184</v>
      </c>
      <c r="B155" s="51"/>
      <c r="C155" s="35" t="s">
        <v>89</v>
      </c>
      <c r="D155" s="35"/>
      <c r="E155" s="48">
        <v>2495822</v>
      </c>
      <c r="F155" s="48"/>
      <c r="G155" s="48">
        <v>54178</v>
      </c>
      <c r="H155" s="48"/>
      <c r="I155" s="48">
        <v>0</v>
      </c>
      <c r="J155" s="48"/>
      <c r="K155" s="48">
        <v>0</v>
      </c>
      <c r="L155" s="48"/>
      <c r="M155" s="48">
        <v>0</v>
      </c>
      <c r="N155" s="48"/>
      <c r="O155" s="48">
        <v>882325</v>
      </c>
      <c r="P155" s="48"/>
      <c r="Q155" s="48">
        <v>0</v>
      </c>
      <c r="R155" s="48"/>
      <c r="S155" s="48">
        <f t="shared" si="3"/>
        <v>3432325</v>
      </c>
      <c r="T155" s="44"/>
      <c r="U155" s="48">
        <v>723964</v>
      </c>
      <c r="W155" s="44">
        <f>+S155-'Stmt net assets'!O155-U155</f>
        <v>0</v>
      </c>
    </row>
    <row r="156" spans="1:23" s="65" customFormat="1" ht="12.75" customHeight="1">
      <c r="A156" s="35" t="s">
        <v>181</v>
      </c>
      <c r="B156" s="51"/>
      <c r="C156" s="35" t="s">
        <v>125</v>
      </c>
      <c r="D156" s="35"/>
      <c r="E156" s="48">
        <v>14115868</v>
      </c>
      <c r="F156" s="48"/>
      <c r="G156" s="48">
        <v>0</v>
      </c>
      <c r="H156" s="48"/>
      <c r="I156" s="48">
        <v>0</v>
      </c>
      <c r="J156" s="48"/>
      <c r="K156" s="48">
        <v>0</v>
      </c>
      <c r="L156" s="48"/>
      <c r="M156" s="48">
        <v>3255703</v>
      </c>
      <c r="N156" s="48"/>
      <c r="O156" s="48">
        <v>3333491</v>
      </c>
      <c r="P156" s="48"/>
      <c r="Q156" s="48">
        <v>2014158</v>
      </c>
      <c r="R156" s="48"/>
      <c r="S156" s="48">
        <f t="shared" si="3"/>
        <v>22719220</v>
      </c>
      <c r="T156" s="44"/>
      <c r="U156" s="48">
        <v>3293088</v>
      </c>
      <c r="W156" s="44">
        <f>+S156-'Stmt net assets'!O156-U156</f>
        <v>0</v>
      </c>
    </row>
    <row r="157" spans="1:23" s="65" customFormat="1" ht="12.75" customHeight="1">
      <c r="A157" s="35" t="s">
        <v>185</v>
      </c>
      <c r="B157" s="51"/>
      <c r="C157" s="35" t="s">
        <v>80</v>
      </c>
      <c r="D157" s="35"/>
      <c r="E157" s="48">
        <v>0</v>
      </c>
      <c r="F157" s="48"/>
      <c r="G157" s="48">
        <v>0</v>
      </c>
      <c r="H157" s="48"/>
      <c r="I157" s="48">
        <v>0</v>
      </c>
      <c r="J157" s="48"/>
      <c r="K157" s="48">
        <v>0</v>
      </c>
      <c r="L157" s="48"/>
      <c r="M157" s="48">
        <v>0</v>
      </c>
      <c r="N157" s="48"/>
      <c r="O157" s="48">
        <v>977379</v>
      </c>
      <c r="P157" s="48"/>
      <c r="Q157" s="48">
        <v>419494</v>
      </c>
      <c r="R157" s="48"/>
      <c r="S157" s="48">
        <f t="shared" si="3"/>
        <v>1396873</v>
      </c>
      <c r="T157" s="44"/>
      <c r="U157" s="48">
        <v>102442</v>
      </c>
      <c r="W157" s="44">
        <f>+S157-'Stmt net assets'!O157-U157</f>
        <v>0</v>
      </c>
    </row>
    <row r="158" spans="1:23" s="65" customFormat="1" ht="12.75" customHeight="1">
      <c r="A158" s="35" t="s">
        <v>186</v>
      </c>
      <c r="B158" s="51"/>
      <c r="C158" s="35" t="s">
        <v>15</v>
      </c>
      <c r="D158" s="35"/>
      <c r="E158" s="48">
        <v>0</v>
      </c>
      <c r="F158" s="48"/>
      <c r="G158" s="48">
        <v>0</v>
      </c>
      <c r="H158" s="48"/>
      <c r="I158" s="48">
        <v>900000</v>
      </c>
      <c r="J158" s="48"/>
      <c r="K158" s="48">
        <v>0</v>
      </c>
      <c r="L158" s="48"/>
      <c r="M158" s="48">
        <v>934433</v>
      </c>
      <c r="N158" s="48"/>
      <c r="O158" s="48">
        <v>1807389</v>
      </c>
      <c r="P158" s="48"/>
      <c r="Q158" s="48">
        <v>0</v>
      </c>
      <c r="R158" s="48"/>
      <c r="S158" s="48">
        <f t="shared" si="3"/>
        <v>3641822</v>
      </c>
      <c r="T158" s="44"/>
      <c r="U158" s="48">
        <v>412312</v>
      </c>
      <c r="W158" s="44">
        <f>+S158-'Stmt net assets'!O158-U158</f>
        <v>0</v>
      </c>
    </row>
    <row r="159" spans="1:23" s="65" customFormat="1" ht="12.75" customHeight="1">
      <c r="A159" s="35" t="s">
        <v>187</v>
      </c>
      <c r="C159" s="35" t="s">
        <v>27</v>
      </c>
      <c r="D159" s="35"/>
      <c r="E159" s="48">
        <v>39579073</v>
      </c>
      <c r="F159" s="48"/>
      <c r="G159" s="48">
        <v>250000</v>
      </c>
      <c r="H159" s="48"/>
      <c r="I159" s="48">
        <v>1560000</v>
      </c>
      <c r="J159" s="48"/>
      <c r="K159" s="48">
        <v>81675</v>
      </c>
      <c r="L159" s="48"/>
      <c r="M159" s="48">
        <v>42930</v>
      </c>
      <c r="N159" s="48"/>
      <c r="O159" s="48">
        <v>4787135</v>
      </c>
      <c r="P159" s="48"/>
      <c r="Q159" s="48">
        <v>315471</v>
      </c>
      <c r="R159" s="48"/>
      <c r="S159" s="48">
        <f t="shared" si="3"/>
        <v>46616284</v>
      </c>
      <c r="T159" s="44"/>
      <c r="U159" s="48">
        <v>6199094</v>
      </c>
      <c r="W159" s="44">
        <f>+S159-'Stmt net assets'!O159-U159</f>
        <v>0</v>
      </c>
    </row>
    <row r="160" spans="1:23" s="65" customFormat="1" ht="12.75" customHeight="1">
      <c r="A160" s="35" t="s">
        <v>189</v>
      </c>
      <c r="B160" s="51"/>
      <c r="C160" s="35" t="s">
        <v>17</v>
      </c>
      <c r="D160" s="35"/>
      <c r="E160" s="48">
        <v>3736000</v>
      </c>
      <c r="F160" s="48"/>
      <c r="G160" s="48">
        <v>214000</v>
      </c>
      <c r="H160" s="48"/>
      <c r="I160" s="48">
        <v>2630000</v>
      </c>
      <c r="J160" s="48"/>
      <c r="K160" s="48">
        <v>800847</v>
      </c>
      <c r="L160" s="48"/>
      <c r="M160" s="48">
        <v>0</v>
      </c>
      <c r="N160" s="48"/>
      <c r="O160" s="48">
        <v>3200500</v>
      </c>
      <c r="P160" s="48"/>
      <c r="Q160" s="48">
        <v>0</v>
      </c>
      <c r="R160" s="48"/>
      <c r="S160" s="48">
        <f t="shared" si="3"/>
        <v>10581347</v>
      </c>
      <c r="T160" s="44"/>
      <c r="U160" s="48">
        <v>4249577</v>
      </c>
      <c r="W160" s="44">
        <f>+S160-'Stmt net assets'!O160-U160</f>
        <v>0</v>
      </c>
    </row>
    <row r="161" spans="1:23" s="65" customFormat="1" ht="12.75" customHeight="1">
      <c r="A161" s="35" t="s">
        <v>188</v>
      </c>
      <c r="B161" s="51"/>
      <c r="C161" s="35" t="s">
        <v>27</v>
      </c>
      <c r="D161" s="35"/>
      <c r="E161" s="48">
        <v>5223142</v>
      </c>
      <c r="F161" s="48"/>
      <c r="G161" s="48">
        <v>1438963</v>
      </c>
      <c r="H161" s="48"/>
      <c r="I161" s="48">
        <v>11348000</v>
      </c>
      <c r="J161" s="48"/>
      <c r="K161" s="48">
        <v>0</v>
      </c>
      <c r="L161" s="48"/>
      <c r="M161" s="48">
        <v>334589</v>
      </c>
      <c r="N161" s="48"/>
      <c r="O161" s="48">
        <v>2771959</v>
      </c>
      <c r="P161" s="48"/>
      <c r="Q161" s="48">
        <v>597871</v>
      </c>
      <c r="R161" s="48"/>
      <c r="S161" s="48">
        <f t="shared" si="3"/>
        <v>21714524</v>
      </c>
      <c r="T161" s="44"/>
      <c r="U161" s="48">
        <v>13166629</v>
      </c>
      <c r="W161" s="44">
        <f>+S161-'Stmt net assets'!O161-U161</f>
        <v>0</v>
      </c>
    </row>
    <row r="162" spans="1:23" s="66" customFormat="1" ht="12.75" customHeight="1">
      <c r="A162" s="35" t="s">
        <v>190</v>
      </c>
      <c r="B162" s="51"/>
      <c r="C162" s="35" t="s">
        <v>47</v>
      </c>
      <c r="D162" s="35"/>
      <c r="E162" s="48">
        <v>2790000</v>
      </c>
      <c r="F162" s="48"/>
      <c r="G162" s="48">
        <v>0</v>
      </c>
      <c r="H162" s="48"/>
      <c r="I162" s="48">
        <v>0</v>
      </c>
      <c r="J162" s="48"/>
      <c r="K162" s="48">
        <v>1025690</v>
      </c>
      <c r="L162" s="48"/>
      <c r="M162" s="48">
        <v>0</v>
      </c>
      <c r="N162" s="48"/>
      <c r="O162" s="48">
        <v>351635</v>
      </c>
      <c r="P162" s="48"/>
      <c r="Q162" s="48">
        <v>0</v>
      </c>
      <c r="R162" s="48"/>
      <c r="S162" s="48">
        <f t="shared" si="3"/>
        <v>4167325</v>
      </c>
      <c r="T162" s="44"/>
      <c r="U162" s="48">
        <v>272833</v>
      </c>
      <c r="V162" s="65"/>
      <c r="W162" s="44">
        <f>+S162-'Stmt net assets'!O162-U162</f>
        <v>0</v>
      </c>
    </row>
    <row r="163" spans="1:23" s="65" customFormat="1" ht="12.75" customHeight="1">
      <c r="A163" s="35" t="s">
        <v>191</v>
      </c>
      <c r="B163" s="51"/>
      <c r="C163" s="35" t="s">
        <v>13</v>
      </c>
      <c r="D163" s="35"/>
      <c r="E163" s="48">
        <v>2829649</v>
      </c>
      <c r="F163" s="48"/>
      <c r="G163" s="48">
        <v>800351</v>
      </c>
      <c r="H163" s="48"/>
      <c r="I163" s="48">
        <v>0</v>
      </c>
      <c r="J163" s="48"/>
      <c r="K163" s="48">
        <v>0</v>
      </c>
      <c r="L163" s="48"/>
      <c r="M163" s="48">
        <v>12295</v>
      </c>
      <c r="N163" s="48"/>
      <c r="O163" s="48">
        <v>673637</v>
      </c>
      <c r="P163" s="48"/>
      <c r="Q163" s="48">
        <v>140000</v>
      </c>
      <c r="R163" s="48"/>
      <c r="S163" s="48">
        <f t="shared" si="3"/>
        <v>4455932</v>
      </c>
      <c r="T163" s="44"/>
      <c r="U163" s="48">
        <v>593180</v>
      </c>
      <c r="W163" s="44">
        <f>+S163-'Stmt net assets'!O163-U163</f>
        <v>0</v>
      </c>
    </row>
    <row r="164" spans="1:23" s="65" customFormat="1" ht="12.75" customHeight="1">
      <c r="A164" s="35" t="s">
        <v>192</v>
      </c>
      <c r="C164" s="35" t="s">
        <v>38</v>
      </c>
      <c r="D164" s="35"/>
      <c r="E164" s="48">
        <v>665477</v>
      </c>
      <c r="F164" s="48"/>
      <c r="G164" s="48">
        <v>0</v>
      </c>
      <c r="H164" s="48"/>
      <c r="I164" s="48">
        <v>0</v>
      </c>
      <c r="J164" s="48"/>
      <c r="K164" s="48">
        <v>414107</v>
      </c>
      <c r="L164" s="48"/>
      <c r="M164" s="48">
        <v>0</v>
      </c>
      <c r="N164" s="48"/>
      <c r="O164" s="48">
        <v>965870</v>
      </c>
      <c r="P164" s="48"/>
      <c r="Q164" s="48">
        <v>1379380</v>
      </c>
      <c r="R164" s="48"/>
      <c r="S164" s="48">
        <f>SUM(E164:Q164)</f>
        <v>3424834</v>
      </c>
      <c r="T164" s="44"/>
      <c r="U164" s="48">
        <v>500273</v>
      </c>
      <c r="W164" s="44">
        <f>+S164-'Stmt net assets'!O164-U164</f>
        <v>0</v>
      </c>
    </row>
    <row r="165" spans="1:23" s="141" customFormat="1" ht="12.75" hidden="1" customHeight="1">
      <c r="A165" s="142" t="s">
        <v>193</v>
      </c>
      <c r="B165" s="140"/>
      <c r="C165" s="142" t="s">
        <v>45</v>
      </c>
      <c r="D165" s="142"/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  <c r="O165" s="148"/>
      <c r="P165" s="148"/>
      <c r="Q165" s="148"/>
      <c r="R165" s="148"/>
      <c r="S165" s="148">
        <f t="shared" si="3"/>
        <v>0</v>
      </c>
      <c r="T165" s="137"/>
      <c r="U165" s="148"/>
      <c r="W165" s="137">
        <f>+S165-'Stmt net assets'!O165-U165</f>
        <v>0</v>
      </c>
    </row>
    <row r="166" spans="1:23" s="65" customFormat="1" ht="12.75" customHeight="1">
      <c r="A166" s="35" t="s">
        <v>194</v>
      </c>
      <c r="B166" s="51"/>
      <c r="C166" s="35" t="s">
        <v>66</v>
      </c>
      <c r="D166" s="35"/>
      <c r="E166" s="48">
        <v>0</v>
      </c>
      <c r="F166" s="48"/>
      <c r="G166" s="48">
        <v>0</v>
      </c>
      <c r="H166" s="48"/>
      <c r="I166" s="48">
        <v>0</v>
      </c>
      <c r="J166" s="48"/>
      <c r="K166" s="48">
        <v>0</v>
      </c>
      <c r="L166" s="48"/>
      <c r="M166" s="48">
        <v>0</v>
      </c>
      <c r="N166" s="48"/>
      <c r="O166" s="48">
        <v>636115</v>
      </c>
      <c r="P166" s="48"/>
      <c r="Q166" s="48">
        <v>579132</v>
      </c>
      <c r="R166" s="48"/>
      <c r="S166" s="48">
        <f t="shared" si="3"/>
        <v>1215247</v>
      </c>
      <c r="T166" s="44"/>
      <c r="U166" s="48">
        <v>108337</v>
      </c>
      <c r="W166" s="44">
        <f>+S166-'Stmt net assets'!O166-U166</f>
        <v>0</v>
      </c>
    </row>
    <row r="167" spans="1:23" s="65" customFormat="1" ht="12.75" customHeight="1">
      <c r="A167" s="64" t="s">
        <v>195</v>
      </c>
      <c r="B167" s="66"/>
      <c r="C167" s="64" t="s">
        <v>17</v>
      </c>
      <c r="D167" s="64"/>
      <c r="E167" s="48">
        <v>4820898</v>
      </c>
      <c r="F167" s="48"/>
      <c r="G167" s="48">
        <v>0</v>
      </c>
      <c r="H167" s="48"/>
      <c r="I167" s="48">
        <v>0</v>
      </c>
      <c r="J167" s="48"/>
      <c r="K167" s="48">
        <v>54538</v>
      </c>
      <c r="L167" s="48"/>
      <c r="M167" s="48">
        <v>43497</v>
      </c>
      <c r="N167" s="48"/>
      <c r="O167" s="48">
        <v>545878</v>
      </c>
      <c r="P167" s="48"/>
      <c r="Q167" s="48">
        <v>0</v>
      </c>
      <c r="R167" s="48"/>
      <c r="S167" s="48">
        <f t="shared" si="3"/>
        <v>5464811</v>
      </c>
      <c r="T167" s="44"/>
      <c r="U167" s="48">
        <v>661191</v>
      </c>
      <c r="W167" s="44">
        <f>+S167-'Stmt net assets'!O167-U167</f>
        <v>0</v>
      </c>
    </row>
    <row r="168" spans="1:23" s="65" customFormat="1" ht="12.75" hidden="1" customHeight="1">
      <c r="A168" s="35" t="s">
        <v>196</v>
      </c>
      <c r="B168" s="51"/>
      <c r="C168" s="35" t="s">
        <v>27</v>
      </c>
      <c r="D168" s="35"/>
      <c r="E168" s="48">
        <v>0</v>
      </c>
      <c r="F168" s="48"/>
      <c r="G168" s="48">
        <v>0</v>
      </c>
      <c r="H168" s="48"/>
      <c r="I168" s="48">
        <v>1700000</v>
      </c>
      <c r="J168" s="48"/>
      <c r="K168" s="48">
        <v>0</v>
      </c>
      <c r="L168" s="48"/>
      <c r="M168" s="48">
        <v>0</v>
      </c>
      <c r="N168" s="48"/>
      <c r="O168" s="48">
        <v>306249</v>
      </c>
      <c r="P168" s="48"/>
      <c r="Q168" s="48">
        <v>3350291</v>
      </c>
      <c r="R168" s="48"/>
      <c r="S168" s="48">
        <f t="shared" si="3"/>
        <v>5356540</v>
      </c>
      <c r="T168" s="44"/>
      <c r="U168" s="48">
        <v>1983243</v>
      </c>
      <c r="W168" s="44">
        <f>+S168-'Stmt net assets'!O168-U168</f>
        <v>3373297</v>
      </c>
    </row>
    <row r="169" spans="1:23" s="141" customFormat="1" ht="12.75" hidden="1" customHeight="1">
      <c r="A169" s="142" t="s">
        <v>386</v>
      </c>
      <c r="B169" s="140"/>
      <c r="C169" s="142" t="s">
        <v>153</v>
      </c>
      <c r="D169" s="142"/>
      <c r="E169" s="148"/>
      <c r="F169" s="148"/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>
        <f t="shared" si="3"/>
        <v>0</v>
      </c>
      <c r="T169" s="137"/>
      <c r="U169" s="148"/>
      <c r="W169" s="137">
        <f>+S169-'Stmt net assets'!O169-U169</f>
        <v>0</v>
      </c>
    </row>
    <row r="170" spans="1:23" s="65" customFormat="1" ht="12.75" customHeight="1">
      <c r="A170" s="35" t="s">
        <v>197</v>
      </c>
      <c r="B170" s="51"/>
      <c r="C170" s="35" t="s">
        <v>163</v>
      </c>
      <c r="D170" s="35"/>
      <c r="E170" s="48">
        <v>1254251</v>
      </c>
      <c r="F170" s="48"/>
      <c r="G170" s="48">
        <v>1690584</v>
      </c>
      <c r="H170" s="48"/>
      <c r="I170" s="48">
        <v>162228</v>
      </c>
      <c r="J170" s="48"/>
      <c r="K170" s="48">
        <v>11449996</v>
      </c>
      <c r="L170" s="48"/>
      <c r="M170" s="48">
        <v>0</v>
      </c>
      <c r="N170" s="48"/>
      <c r="O170" s="48">
        <v>2042808</v>
      </c>
      <c r="P170" s="48"/>
      <c r="Q170" s="48">
        <v>53535</v>
      </c>
      <c r="R170" s="48"/>
      <c r="S170" s="48">
        <f>SUM(E170:Q170)</f>
        <v>16653402</v>
      </c>
      <c r="T170" s="44"/>
      <c r="U170" s="48">
        <v>1819360</v>
      </c>
      <c r="W170" s="44">
        <f>+S170-'Stmt net assets'!O170-U170</f>
        <v>0</v>
      </c>
    </row>
    <row r="171" spans="1:23" s="65" customFormat="1" ht="12.75" customHeight="1">
      <c r="A171" s="35" t="s">
        <v>198</v>
      </c>
      <c r="B171" s="51"/>
      <c r="C171" s="35" t="s">
        <v>199</v>
      </c>
      <c r="D171" s="35"/>
      <c r="E171" s="48">
        <v>0</v>
      </c>
      <c r="F171" s="48"/>
      <c r="G171" s="48">
        <v>98790</v>
      </c>
      <c r="H171" s="48"/>
      <c r="I171" s="48">
        <v>0</v>
      </c>
      <c r="J171" s="48"/>
      <c r="K171" s="48">
        <v>0</v>
      </c>
      <c r="L171" s="48"/>
      <c r="M171" s="48">
        <v>0</v>
      </c>
      <c r="N171" s="48"/>
      <c r="O171" s="48">
        <v>0</v>
      </c>
      <c r="P171" s="48"/>
      <c r="Q171" s="48">
        <v>1633908</v>
      </c>
      <c r="R171" s="48"/>
      <c r="S171" s="48">
        <f t="shared" si="3"/>
        <v>1732698</v>
      </c>
      <c r="T171" s="44"/>
      <c r="U171" s="48">
        <v>260870</v>
      </c>
      <c r="W171" s="44">
        <f>+S171-'Stmt net assets'!O171-U171</f>
        <v>0</v>
      </c>
    </row>
    <row r="172" spans="1:23" s="65" customFormat="1" ht="12.75" customHeight="1">
      <c r="A172" s="35" t="s">
        <v>200</v>
      </c>
      <c r="B172" s="51"/>
      <c r="C172" s="35" t="s">
        <v>103</v>
      </c>
      <c r="D172" s="35"/>
      <c r="E172" s="48">
        <v>2810000</v>
      </c>
      <c r="F172" s="48"/>
      <c r="G172" s="48">
        <v>0</v>
      </c>
      <c r="H172" s="48"/>
      <c r="I172" s="48">
        <v>0</v>
      </c>
      <c r="J172" s="48"/>
      <c r="K172" s="48">
        <v>0</v>
      </c>
      <c r="L172" s="48"/>
      <c r="M172" s="48">
        <v>0</v>
      </c>
      <c r="N172" s="48"/>
      <c r="O172" s="48">
        <v>0</v>
      </c>
      <c r="P172" s="48"/>
      <c r="Q172" s="48">
        <v>481009</v>
      </c>
      <c r="R172" s="48"/>
      <c r="S172" s="48">
        <f t="shared" si="3"/>
        <v>3291009</v>
      </c>
      <c r="T172" s="44"/>
      <c r="U172" s="48">
        <v>440016</v>
      </c>
      <c r="W172" s="44">
        <f>+S172-'Stmt net assets'!O172-U172</f>
        <v>0</v>
      </c>
    </row>
    <row r="173" spans="1:23" s="65" customFormat="1" ht="12.75" customHeight="1">
      <c r="A173" s="35" t="s">
        <v>201</v>
      </c>
      <c r="B173" s="51"/>
      <c r="C173" s="35" t="s">
        <v>92</v>
      </c>
      <c r="D173" s="35"/>
      <c r="E173" s="48">
        <v>2075000</v>
      </c>
      <c r="F173" s="48"/>
      <c r="G173" s="48">
        <v>435000</v>
      </c>
      <c r="H173" s="48"/>
      <c r="I173" s="48">
        <v>0</v>
      </c>
      <c r="J173" s="48"/>
      <c r="K173" s="48">
        <v>25000</v>
      </c>
      <c r="L173" s="48"/>
      <c r="M173" s="48">
        <v>1162451</v>
      </c>
      <c r="N173" s="48"/>
      <c r="O173" s="48">
        <v>1591538</v>
      </c>
      <c r="P173" s="48"/>
      <c r="Q173" s="48">
        <v>2086890</v>
      </c>
      <c r="R173" s="48"/>
      <c r="S173" s="48">
        <f t="shared" si="3"/>
        <v>7375879</v>
      </c>
      <c r="T173" s="44"/>
      <c r="U173" s="48">
        <v>782120</v>
      </c>
      <c r="W173" s="44">
        <f>+S173-'Stmt net assets'!O173-U173</f>
        <v>0</v>
      </c>
    </row>
    <row r="174" spans="1:23" s="65" customFormat="1" ht="12.75" customHeight="1">
      <c r="A174" s="35" t="s">
        <v>202</v>
      </c>
      <c r="B174" s="51"/>
      <c r="C174" s="35" t="s">
        <v>27</v>
      </c>
      <c r="D174" s="35"/>
      <c r="E174" s="48">
        <v>25320000</v>
      </c>
      <c r="F174" s="48"/>
      <c r="G174" s="48">
        <v>1622420</v>
      </c>
      <c r="H174" s="48"/>
      <c r="I174" s="48">
        <v>0</v>
      </c>
      <c r="J174" s="48"/>
      <c r="K174" s="48">
        <v>2910880</v>
      </c>
      <c r="L174" s="48"/>
      <c r="M174" s="48">
        <v>4428466</v>
      </c>
      <c r="N174" s="48"/>
      <c r="O174" s="48">
        <v>2360884</v>
      </c>
      <c r="P174" s="48"/>
      <c r="Q174" s="48">
        <v>1813738</v>
      </c>
      <c r="R174" s="48"/>
      <c r="S174" s="48">
        <f t="shared" si="3"/>
        <v>38456388</v>
      </c>
      <c r="T174" s="44"/>
      <c r="U174" s="48">
        <v>3055938</v>
      </c>
      <c r="W174" s="44">
        <f>+S174-'Stmt net assets'!O174-U174</f>
        <v>0</v>
      </c>
    </row>
    <row r="175" spans="1:23" s="65" customFormat="1" ht="12.75" customHeight="1">
      <c r="A175" s="35" t="s">
        <v>203</v>
      </c>
      <c r="B175" s="51"/>
      <c r="C175" s="35" t="s">
        <v>27</v>
      </c>
      <c r="D175" s="35"/>
      <c r="E175" s="48">
        <v>25320000</v>
      </c>
      <c r="F175" s="48"/>
      <c r="G175" s="48">
        <v>1622420</v>
      </c>
      <c r="H175" s="48"/>
      <c r="I175" s="48">
        <v>0</v>
      </c>
      <c r="J175" s="48"/>
      <c r="K175" s="48">
        <v>4705873</v>
      </c>
      <c r="L175" s="48"/>
      <c r="M175" s="48">
        <v>0</v>
      </c>
      <c r="N175" s="48"/>
      <c r="O175" s="48">
        <v>0</v>
      </c>
      <c r="P175" s="48"/>
      <c r="Q175" s="48">
        <v>6808095</v>
      </c>
      <c r="R175" s="48"/>
      <c r="S175" s="48">
        <f>SUM(E175:Q175)</f>
        <v>38456388</v>
      </c>
      <c r="T175" s="44"/>
      <c r="U175" s="48">
        <v>3055938</v>
      </c>
      <c r="W175" s="44">
        <f>+S175-'Stmt net assets'!O175-U175</f>
        <v>0</v>
      </c>
    </row>
    <row r="176" spans="1:23" s="65" customFormat="1" ht="12.75" customHeight="1">
      <c r="A176" s="35" t="s">
        <v>204</v>
      </c>
      <c r="B176" s="51"/>
      <c r="C176" s="35" t="s">
        <v>125</v>
      </c>
      <c r="D176" s="35"/>
      <c r="E176" s="48">
        <v>0</v>
      </c>
      <c r="F176" s="48"/>
      <c r="G176" s="48">
        <v>0</v>
      </c>
      <c r="H176" s="48"/>
      <c r="I176" s="48">
        <v>0</v>
      </c>
      <c r="J176" s="48"/>
      <c r="K176" s="48">
        <v>101283</v>
      </c>
      <c r="L176" s="48"/>
      <c r="M176" s="48">
        <v>327879</v>
      </c>
      <c r="N176" s="48"/>
      <c r="O176" s="48">
        <v>84281</v>
      </c>
      <c r="P176" s="48"/>
      <c r="Q176" s="48">
        <v>0</v>
      </c>
      <c r="R176" s="48"/>
      <c r="S176" s="48">
        <f t="shared" si="3"/>
        <v>513443</v>
      </c>
      <c r="T176" s="44"/>
      <c r="U176" s="48">
        <v>140126</v>
      </c>
      <c r="W176" s="44">
        <f>+S176-'Stmt net assets'!O176-U176</f>
        <v>0</v>
      </c>
    </row>
    <row r="177" spans="1:25" s="65" customFormat="1" ht="12.75" customHeight="1">
      <c r="A177" s="35" t="s">
        <v>205</v>
      </c>
      <c r="B177" s="51"/>
      <c r="C177" s="35" t="s">
        <v>27</v>
      </c>
      <c r="D177" s="35"/>
      <c r="E177" s="48">
        <v>5465000</v>
      </c>
      <c r="F177" s="48"/>
      <c r="G177" s="48">
        <v>0</v>
      </c>
      <c r="H177" s="48"/>
      <c r="I177" s="48">
        <v>0</v>
      </c>
      <c r="J177" s="48"/>
      <c r="K177" s="48">
        <v>1057747</v>
      </c>
      <c r="L177" s="48"/>
      <c r="M177" s="48">
        <v>0</v>
      </c>
      <c r="N177" s="48"/>
      <c r="O177" s="48">
        <v>304105</v>
      </c>
      <c r="P177" s="48"/>
      <c r="Q177" s="48">
        <v>0</v>
      </c>
      <c r="R177" s="48"/>
      <c r="S177" s="48">
        <f t="shared" si="3"/>
        <v>6826852</v>
      </c>
      <c r="T177" s="44"/>
      <c r="U177" s="48">
        <v>803407</v>
      </c>
      <c r="W177" s="44">
        <f>+S177-'Stmt net assets'!O177-U177</f>
        <v>0</v>
      </c>
    </row>
    <row r="178" spans="1:25" s="65" customFormat="1" ht="12.75" customHeight="1">
      <c r="A178" s="35" t="s">
        <v>206</v>
      </c>
      <c r="B178" s="51"/>
      <c r="C178" s="35" t="s">
        <v>47</v>
      </c>
      <c r="D178" s="35"/>
      <c r="E178" s="48">
        <v>0</v>
      </c>
      <c r="F178" s="48"/>
      <c r="G178" s="48">
        <v>0</v>
      </c>
      <c r="H178" s="48"/>
      <c r="I178" s="48">
        <v>0</v>
      </c>
      <c r="J178" s="48"/>
      <c r="K178" s="48">
        <v>0</v>
      </c>
      <c r="L178" s="48"/>
      <c r="M178" s="48">
        <v>0</v>
      </c>
      <c r="N178" s="48"/>
      <c r="O178" s="48">
        <v>757222</v>
      </c>
      <c r="P178" s="48"/>
      <c r="Q178" s="48">
        <v>0</v>
      </c>
      <c r="R178" s="48"/>
      <c r="S178" s="48">
        <f t="shared" si="3"/>
        <v>757222</v>
      </c>
      <c r="T178" s="44"/>
      <c r="U178" s="48">
        <v>281017</v>
      </c>
      <c r="W178" s="44">
        <f>+S178-'Stmt net assets'!O178-U178</f>
        <v>0</v>
      </c>
    </row>
    <row r="179" spans="1:25" s="65" customFormat="1" ht="12.75" customHeight="1">
      <c r="A179" s="35" t="s">
        <v>207</v>
      </c>
      <c r="B179" s="51"/>
      <c r="C179" s="35" t="s">
        <v>102</v>
      </c>
      <c r="D179" s="35"/>
      <c r="E179" s="48">
        <v>1420665</v>
      </c>
      <c r="F179" s="48"/>
      <c r="G179" s="48">
        <v>0</v>
      </c>
      <c r="H179" s="48"/>
      <c r="I179" s="48">
        <v>3445000</v>
      </c>
      <c r="J179" s="48"/>
      <c r="K179" s="48">
        <v>4845664</v>
      </c>
      <c r="L179" s="48"/>
      <c r="M179" s="48">
        <v>3683568</v>
      </c>
      <c r="N179" s="48"/>
      <c r="O179" s="48">
        <v>563042</v>
      </c>
      <c r="P179" s="48"/>
      <c r="Q179" s="48">
        <v>0</v>
      </c>
      <c r="R179" s="48"/>
      <c r="S179" s="48">
        <f t="shared" si="3"/>
        <v>13957939</v>
      </c>
      <c r="T179" s="44"/>
      <c r="U179" s="48">
        <v>683257</v>
      </c>
      <c r="W179" s="44">
        <f>+S179-'Stmt net assets'!O179-U179</f>
        <v>0</v>
      </c>
    </row>
    <row r="180" spans="1:25" s="65" customFormat="1" ht="12.75" customHeight="1">
      <c r="A180" s="35" t="s">
        <v>208</v>
      </c>
      <c r="B180" s="51"/>
      <c r="C180" s="35" t="s">
        <v>209</v>
      </c>
      <c r="D180" s="35"/>
      <c r="E180" s="48">
        <v>1455000</v>
      </c>
      <c r="F180" s="48"/>
      <c r="G180" s="48">
        <v>124250</v>
      </c>
      <c r="H180" s="48"/>
      <c r="I180" s="48">
        <v>0</v>
      </c>
      <c r="J180" s="48"/>
      <c r="K180" s="48">
        <v>0</v>
      </c>
      <c r="L180" s="48"/>
      <c r="M180" s="48">
        <v>68551</v>
      </c>
      <c r="N180" s="48"/>
      <c r="O180" s="48">
        <v>2133644</v>
      </c>
      <c r="P180" s="48"/>
      <c r="Q180" s="48">
        <v>2767598</v>
      </c>
      <c r="R180" s="48"/>
      <c r="S180" s="48">
        <f t="shared" si="3"/>
        <v>6549043</v>
      </c>
      <c r="T180" s="44"/>
      <c r="U180" s="48">
        <v>1347977</v>
      </c>
      <c r="W180" s="44">
        <f>+S180-'Stmt net assets'!O180-U180</f>
        <v>0</v>
      </c>
    </row>
    <row r="181" spans="1:25" s="65" customFormat="1" ht="12.75" customHeight="1">
      <c r="A181" s="44" t="s">
        <v>210</v>
      </c>
      <c r="B181" s="51"/>
      <c r="C181" s="44" t="s">
        <v>211</v>
      </c>
      <c r="D181" s="44"/>
      <c r="E181" s="48">
        <v>218302</v>
      </c>
      <c r="F181" s="48"/>
      <c r="G181" s="48">
        <v>97407</v>
      </c>
      <c r="H181" s="48"/>
      <c r="I181" s="48">
        <v>0</v>
      </c>
      <c r="J181" s="48"/>
      <c r="K181" s="48">
        <v>0</v>
      </c>
      <c r="L181" s="48"/>
      <c r="M181" s="48">
        <v>358688</v>
      </c>
      <c r="N181" s="48"/>
      <c r="O181" s="48">
        <v>118484</v>
      </c>
      <c r="P181" s="48"/>
      <c r="Q181" s="48">
        <v>0</v>
      </c>
      <c r="R181" s="48"/>
      <c r="S181" s="48">
        <f t="shared" si="3"/>
        <v>792881</v>
      </c>
      <c r="T181" s="44"/>
      <c r="U181" s="48">
        <v>339871</v>
      </c>
      <c r="W181" s="44">
        <f>+S181-'Stmt net assets'!O181-U181</f>
        <v>0</v>
      </c>
      <c r="X181" s="66"/>
      <c r="Y181" s="66"/>
    </row>
    <row r="182" spans="1:25" s="65" customFormat="1" ht="12.75" customHeight="1">
      <c r="A182" s="44" t="s">
        <v>212</v>
      </c>
      <c r="B182" s="51"/>
      <c r="C182" s="44" t="s">
        <v>213</v>
      </c>
      <c r="D182" s="44"/>
      <c r="E182" s="48">
        <v>1815000</v>
      </c>
      <c r="F182" s="48"/>
      <c r="G182" s="48">
        <v>0</v>
      </c>
      <c r="H182" s="48"/>
      <c r="I182" s="48">
        <v>0</v>
      </c>
      <c r="J182" s="48"/>
      <c r="K182" s="48">
        <v>0</v>
      </c>
      <c r="L182" s="48"/>
      <c r="M182" s="48">
        <v>1161876</v>
      </c>
      <c r="N182" s="48"/>
      <c r="O182" s="48">
        <v>663299</v>
      </c>
      <c r="P182" s="48"/>
      <c r="Q182" s="48">
        <v>0</v>
      </c>
      <c r="R182" s="48"/>
      <c r="S182" s="48">
        <f t="shared" si="3"/>
        <v>3640175</v>
      </c>
      <c r="T182" s="44"/>
      <c r="U182" s="48">
        <v>250414</v>
      </c>
      <c r="W182" s="44">
        <f>+S182-'Stmt net assets'!O182-U182</f>
        <v>0</v>
      </c>
    </row>
    <row r="183" spans="1:25" s="65" customFormat="1" ht="12.75" customHeight="1">
      <c r="A183" s="44" t="s">
        <v>214</v>
      </c>
      <c r="B183" s="51"/>
      <c r="C183" s="44" t="s">
        <v>86</v>
      </c>
      <c r="D183" s="44"/>
      <c r="E183" s="48">
        <v>20570000</v>
      </c>
      <c r="F183" s="48"/>
      <c r="G183" s="48">
        <v>0</v>
      </c>
      <c r="H183" s="48"/>
      <c r="I183" s="48">
        <v>0</v>
      </c>
      <c r="J183" s="48"/>
      <c r="K183" s="48">
        <v>0</v>
      </c>
      <c r="L183" s="48"/>
      <c r="M183" s="48">
        <v>0</v>
      </c>
      <c r="N183" s="48"/>
      <c r="O183" s="48">
        <v>178301</v>
      </c>
      <c r="P183" s="48"/>
      <c r="Q183" s="48">
        <v>0</v>
      </c>
      <c r="R183" s="48"/>
      <c r="S183" s="48">
        <f t="shared" si="3"/>
        <v>20748301</v>
      </c>
      <c r="T183" s="44"/>
      <c r="U183" s="48">
        <v>1383665</v>
      </c>
      <c r="W183" s="44">
        <f>+S183-'Stmt net assets'!O183-U183</f>
        <v>0</v>
      </c>
    </row>
    <row r="184" spans="1:25" s="65" customFormat="1" ht="12.75" customHeight="1">
      <c r="A184" s="35" t="s">
        <v>215</v>
      </c>
      <c r="C184" s="35" t="s">
        <v>22</v>
      </c>
      <c r="D184" s="35"/>
      <c r="E184" s="48">
        <v>1042600</v>
      </c>
      <c r="F184" s="48"/>
      <c r="G184" s="48">
        <v>307398</v>
      </c>
      <c r="H184" s="48"/>
      <c r="I184" s="48">
        <v>0</v>
      </c>
      <c r="J184" s="48"/>
      <c r="K184" s="48">
        <v>0</v>
      </c>
      <c r="L184" s="48"/>
      <c r="M184" s="48">
        <v>831407</v>
      </c>
      <c r="N184" s="48"/>
      <c r="O184" s="48">
        <v>1025943</v>
      </c>
      <c r="P184" s="48"/>
      <c r="Q184" s="48">
        <v>5042039</v>
      </c>
      <c r="R184" s="48"/>
      <c r="S184" s="48">
        <f t="shared" si="3"/>
        <v>8249387</v>
      </c>
      <c r="T184" s="44"/>
      <c r="U184" s="48">
        <v>666662</v>
      </c>
      <c r="W184" s="44">
        <f>+S184-'Stmt net assets'!O184-U184</f>
        <v>0</v>
      </c>
    </row>
    <row r="185" spans="1:25" s="65" customFormat="1" ht="12.75" customHeight="1">
      <c r="A185" s="35" t="s">
        <v>216</v>
      </c>
      <c r="B185" s="51"/>
      <c r="C185" s="35" t="s">
        <v>45</v>
      </c>
      <c r="D185" s="35"/>
      <c r="E185" s="48">
        <v>1400000</v>
      </c>
      <c r="F185" s="48"/>
      <c r="G185" s="48">
        <v>0</v>
      </c>
      <c r="H185" s="48"/>
      <c r="I185" s="48">
        <v>0</v>
      </c>
      <c r="J185" s="48"/>
      <c r="K185" s="48">
        <v>0</v>
      </c>
      <c r="L185" s="48"/>
      <c r="M185" s="48">
        <v>21502</v>
      </c>
      <c r="N185" s="48"/>
      <c r="O185" s="48">
        <v>836759</v>
      </c>
      <c r="P185" s="48"/>
      <c r="Q185" s="48">
        <v>0</v>
      </c>
      <c r="R185" s="48"/>
      <c r="S185" s="48">
        <f t="shared" si="3"/>
        <v>2258261</v>
      </c>
      <c r="T185" s="44"/>
      <c r="U185" s="48">
        <v>408812</v>
      </c>
      <c r="W185" s="44">
        <f>+S185-'Stmt net assets'!O185-U185</f>
        <v>0</v>
      </c>
    </row>
    <row r="186" spans="1:25" s="65" customFormat="1" ht="12.75" customHeight="1">
      <c r="A186" s="35" t="s">
        <v>217</v>
      </c>
      <c r="B186" s="51"/>
      <c r="C186" s="35" t="s">
        <v>43</v>
      </c>
      <c r="D186" s="35"/>
      <c r="E186" s="48">
        <v>26001408</v>
      </c>
      <c r="F186" s="48"/>
      <c r="G186" s="48">
        <v>10000</v>
      </c>
      <c r="H186" s="48"/>
      <c r="I186" s="48">
        <v>0</v>
      </c>
      <c r="J186" s="48"/>
      <c r="K186" s="48">
        <v>246332</v>
      </c>
      <c r="L186" s="48"/>
      <c r="M186" s="48">
        <v>0</v>
      </c>
      <c r="N186" s="48"/>
      <c r="O186" s="48">
        <v>843164</v>
      </c>
      <c r="P186" s="48"/>
      <c r="Q186" s="48">
        <v>3736449</v>
      </c>
      <c r="R186" s="48"/>
      <c r="S186" s="48">
        <f t="shared" si="3"/>
        <v>30837353</v>
      </c>
      <c r="T186" s="44"/>
      <c r="U186" s="48">
        <v>2183474</v>
      </c>
      <c r="W186" s="44">
        <f>+S186-'Stmt net assets'!O186-U186</f>
        <v>0</v>
      </c>
    </row>
    <row r="187" spans="1:25" s="65" customFormat="1" ht="12.75" hidden="1" customHeight="1">
      <c r="A187" s="35" t="s">
        <v>218</v>
      </c>
      <c r="B187" s="51"/>
      <c r="C187" s="35" t="s">
        <v>27</v>
      </c>
      <c r="D187" s="35"/>
      <c r="E187" s="48">
        <v>10775000</v>
      </c>
      <c r="F187" s="48"/>
      <c r="G187" s="48">
        <v>0</v>
      </c>
      <c r="H187" s="48"/>
      <c r="I187" s="48">
        <v>0</v>
      </c>
      <c r="J187" s="48"/>
      <c r="K187" s="48">
        <v>6459949</v>
      </c>
      <c r="L187" s="48"/>
      <c r="M187" s="48">
        <v>0</v>
      </c>
      <c r="N187" s="48"/>
      <c r="O187" s="48">
        <v>0</v>
      </c>
      <c r="P187" s="48"/>
      <c r="Q187" s="48">
        <v>18538458</v>
      </c>
      <c r="R187" s="48"/>
      <c r="S187" s="48">
        <f t="shared" si="3"/>
        <v>35773407</v>
      </c>
      <c r="T187" s="44"/>
      <c r="U187" s="48">
        <v>1254443</v>
      </c>
      <c r="W187" s="44">
        <f>+S187-'Stmt net assets'!O187-U187</f>
        <v>17234949</v>
      </c>
    </row>
    <row r="188" spans="1:25" s="65" customFormat="1" ht="12.75" customHeight="1">
      <c r="A188" s="35" t="s">
        <v>219</v>
      </c>
      <c r="B188" s="51"/>
      <c r="C188" s="35" t="s">
        <v>199</v>
      </c>
      <c r="D188" s="35"/>
      <c r="E188" s="48">
        <v>1310000</v>
      </c>
      <c r="F188" s="48"/>
      <c r="G188" s="48">
        <v>60008</v>
      </c>
      <c r="H188" s="48"/>
      <c r="I188" s="48">
        <v>506000</v>
      </c>
      <c r="J188" s="48"/>
      <c r="K188" s="48">
        <v>0</v>
      </c>
      <c r="L188" s="48"/>
      <c r="M188" s="48">
        <v>0</v>
      </c>
      <c r="N188" s="48"/>
      <c r="O188" s="48">
        <v>113506</v>
      </c>
      <c r="P188" s="48"/>
      <c r="Q188" s="48">
        <v>0</v>
      </c>
      <c r="R188" s="48"/>
      <c r="S188" s="48">
        <f t="shared" si="3"/>
        <v>1989514</v>
      </c>
      <c r="T188" s="44"/>
      <c r="U188" s="48">
        <v>757560</v>
      </c>
      <c r="W188" s="44">
        <f>+S188-'Stmt net assets'!O188-U188</f>
        <v>0</v>
      </c>
    </row>
    <row r="189" spans="1:25" s="65" customFormat="1" ht="12.75" customHeight="1">
      <c r="A189" s="35" t="s">
        <v>220</v>
      </c>
      <c r="B189" s="51"/>
      <c r="C189" s="35" t="s">
        <v>66</v>
      </c>
      <c r="D189" s="35"/>
      <c r="E189" s="48">
        <v>1723348</v>
      </c>
      <c r="F189" s="48"/>
      <c r="G189" s="48">
        <v>0</v>
      </c>
      <c r="H189" s="48"/>
      <c r="I189" s="48">
        <v>0</v>
      </c>
      <c r="J189" s="48"/>
      <c r="K189" s="48">
        <v>0</v>
      </c>
      <c r="L189" s="48"/>
      <c r="M189" s="48">
        <v>0</v>
      </c>
      <c r="N189" s="48"/>
      <c r="O189" s="48">
        <v>0</v>
      </c>
      <c r="P189" s="48"/>
      <c r="Q189" s="48">
        <v>327735</v>
      </c>
      <c r="R189" s="48"/>
      <c r="S189" s="48">
        <f t="shared" si="3"/>
        <v>2051083</v>
      </c>
      <c r="T189" s="44"/>
      <c r="U189" s="48">
        <v>499176</v>
      </c>
      <c r="W189" s="44">
        <f>+S189-'Stmt net assets'!O189-U189</f>
        <v>0</v>
      </c>
    </row>
    <row r="190" spans="1:25" s="65" customFormat="1" ht="12.75" customHeight="1">
      <c r="A190" s="35" t="s">
        <v>221</v>
      </c>
      <c r="B190" s="51"/>
      <c r="C190" s="35" t="s">
        <v>27</v>
      </c>
      <c r="D190" s="35"/>
      <c r="E190" s="48">
        <v>20007961</v>
      </c>
      <c r="F190" s="48"/>
      <c r="G190" s="48">
        <v>670000</v>
      </c>
      <c r="H190" s="48"/>
      <c r="I190" s="48">
        <v>0</v>
      </c>
      <c r="J190" s="48"/>
      <c r="K190" s="48">
        <v>0</v>
      </c>
      <c r="L190" s="48"/>
      <c r="M190" s="48">
        <v>0</v>
      </c>
      <c r="N190" s="48"/>
      <c r="O190" s="48">
        <v>3218927</v>
      </c>
      <c r="P190" s="48"/>
      <c r="Q190" s="48">
        <v>602422</v>
      </c>
      <c r="R190" s="48"/>
      <c r="S190" s="48">
        <f t="shared" si="3"/>
        <v>24499310</v>
      </c>
      <c r="T190" s="44"/>
      <c r="U190" s="48">
        <v>1262179</v>
      </c>
      <c r="W190" s="44">
        <f>+S190-'Stmt net assets'!O190-U190</f>
        <v>0</v>
      </c>
    </row>
    <row r="191" spans="1:25" s="65" customFormat="1" ht="12.75" customHeight="1">
      <c r="A191" s="35" t="s">
        <v>222</v>
      </c>
      <c r="B191" s="51"/>
      <c r="C191" s="35" t="s">
        <v>47</v>
      </c>
      <c r="D191" s="35"/>
      <c r="E191" s="48">
        <v>3450000</v>
      </c>
      <c r="F191" s="48"/>
      <c r="G191" s="48">
        <v>115000</v>
      </c>
      <c r="H191" s="48"/>
      <c r="I191" s="48">
        <v>0</v>
      </c>
      <c r="J191" s="48"/>
      <c r="K191" s="48">
        <v>0</v>
      </c>
      <c r="L191" s="48"/>
      <c r="M191" s="48">
        <v>0</v>
      </c>
      <c r="N191" s="48"/>
      <c r="O191" s="48">
        <v>193699</v>
      </c>
      <c r="P191" s="48"/>
      <c r="Q191" s="48">
        <v>379297</v>
      </c>
      <c r="R191" s="48"/>
      <c r="S191" s="48">
        <f t="shared" si="3"/>
        <v>4137996</v>
      </c>
      <c r="T191" s="44"/>
      <c r="U191" s="48">
        <v>160000</v>
      </c>
      <c r="W191" s="44">
        <f>+S191-'Stmt net assets'!O191-U191</f>
        <v>0</v>
      </c>
    </row>
    <row r="192" spans="1:25" s="65" customFormat="1" ht="12.75" customHeight="1">
      <c r="A192" s="35" t="s">
        <v>223</v>
      </c>
      <c r="B192" s="51"/>
      <c r="C192" s="35" t="s">
        <v>94</v>
      </c>
      <c r="D192" s="35"/>
      <c r="E192" s="48">
        <v>3329870</v>
      </c>
      <c r="F192" s="48"/>
      <c r="G192" s="48">
        <v>80000</v>
      </c>
      <c r="H192" s="48"/>
      <c r="I192" s="48">
        <v>0</v>
      </c>
      <c r="J192" s="48"/>
      <c r="K192" s="48">
        <v>399836</v>
      </c>
      <c r="L192" s="48"/>
      <c r="M192" s="48">
        <v>0</v>
      </c>
      <c r="N192" s="48"/>
      <c r="O192" s="48">
        <v>214034</v>
      </c>
      <c r="P192" s="48"/>
      <c r="Q192" s="48">
        <v>0</v>
      </c>
      <c r="R192" s="48"/>
      <c r="S192" s="48">
        <f t="shared" si="3"/>
        <v>4023740</v>
      </c>
      <c r="T192" s="44"/>
      <c r="U192" s="48">
        <v>268140</v>
      </c>
      <c r="W192" s="44">
        <f>+S192-'Stmt net assets'!O192-U192</f>
        <v>0</v>
      </c>
    </row>
    <row r="193" spans="1:23" s="65" customFormat="1" ht="12.75" customHeight="1">
      <c r="A193" s="35" t="s">
        <v>76</v>
      </c>
      <c r="B193" s="51"/>
      <c r="C193" s="35" t="s">
        <v>132</v>
      </c>
      <c r="D193" s="35"/>
      <c r="E193" s="48">
        <v>17900290</v>
      </c>
      <c r="F193" s="48"/>
      <c r="G193" s="48">
        <v>1996032</v>
      </c>
      <c r="H193" s="48"/>
      <c r="I193" s="48">
        <v>0</v>
      </c>
      <c r="J193" s="48"/>
      <c r="K193" s="48">
        <v>0</v>
      </c>
      <c r="L193" s="48"/>
      <c r="M193" s="48">
        <v>0</v>
      </c>
      <c r="N193" s="48"/>
      <c r="O193" s="48">
        <v>0</v>
      </c>
      <c r="P193" s="48"/>
      <c r="Q193" s="48">
        <v>3111836</v>
      </c>
      <c r="R193" s="48"/>
      <c r="S193" s="48">
        <f t="shared" si="3"/>
        <v>23008158</v>
      </c>
      <c r="T193" s="44"/>
      <c r="U193" s="48">
        <v>1381845</v>
      </c>
      <c r="W193" s="44">
        <f>+S193-'Stmt net assets'!O193-U193</f>
        <v>0</v>
      </c>
    </row>
    <row r="194" spans="1:23" s="65" customFormat="1" ht="12.75" customHeight="1">
      <c r="A194" s="35" t="s">
        <v>224</v>
      </c>
      <c r="B194" s="51"/>
      <c r="C194" s="35" t="s">
        <v>27</v>
      </c>
      <c r="D194" s="35"/>
      <c r="E194" s="48">
        <v>9574994</v>
      </c>
      <c r="F194" s="48"/>
      <c r="G194" s="48">
        <v>840000</v>
      </c>
      <c r="H194" s="48"/>
      <c r="I194" s="48">
        <v>0</v>
      </c>
      <c r="J194" s="48"/>
      <c r="K194" s="48">
        <v>27805</v>
      </c>
      <c r="L194" s="48"/>
      <c r="M194" s="48">
        <v>0</v>
      </c>
      <c r="N194" s="48"/>
      <c r="O194" s="48">
        <v>0</v>
      </c>
      <c r="P194" s="48"/>
      <c r="Q194" s="48">
        <v>568694</v>
      </c>
      <c r="R194" s="48"/>
      <c r="S194" s="48">
        <f t="shared" si="3"/>
        <v>11011493</v>
      </c>
      <c r="T194" s="44"/>
      <c r="U194" s="48">
        <v>989126</v>
      </c>
      <c r="W194" s="44">
        <f>+S194-'Stmt net assets'!O194-U194</f>
        <v>0</v>
      </c>
    </row>
    <row r="195" spans="1:23" s="65" customFormat="1" ht="12.75" customHeight="1">
      <c r="A195" s="35" t="s">
        <v>225</v>
      </c>
      <c r="B195" s="51"/>
      <c r="C195" s="35" t="s">
        <v>27</v>
      </c>
      <c r="D195" s="35"/>
      <c r="E195" s="48">
        <v>14855000</v>
      </c>
      <c r="F195" s="48"/>
      <c r="G195" s="48">
        <v>0</v>
      </c>
      <c r="H195" s="48"/>
      <c r="I195" s="48">
        <v>2515000</v>
      </c>
      <c r="J195" s="48"/>
      <c r="K195" s="48">
        <v>4026050</v>
      </c>
      <c r="L195" s="48"/>
      <c r="M195" s="48">
        <v>0</v>
      </c>
      <c r="N195" s="48"/>
      <c r="O195" s="48">
        <v>3865112</v>
      </c>
      <c r="P195" s="48"/>
      <c r="Q195" s="48">
        <v>0</v>
      </c>
      <c r="R195" s="48"/>
      <c r="S195" s="48">
        <f t="shared" si="3"/>
        <v>25261162</v>
      </c>
      <c r="T195" s="44"/>
      <c r="U195" s="48">
        <v>1330887</v>
      </c>
      <c r="W195" s="44">
        <f>+S195-'Stmt net assets'!O195-U195</f>
        <v>0</v>
      </c>
    </row>
    <row r="196" spans="1:23" s="65" customFormat="1" ht="12.75" customHeight="1">
      <c r="A196" s="35" t="s">
        <v>226</v>
      </c>
      <c r="B196" s="51"/>
      <c r="C196" s="35" t="s">
        <v>45</v>
      </c>
      <c r="D196" s="35"/>
      <c r="E196" s="48">
        <v>14174214</v>
      </c>
      <c r="F196" s="48"/>
      <c r="G196" s="48">
        <v>180000</v>
      </c>
      <c r="H196" s="48"/>
      <c r="I196" s="48">
        <v>0</v>
      </c>
      <c r="J196" s="48"/>
      <c r="K196" s="48">
        <v>0</v>
      </c>
      <c r="L196" s="48"/>
      <c r="M196" s="48">
        <v>53077</v>
      </c>
      <c r="N196" s="48"/>
      <c r="O196" s="48">
        <v>2962720</v>
      </c>
      <c r="P196" s="48"/>
      <c r="Q196" s="48">
        <v>0</v>
      </c>
      <c r="R196" s="48"/>
      <c r="S196" s="48">
        <f t="shared" si="3"/>
        <v>17370011</v>
      </c>
      <c r="T196" s="44"/>
      <c r="U196" s="48">
        <v>1326698</v>
      </c>
      <c r="W196" s="44">
        <f>+S196-'Stmt net assets'!O196-U196</f>
        <v>0</v>
      </c>
    </row>
    <row r="197" spans="1:23" s="65" customFormat="1" ht="12.75" customHeight="1">
      <c r="A197" s="35"/>
      <c r="B197" s="51"/>
      <c r="C197" s="35"/>
      <c r="D197" s="35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4"/>
      <c r="U197" s="48" t="s">
        <v>485</v>
      </c>
      <c r="W197" s="44"/>
    </row>
    <row r="198" spans="1:23" s="66" customFormat="1" ht="12.75" customHeight="1">
      <c r="A198" s="64" t="s">
        <v>227</v>
      </c>
      <c r="C198" s="64" t="s">
        <v>17</v>
      </c>
      <c r="D198" s="64"/>
      <c r="E198" s="68">
        <v>1395000</v>
      </c>
      <c r="F198" s="68"/>
      <c r="G198" s="68">
        <v>0</v>
      </c>
      <c r="H198" s="68"/>
      <c r="I198" s="68">
        <v>1469905</v>
      </c>
      <c r="J198" s="68"/>
      <c r="K198" s="68">
        <f>133600+163500</f>
        <v>297100</v>
      </c>
      <c r="L198" s="68"/>
      <c r="M198" s="68">
        <v>65468</v>
      </c>
      <c r="N198" s="68"/>
      <c r="O198" s="68">
        <v>707973</v>
      </c>
      <c r="P198" s="68"/>
      <c r="Q198" s="68">
        <v>0</v>
      </c>
      <c r="R198" s="68"/>
      <c r="S198" s="68">
        <f>SUM(E198:Q198)</f>
        <v>3935446</v>
      </c>
      <c r="T198" s="46"/>
      <c r="U198" s="68">
        <v>365179</v>
      </c>
      <c r="W198" s="46">
        <f>+S198-'Stmt net assets'!O198-U198</f>
        <v>0</v>
      </c>
    </row>
    <row r="199" spans="1:23" s="65" customFormat="1" ht="12.75" customHeight="1">
      <c r="A199" s="35" t="s">
        <v>228</v>
      </c>
      <c r="B199" s="51"/>
      <c r="C199" s="35" t="s">
        <v>153</v>
      </c>
      <c r="D199" s="35"/>
      <c r="E199" s="48">
        <v>0</v>
      </c>
      <c r="F199" s="48"/>
      <c r="G199" s="48">
        <v>715847</v>
      </c>
      <c r="H199" s="48"/>
      <c r="I199" s="48">
        <v>239838</v>
      </c>
      <c r="J199" s="48"/>
      <c r="K199" s="48">
        <v>146205</v>
      </c>
      <c r="L199" s="48"/>
      <c r="M199" s="48">
        <v>0</v>
      </c>
      <c r="N199" s="48"/>
      <c r="O199" s="48">
        <v>340568</v>
      </c>
      <c r="P199" s="48"/>
      <c r="Q199" s="48">
        <v>0</v>
      </c>
      <c r="R199" s="48"/>
      <c r="S199" s="48">
        <f t="shared" si="3"/>
        <v>1442458</v>
      </c>
      <c r="T199" s="44"/>
      <c r="U199" s="48">
        <v>487422</v>
      </c>
      <c r="W199" s="44">
        <f>+S199-'Stmt net assets'!O199-U199</f>
        <v>0</v>
      </c>
    </row>
    <row r="200" spans="1:23" s="65" customFormat="1" ht="12.75" customHeight="1">
      <c r="A200" s="35" t="s">
        <v>229</v>
      </c>
      <c r="B200" s="51"/>
      <c r="C200" s="35" t="s">
        <v>228</v>
      </c>
      <c r="D200" s="35"/>
      <c r="E200" s="48">
        <v>1790000</v>
      </c>
      <c r="F200" s="48"/>
      <c r="G200" s="48">
        <v>0</v>
      </c>
      <c r="H200" s="48"/>
      <c r="I200" s="48">
        <v>0</v>
      </c>
      <c r="J200" s="48"/>
      <c r="K200" s="48">
        <v>0</v>
      </c>
      <c r="L200" s="48"/>
      <c r="M200" s="48">
        <v>0</v>
      </c>
      <c r="N200" s="48"/>
      <c r="O200" s="48">
        <v>1300296</v>
      </c>
      <c r="P200" s="48"/>
      <c r="Q200" s="48">
        <v>7064200</v>
      </c>
      <c r="R200" s="48"/>
      <c r="S200" s="48">
        <f t="shared" si="3"/>
        <v>10154496</v>
      </c>
      <c r="T200" s="44"/>
      <c r="U200" s="48">
        <v>512300</v>
      </c>
      <c r="W200" s="44">
        <f>+S200-'Stmt net assets'!O200-U200</f>
        <v>0</v>
      </c>
    </row>
    <row r="201" spans="1:23" s="65" customFormat="1" ht="12.75" customHeight="1">
      <c r="A201" s="35" t="s">
        <v>230</v>
      </c>
      <c r="B201" s="51"/>
      <c r="C201" s="35" t="s">
        <v>45</v>
      </c>
      <c r="D201" s="35"/>
      <c r="E201" s="48">
        <v>203300</v>
      </c>
      <c r="F201" s="48"/>
      <c r="G201" s="48">
        <v>0</v>
      </c>
      <c r="H201" s="48"/>
      <c r="I201" s="48">
        <v>0</v>
      </c>
      <c r="J201" s="48"/>
      <c r="K201" s="48">
        <v>1439474</v>
      </c>
      <c r="L201" s="48"/>
      <c r="M201" s="48">
        <v>5210</v>
      </c>
      <c r="N201" s="48"/>
      <c r="O201" s="48">
        <v>431917</v>
      </c>
      <c r="P201" s="48"/>
      <c r="Q201" s="48">
        <v>0</v>
      </c>
      <c r="R201" s="48"/>
      <c r="S201" s="48">
        <f t="shared" si="3"/>
        <v>2079901</v>
      </c>
      <c r="T201" s="44"/>
      <c r="U201" s="48">
        <v>213680</v>
      </c>
      <c r="W201" s="44">
        <f>+S201-'Stmt net assets'!O201-U201</f>
        <v>0</v>
      </c>
    </row>
    <row r="202" spans="1:23" s="65" customFormat="1" ht="12.75" customHeight="1">
      <c r="A202" s="35" t="s">
        <v>231</v>
      </c>
      <c r="B202" s="51"/>
      <c r="C202" s="35" t="s">
        <v>27</v>
      </c>
      <c r="D202" s="35"/>
      <c r="E202" s="48">
        <v>10150000</v>
      </c>
      <c r="F202" s="48"/>
      <c r="G202" s="48">
        <v>401537</v>
      </c>
      <c r="H202" s="48"/>
      <c r="I202" s="48">
        <v>0</v>
      </c>
      <c r="J202" s="48"/>
      <c r="K202" s="48">
        <v>13014980</v>
      </c>
      <c r="L202" s="48"/>
      <c r="M202" s="48">
        <v>0</v>
      </c>
      <c r="N202" s="48"/>
      <c r="O202" s="48">
        <v>0</v>
      </c>
      <c r="P202" s="48"/>
      <c r="Q202" s="48">
        <v>3436404</v>
      </c>
      <c r="R202" s="48"/>
      <c r="S202" s="48">
        <f t="shared" si="3"/>
        <v>27002921</v>
      </c>
      <c r="T202" s="44"/>
      <c r="U202" s="48">
        <v>2864185</v>
      </c>
      <c r="W202" s="44">
        <f>+S202-'Stmt net assets'!O202-U202</f>
        <v>0</v>
      </c>
    </row>
    <row r="203" spans="1:23" s="65" customFormat="1" ht="12.75" customHeight="1">
      <c r="A203" s="35" t="s">
        <v>232</v>
      </c>
      <c r="B203" s="51"/>
      <c r="C203" s="35" t="s">
        <v>27</v>
      </c>
      <c r="D203" s="35"/>
      <c r="E203" s="48">
        <v>8842976</v>
      </c>
      <c r="F203" s="48"/>
      <c r="G203" s="48">
        <v>305000</v>
      </c>
      <c r="H203" s="48"/>
      <c r="I203" s="48">
        <v>17000000</v>
      </c>
      <c r="J203" s="48"/>
      <c r="K203" s="48">
        <v>1747086</v>
      </c>
      <c r="L203" s="48"/>
      <c r="M203" s="48">
        <v>223744</v>
      </c>
      <c r="N203" s="48"/>
      <c r="O203" s="48">
        <v>1144236</v>
      </c>
      <c r="P203" s="48"/>
      <c r="Q203" s="48">
        <v>2289424</v>
      </c>
      <c r="R203" s="48"/>
      <c r="S203" s="48">
        <f t="shared" si="3"/>
        <v>31552466</v>
      </c>
      <c r="T203" s="44"/>
      <c r="U203" s="48">
        <v>1301858</v>
      </c>
      <c r="W203" s="44">
        <f>+S203-'Stmt net assets'!O203-U203</f>
        <v>0</v>
      </c>
    </row>
    <row r="204" spans="1:23" s="65" customFormat="1" ht="12.75" customHeight="1">
      <c r="A204" s="35" t="s">
        <v>233</v>
      </c>
      <c r="B204" s="51"/>
      <c r="C204" s="35" t="s">
        <v>111</v>
      </c>
      <c r="D204" s="35"/>
      <c r="E204" s="48">
        <v>1852100</v>
      </c>
      <c r="F204" s="48"/>
      <c r="G204" s="48">
        <v>3070000</v>
      </c>
      <c r="H204" s="48"/>
      <c r="I204" s="48">
        <v>0</v>
      </c>
      <c r="J204" s="48"/>
      <c r="K204" s="48">
        <v>0</v>
      </c>
      <c r="L204" s="48"/>
      <c r="M204" s="48">
        <v>23832</v>
      </c>
      <c r="N204" s="48"/>
      <c r="O204" s="48">
        <v>205469</v>
      </c>
      <c r="P204" s="48"/>
      <c r="Q204" s="48">
        <v>0</v>
      </c>
      <c r="R204" s="48"/>
      <c r="S204" s="48">
        <f t="shared" si="3"/>
        <v>5151401</v>
      </c>
      <c r="T204" s="44"/>
      <c r="U204" s="48">
        <v>624774</v>
      </c>
      <c r="W204" s="44">
        <f>+S204-'Stmt net assets'!O204-U204</f>
        <v>0</v>
      </c>
    </row>
    <row r="205" spans="1:23" s="65" customFormat="1" ht="12.75" customHeight="1">
      <c r="A205" s="35" t="s">
        <v>234</v>
      </c>
      <c r="B205" s="51"/>
      <c r="C205" s="35" t="s">
        <v>45</v>
      </c>
      <c r="D205" s="35"/>
      <c r="E205" s="48">
        <v>3910408</v>
      </c>
      <c r="F205" s="48"/>
      <c r="G205" s="48">
        <v>0</v>
      </c>
      <c r="H205" s="48"/>
      <c r="I205" s="48">
        <v>0</v>
      </c>
      <c r="J205" s="48"/>
      <c r="K205" s="48">
        <v>12760</v>
      </c>
      <c r="L205" s="48"/>
      <c r="M205" s="48">
        <v>14360</v>
      </c>
      <c r="N205" s="48"/>
      <c r="O205" s="48">
        <v>706950</v>
      </c>
      <c r="P205" s="48"/>
      <c r="Q205" s="48">
        <v>2719468</v>
      </c>
      <c r="R205" s="48"/>
      <c r="S205" s="48">
        <f t="shared" si="3"/>
        <v>7363946</v>
      </c>
      <c r="T205" s="44"/>
      <c r="U205" s="48">
        <v>561398</v>
      </c>
      <c r="W205" s="44">
        <f>+S205-'Stmt net assets'!O205-U205</f>
        <v>0</v>
      </c>
    </row>
    <row r="206" spans="1:23" s="65" customFormat="1" ht="12.75" customHeight="1">
      <c r="A206" s="35" t="s">
        <v>235</v>
      </c>
      <c r="B206" s="51"/>
      <c r="C206" s="35" t="s">
        <v>183</v>
      </c>
      <c r="D206" s="35"/>
      <c r="E206" s="48">
        <v>15237000</v>
      </c>
      <c r="F206" s="48"/>
      <c r="G206" s="48">
        <v>305000</v>
      </c>
      <c r="H206" s="48"/>
      <c r="I206" s="48">
        <v>0</v>
      </c>
      <c r="J206" s="48"/>
      <c r="K206" s="48">
        <v>5000000</v>
      </c>
      <c r="L206" s="48"/>
      <c r="M206" s="48">
        <v>0</v>
      </c>
      <c r="N206" s="48"/>
      <c r="O206" s="48">
        <v>6691000</v>
      </c>
      <c r="P206" s="48"/>
      <c r="Q206" s="48">
        <v>681000</v>
      </c>
      <c r="R206" s="48"/>
      <c r="S206" s="48">
        <f t="shared" si="3"/>
        <v>27914000</v>
      </c>
      <c r="T206" s="44"/>
      <c r="U206" s="48">
        <v>2768000</v>
      </c>
      <c r="W206" s="44">
        <f>+S206-'Stmt net assets'!O206-U206</f>
        <v>0</v>
      </c>
    </row>
    <row r="207" spans="1:23" s="65" customFormat="1" ht="12.75" customHeight="1">
      <c r="A207" s="35" t="s">
        <v>236</v>
      </c>
      <c r="B207" s="51"/>
      <c r="C207" s="35" t="s">
        <v>45</v>
      </c>
      <c r="D207" s="35"/>
      <c r="E207" s="48">
        <v>2305000</v>
      </c>
      <c r="F207" s="48"/>
      <c r="G207" s="48">
        <v>0</v>
      </c>
      <c r="H207" s="48"/>
      <c r="I207" s="48">
        <v>0</v>
      </c>
      <c r="J207" s="48"/>
      <c r="K207" s="48">
        <v>34944</v>
      </c>
      <c r="L207" s="48"/>
      <c r="M207" s="48">
        <v>0</v>
      </c>
      <c r="N207" s="48"/>
      <c r="O207" s="48">
        <v>1830560</v>
      </c>
      <c r="P207" s="48"/>
      <c r="Q207" s="48">
        <v>815993</v>
      </c>
      <c r="R207" s="48"/>
      <c r="S207" s="48">
        <f t="shared" si="3"/>
        <v>4986497</v>
      </c>
      <c r="T207" s="44"/>
      <c r="U207" s="48">
        <v>186371</v>
      </c>
      <c r="W207" s="44">
        <f>+S207-'Stmt net assets'!O207-U207</f>
        <v>0</v>
      </c>
    </row>
    <row r="208" spans="1:23" s="65" customFormat="1" ht="12.75" customHeight="1">
      <c r="A208" s="35" t="s">
        <v>237</v>
      </c>
      <c r="B208" s="51"/>
      <c r="C208" s="35" t="s">
        <v>33</v>
      </c>
      <c r="D208" s="35"/>
      <c r="E208" s="48">
        <v>315000</v>
      </c>
      <c r="F208" s="48"/>
      <c r="G208" s="48">
        <v>0</v>
      </c>
      <c r="H208" s="48"/>
      <c r="I208" s="48">
        <v>934209</v>
      </c>
      <c r="J208" s="48"/>
      <c r="K208" s="48">
        <v>0</v>
      </c>
      <c r="L208" s="48"/>
      <c r="M208" s="48">
        <v>1473</v>
      </c>
      <c r="N208" s="48"/>
      <c r="O208" s="48">
        <v>73512</v>
      </c>
      <c r="P208" s="48"/>
      <c r="Q208" s="48">
        <v>0</v>
      </c>
      <c r="R208" s="48"/>
      <c r="S208" s="48">
        <f t="shared" si="3"/>
        <v>1324194</v>
      </c>
      <c r="T208" s="44"/>
      <c r="U208" s="48">
        <v>120921</v>
      </c>
      <c r="W208" s="44">
        <f>+S208-'Stmt net assets'!O208-U208</f>
        <v>0</v>
      </c>
    </row>
    <row r="209" spans="1:23" s="65" customFormat="1" ht="12.75" customHeight="1">
      <c r="A209" s="35" t="s">
        <v>238</v>
      </c>
      <c r="B209" s="51"/>
      <c r="C209" s="35" t="s">
        <v>239</v>
      </c>
      <c r="D209" s="35"/>
      <c r="E209" s="48">
        <v>0</v>
      </c>
      <c r="F209" s="48"/>
      <c r="G209" s="48">
        <v>0</v>
      </c>
      <c r="H209" s="48"/>
      <c r="I209" s="48">
        <v>0</v>
      </c>
      <c r="J209" s="48"/>
      <c r="K209" s="48">
        <v>0</v>
      </c>
      <c r="L209" s="48"/>
      <c r="M209" s="48">
        <v>0</v>
      </c>
      <c r="N209" s="48"/>
      <c r="O209" s="48">
        <v>355776</v>
      </c>
      <c r="P209" s="48"/>
      <c r="Q209" s="48">
        <v>0</v>
      </c>
      <c r="R209" s="48"/>
      <c r="S209" s="48">
        <f t="shared" si="3"/>
        <v>355776</v>
      </c>
      <c r="T209" s="44"/>
      <c r="U209" s="48">
        <v>73272</v>
      </c>
      <c r="W209" s="44">
        <f>+S209-'Stmt net assets'!O209-U209</f>
        <v>0</v>
      </c>
    </row>
    <row r="210" spans="1:23" s="65" customFormat="1" ht="12.75" customHeight="1">
      <c r="A210" s="35" t="s">
        <v>487</v>
      </c>
      <c r="B210" s="51"/>
      <c r="C210" s="35" t="s">
        <v>249</v>
      </c>
      <c r="D210" s="35"/>
      <c r="E210" s="48">
        <v>0</v>
      </c>
      <c r="F210" s="48"/>
      <c r="G210" s="48">
        <v>0</v>
      </c>
      <c r="H210" s="48"/>
      <c r="I210" s="48">
        <v>0</v>
      </c>
      <c r="J210" s="48"/>
      <c r="K210" s="48">
        <v>1650340</v>
      </c>
      <c r="L210" s="48"/>
      <c r="M210" s="48">
        <v>30013</v>
      </c>
      <c r="N210" s="48"/>
      <c r="O210" s="48">
        <v>1381528</v>
      </c>
      <c r="P210" s="48"/>
      <c r="Q210" s="48">
        <v>2756123</v>
      </c>
      <c r="R210" s="48"/>
      <c r="S210" s="48">
        <f>SUM(E210:Q210)</f>
        <v>5818004</v>
      </c>
      <c r="T210" s="44"/>
      <c r="U210" s="48">
        <v>547271</v>
      </c>
      <c r="W210" s="44">
        <f>+S210-'Stmt net assets'!O210-U210</f>
        <v>0</v>
      </c>
    </row>
    <row r="211" spans="1:23" s="65" customFormat="1" ht="12.75" customHeight="1">
      <c r="A211" s="35" t="s">
        <v>240</v>
      </c>
      <c r="B211" s="51"/>
      <c r="C211" s="35" t="s">
        <v>13</v>
      </c>
      <c r="D211" s="35"/>
      <c r="E211" s="48">
        <v>8866189</v>
      </c>
      <c r="F211" s="48"/>
      <c r="G211" s="48">
        <v>0</v>
      </c>
      <c r="H211" s="48"/>
      <c r="I211" s="48">
        <v>14565172</v>
      </c>
      <c r="J211" s="48"/>
      <c r="K211" s="48">
        <v>0</v>
      </c>
      <c r="L211" s="48"/>
      <c r="M211" s="48">
        <v>0</v>
      </c>
      <c r="N211" s="48"/>
      <c r="O211" s="48">
        <v>5082097</v>
      </c>
      <c r="P211" s="48"/>
      <c r="Q211" s="48">
        <v>0</v>
      </c>
      <c r="R211" s="48"/>
      <c r="S211" s="48">
        <f t="shared" si="3"/>
        <v>28513458</v>
      </c>
      <c r="T211" s="44"/>
      <c r="U211" s="48">
        <v>2092052</v>
      </c>
      <c r="W211" s="44">
        <f>+S211-'Stmt net assets'!O211-U211</f>
        <v>0</v>
      </c>
    </row>
    <row r="212" spans="1:23" s="155" customFormat="1" ht="12.75" hidden="1" customHeight="1">
      <c r="A212" s="142" t="s">
        <v>241</v>
      </c>
      <c r="B212" s="140"/>
      <c r="C212" s="142" t="s">
        <v>22</v>
      </c>
      <c r="D212" s="142"/>
      <c r="E212" s="148">
        <v>0</v>
      </c>
      <c r="F212" s="148"/>
      <c r="G212" s="148">
        <v>0</v>
      </c>
      <c r="H212" s="148"/>
      <c r="I212" s="148">
        <v>0</v>
      </c>
      <c r="J212" s="148"/>
      <c r="K212" s="148">
        <v>0</v>
      </c>
      <c r="L212" s="148"/>
      <c r="M212" s="148">
        <v>0</v>
      </c>
      <c r="N212" s="148"/>
      <c r="O212" s="148">
        <v>0</v>
      </c>
      <c r="P212" s="148"/>
      <c r="Q212" s="148">
        <v>0</v>
      </c>
      <c r="R212" s="148"/>
      <c r="S212" s="148">
        <f t="shared" si="3"/>
        <v>0</v>
      </c>
      <c r="T212" s="137"/>
      <c r="U212" s="148">
        <v>0</v>
      </c>
      <c r="V212" s="141"/>
      <c r="W212" s="137">
        <f>+S212-'Stmt net assets'!O212-U212</f>
        <v>0</v>
      </c>
    </row>
    <row r="213" spans="1:23" s="65" customFormat="1" ht="12.75" customHeight="1">
      <c r="A213" s="35" t="s">
        <v>242</v>
      </c>
      <c r="B213" s="51"/>
      <c r="C213" s="35" t="s">
        <v>27</v>
      </c>
      <c r="D213" s="35"/>
      <c r="E213" s="48">
        <v>38440000</v>
      </c>
      <c r="F213" s="48"/>
      <c r="G213" s="48">
        <v>1485000</v>
      </c>
      <c r="H213" s="48"/>
      <c r="I213" s="48">
        <v>0</v>
      </c>
      <c r="J213" s="48"/>
      <c r="K213" s="48">
        <v>157602</v>
      </c>
      <c r="L213" s="48"/>
      <c r="M213" s="48">
        <v>0</v>
      </c>
      <c r="N213" s="48"/>
      <c r="O213" s="48">
        <v>2763566</v>
      </c>
      <c r="P213" s="48"/>
      <c r="Q213" s="48">
        <v>0</v>
      </c>
      <c r="R213" s="48"/>
      <c r="S213" s="48">
        <f t="shared" si="3"/>
        <v>42846168</v>
      </c>
      <c r="T213" s="44"/>
      <c r="U213" s="48">
        <v>3747834</v>
      </c>
      <c r="W213" s="44">
        <f>+S213-'Stmt net assets'!O213-U213</f>
        <v>0</v>
      </c>
    </row>
    <row r="214" spans="1:23" s="65" customFormat="1" ht="12.75" customHeight="1">
      <c r="A214" s="35" t="s">
        <v>243</v>
      </c>
      <c r="C214" s="35" t="s">
        <v>163</v>
      </c>
      <c r="D214" s="35"/>
      <c r="E214" s="48">
        <v>11207750</v>
      </c>
      <c r="F214" s="48"/>
      <c r="G214" s="48">
        <v>17250</v>
      </c>
      <c r="H214" s="48"/>
      <c r="I214" s="48">
        <v>4807331</v>
      </c>
      <c r="J214" s="48"/>
      <c r="K214" s="48">
        <v>0</v>
      </c>
      <c r="L214" s="48"/>
      <c r="M214" s="48">
        <v>0</v>
      </c>
      <c r="N214" s="48"/>
      <c r="O214" s="48">
        <v>1581210</v>
      </c>
      <c r="P214" s="48"/>
      <c r="Q214" s="48">
        <v>0</v>
      </c>
      <c r="R214" s="48"/>
      <c r="S214" s="48">
        <f t="shared" ref="S214:S256" si="4">SUM(E214:Q214)</f>
        <v>17613541</v>
      </c>
      <c r="T214" s="44"/>
      <c r="U214" s="48">
        <v>5588941</v>
      </c>
      <c r="W214" s="44">
        <f>+S214-'Stmt net assets'!O214-U214</f>
        <v>0</v>
      </c>
    </row>
    <row r="215" spans="1:23" s="65" customFormat="1" ht="12.75" customHeight="1">
      <c r="A215" s="35" t="s">
        <v>244</v>
      </c>
      <c r="B215" s="51"/>
      <c r="C215" s="35" t="s">
        <v>13</v>
      </c>
      <c r="D215" s="35"/>
      <c r="E215" s="48">
        <v>7937000</v>
      </c>
      <c r="F215" s="48"/>
      <c r="G215" s="48">
        <v>830000</v>
      </c>
      <c r="H215" s="48"/>
      <c r="I215" s="48">
        <v>0</v>
      </c>
      <c r="J215" s="48"/>
      <c r="K215" s="48">
        <v>0</v>
      </c>
      <c r="L215" s="48"/>
      <c r="M215" s="48">
        <v>291053</v>
      </c>
      <c r="N215" s="48"/>
      <c r="O215" s="48">
        <v>874756</v>
      </c>
      <c r="P215" s="48"/>
      <c r="Q215" s="48">
        <v>111260</v>
      </c>
      <c r="R215" s="48"/>
      <c r="S215" s="48">
        <f t="shared" si="4"/>
        <v>10044069</v>
      </c>
      <c r="T215" s="44"/>
      <c r="U215" s="48">
        <v>682204</v>
      </c>
      <c r="W215" s="44">
        <f>+S215-'Stmt net assets'!O215-U215</f>
        <v>0</v>
      </c>
    </row>
    <row r="216" spans="1:23" s="65" customFormat="1" ht="12.75" customHeight="1">
      <c r="A216" s="35" t="s">
        <v>341</v>
      </c>
      <c r="B216" s="51"/>
      <c r="C216" s="35" t="s">
        <v>110</v>
      </c>
      <c r="D216" s="35"/>
      <c r="E216" s="48">
        <v>300000</v>
      </c>
      <c r="F216" s="48"/>
      <c r="G216" s="48">
        <v>445000</v>
      </c>
      <c r="H216" s="48"/>
      <c r="I216" s="48">
        <v>0</v>
      </c>
      <c r="J216" s="48"/>
      <c r="K216" s="48">
        <v>0</v>
      </c>
      <c r="L216" s="48"/>
      <c r="M216" s="48">
        <v>247549</v>
      </c>
      <c r="N216" s="48"/>
      <c r="O216" s="48">
        <v>1052514</v>
      </c>
      <c r="P216" s="48"/>
      <c r="Q216" s="48">
        <v>193768</v>
      </c>
      <c r="R216" s="48"/>
      <c r="S216" s="48">
        <f t="shared" si="4"/>
        <v>2238831</v>
      </c>
      <c r="T216" s="44"/>
      <c r="U216" s="48">
        <v>989637</v>
      </c>
      <c r="W216" s="44">
        <f>+S216-'Stmt net assets'!O216-U216</f>
        <v>0</v>
      </c>
    </row>
    <row r="217" spans="1:23" s="65" customFormat="1" ht="12.75" customHeight="1">
      <c r="A217" s="35" t="s">
        <v>246</v>
      </c>
      <c r="B217" s="51"/>
      <c r="C217" s="35" t="s">
        <v>209</v>
      </c>
      <c r="D217" s="35"/>
      <c r="E217" s="48">
        <v>5690000</v>
      </c>
      <c r="F217" s="48"/>
      <c r="G217" s="48">
        <v>825000</v>
      </c>
      <c r="H217" s="48"/>
      <c r="I217" s="48">
        <v>0</v>
      </c>
      <c r="J217" s="48"/>
      <c r="K217" s="48">
        <v>0</v>
      </c>
      <c r="L217" s="48"/>
      <c r="M217" s="48">
        <v>32146</v>
      </c>
      <c r="N217" s="48"/>
      <c r="O217" s="48">
        <v>782067</v>
      </c>
      <c r="P217" s="48"/>
      <c r="Q217" s="48">
        <v>0</v>
      </c>
      <c r="R217" s="48"/>
      <c r="S217" s="48">
        <f t="shared" si="4"/>
        <v>7329213</v>
      </c>
      <c r="T217" s="44"/>
      <c r="U217" s="48">
        <v>1067288</v>
      </c>
      <c r="W217" s="44">
        <f>+S217-'Stmt net assets'!O217-U217</f>
        <v>0</v>
      </c>
    </row>
    <row r="218" spans="1:23" s="65" customFormat="1" ht="12.75" customHeight="1">
      <c r="A218" s="35" t="s">
        <v>247</v>
      </c>
      <c r="C218" s="35" t="s">
        <v>163</v>
      </c>
      <c r="D218" s="35"/>
      <c r="E218" s="48">
        <v>95971000</v>
      </c>
      <c r="F218" s="48"/>
      <c r="G218" s="48">
        <v>0</v>
      </c>
      <c r="H218" s="48"/>
      <c r="I218" s="48">
        <v>13315000</v>
      </c>
      <c r="J218" s="48"/>
      <c r="K218" s="48">
        <v>52966000</v>
      </c>
      <c r="L218" s="48"/>
      <c r="M218" s="48">
        <v>17123000</v>
      </c>
      <c r="N218" s="48"/>
      <c r="O218" s="48">
        <v>43510000</v>
      </c>
      <c r="P218" s="48"/>
      <c r="Q218" s="48">
        <v>60871000</v>
      </c>
      <c r="R218" s="48"/>
      <c r="S218" s="48">
        <f t="shared" si="4"/>
        <v>283756000</v>
      </c>
      <c r="T218" s="44"/>
      <c r="U218" s="48">
        <v>49249000</v>
      </c>
      <c r="W218" s="44">
        <f>+S218-'Stmt net assets'!O218-U218</f>
        <v>0</v>
      </c>
    </row>
    <row r="219" spans="1:23" s="65" customFormat="1" ht="12.75" customHeight="1">
      <c r="A219" s="35" t="s">
        <v>248</v>
      </c>
      <c r="C219" s="35" t="s">
        <v>249</v>
      </c>
      <c r="D219" s="35"/>
      <c r="E219" s="48">
        <v>0</v>
      </c>
      <c r="F219" s="48"/>
      <c r="G219" s="48">
        <v>0</v>
      </c>
      <c r="H219" s="48"/>
      <c r="I219" s="48">
        <v>0</v>
      </c>
      <c r="J219" s="48"/>
      <c r="K219" s="48">
        <v>0</v>
      </c>
      <c r="L219" s="48"/>
      <c r="M219" s="48">
        <v>0</v>
      </c>
      <c r="N219" s="48"/>
      <c r="O219" s="48">
        <v>327663</v>
      </c>
      <c r="P219" s="48"/>
      <c r="Q219" s="48">
        <v>842045</v>
      </c>
      <c r="R219" s="48"/>
      <c r="S219" s="48">
        <f t="shared" si="4"/>
        <v>1169708</v>
      </c>
      <c r="T219" s="44"/>
      <c r="U219" s="48">
        <v>64984</v>
      </c>
      <c r="W219" s="44">
        <f>+S219-'Stmt net assets'!O219-U219</f>
        <v>0</v>
      </c>
    </row>
    <row r="220" spans="1:23" s="65" customFormat="1" ht="12.75" customHeight="1">
      <c r="A220" s="35" t="s">
        <v>250</v>
      </c>
      <c r="B220" s="51"/>
      <c r="C220" s="35" t="s">
        <v>103</v>
      </c>
      <c r="D220" s="35"/>
      <c r="E220" s="48">
        <v>398003</v>
      </c>
      <c r="F220" s="48"/>
      <c r="G220" s="48">
        <v>0</v>
      </c>
      <c r="H220" s="48"/>
      <c r="I220" s="48">
        <v>0</v>
      </c>
      <c r="J220" s="48"/>
      <c r="K220" s="48">
        <v>6774</v>
      </c>
      <c r="L220" s="48"/>
      <c r="M220" s="48">
        <v>0</v>
      </c>
      <c r="N220" s="48"/>
      <c r="O220" s="48">
        <v>138994</v>
      </c>
      <c r="P220" s="48"/>
      <c r="Q220" s="48">
        <v>0</v>
      </c>
      <c r="R220" s="48"/>
      <c r="S220" s="48">
        <f t="shared" si="4"/>
        <v>543771</v>
      </c>
      <c r="T220" s="44"/>
      <c r="U220" s="48">
        <v>128751</v>
      </c>
      <c r="W220" s="44">
        <f>+S220-'Stmt net assets'!O220-U220</f>
        <v>0</v>
      </c>
    </row>
    <row r="221" spans="1:23" s="65" customFormat="1" ht="12.75" customHeight="1">
      <c r="A221" s="35" t="s">
        <v>251</v>
      </c>
      <c r="B221" s="51"/>
      <c r="C221" s="35" t="s">
        <v>66</v>
      </c>
      <c r="D221" s="35"/>
      <c r="E221" s="48"/>
      <c r="F221" s="48"/>
      <c r="G221" s="48"/>
      <c r="H221" s="48"/>
      <c r="I221" s="48"/>
      <c r="J221" s="48"/>
      <c r="K221" s="48"/>
      <c r="L221" s="48"/>
      <c r="M221" s="48">
        <v>519828</v>
      </c>
      <c r="N221" s="48"/>
      <c r="O221" s="48">
        <v>785305</v>
      </c>
      <c r="P221" s="48"/>
      <c r="Q221" s="48">
        <v>8170000</v>
      </c>
      <c r="R221" s="48"/>
      <c r="S221" s="48">
        <f t="shared" si="4"/>
        <v>9475133</v>
      </c>
      <c r="T221" s="44"/>
      <c r="U221" s="48">
        <v>1080488</v>
      </c>
      <c r="W221" s="44">
        <f>+S221-'Stmt net assets'!O221-U221</f>
        <v>0</v>
      </c>
    </row>
    <row r="222" spans="1:23" s="65" customFormat="1" ht="12.75" customHeight="1">
      <c r="A222" s="35" t="s">
        <v>252</v>
      </c>
      <c r="B222" s="51"/>
      <c r="C222" s="35" t="s">
        <v>209</v>
      </c>
      <c r="D222" s="35"/>
      <c r="E222" s="48">
        <v>11055000</v>
      </c>
      <c r="F222" s="48"/>
      <c r="G222" s="48">
        <v>134000</v>
      </c>
      <c r="H222" s="48"/>
      <c r="I222" s="48">
        <v>0</v>
      </c>
      <c r="J222" s="48"/>
      <c r="K222" s="48">
        <v>0</v>
      </c>
      <c r="L222" s="48"/>
      <c r="M222" s="48">
        <v>0</v>
      </c>
      <c r="N222" s="48"/>
      <c r="O222" s="48">
        <v>1431557</v>
      </c>
      <c r="P222" s="48"/>
      <c r="Q222" s="48">
        <v>0</v>
      </c>
      <c r="R222" s="48"/>
      <c r="S222" s="48">
        <f t="shared" si="4"/>
        <v>12620557</v>
      </c>
      <c r="T222" s="44"/>
      <c r="U222" s="48">
        <v>1016319</v>
      </c>
      <c r="W222" s="44">
        <f>+S222-'Stmt net assets'!O222-U222</f>
        <v>0</v>
      </c>
    </row>
    <row r="223" spans="1:23" s="65" customFormat="1" ht="12.75" customHeight="1">
      <c r="A223" s="35" t="s">
        <v>253</v>
      </c>
      <c r="B223" s="51"/>
      <c r="C223" s="35" t="s">
        <v>13</v>
      </c>
      <c r="D223" s="35"/>
      <c r="E223" s="48">
        <v>12590163</v>
      </c>
      <c r="F223" s="48"/>
      <c r="G223" s="48">
        <v>380000</v>
      </c>
      <c r="H223" s="48"/>
      <c r="I223" s="48">
        <v>0</v>
      </c>
      <c r="J223" s="48"/>
      <c r="K223" s="48">
        <v>1709374</v>
      </c>
      <c r="L223" s="48"/>
      <c r="M223" s="48">
        <v>0</v>
      </c>
      <c r="N223" s="48"/>
      <c r="O223" s="48">
        <v>1790620</v>
      </c>
      <c r="P223" s="48"/>
      <c r="Q223" s="48">
        <v>0</v>
      </c>
      <c r="R223" s="48"/>
      <c r="S223" s="48">
        <f>SUM(E223:Q223)</f>
        <v>16470157</v>
      </c>
      <c r="T223" s="44"/>
      <c r="U223" s="48">
        <v>1444317</v>
      </c>
      <c r="W223" s="44">
        <f>+S223-'Stmt net assets'!O223-U223</f>
        <v>0</v>
      </c>
    </row>
    <row r="224" spans="1:23" s="65" customFormat="1" ht="12" customHeight="1">
      <c r="A224" s="35" t="s">
        <v>254</v>
      </c>
      <c r="B224" s="51"/>
      <c r="C224" s="35" t="s">
        <v>89</v>
      </c>
      <c r="D224" s="35"/>
      <c r="E224" s="48">
        <v>4500000</v>
      </c>
      <c r="F224" s="48"/>
      <c r="G224" s="48">
        <v>0</v>
      </c>
      <c r="H224" s="48"/>
      <c r="I224" s="48">
        <v>0</v>
      </c>
      <c r="J224" s="48"/>
      <c r="K224" s="48">
        <v>435818</v>
      </c>
      <c r="L224" s="48"/>
      <c r="M224" s="48">
        <v>0</v>
      </c>
      <c r="N224" s="48"/>
      <c r="O224" s="48">
        <v>187260</v>
      </c>
      <c r="P224" s="48"/>
      <c r="Q224" s="48">
        <v>309050</v>
      </c>
      <c r="R224" s="48"/>
      <c r="S224" s="48">
        <f t="shared" si="4"/>
        <v>5432128</v>
      </c>
      <c r="T224" s="44"/>
      <c r="U224" s="48">
        <v>162720</v>
      </c>
      <c r="W224" s="44">
        <f>+S224-'Stmt net assets'!O224-U224</f>
        <v>0</v>
      </c>
    </row>
    <row r="225" spans="1:23" s="65" customFormat="1" ht="12.75" customHeight="1">
      <c r="A225" s="35" t="s">
        <v>159</v>
      </c>
      <c r="C225" s="35" t="s">
        <v>66</v>
      </c>
      <c r="D225" s="35"/>
      <c r="E225" s="48">
        <v>1460000</v>
      </c>
      <c r="F225" s="48"/>
      <c r="G225" s="48">
        <v>0</v>
      </c>
      <c r="H225" s="48"/>
      <c r="I225" s="48">
        <v>0</v>
      </c>
      <c r="J225" s="48"/>
      <c r="K225" s="48">
        <v>0</v>
      </c>
      <c r="L225" s="48"/>
      <c r="M225" s="48">
        <v>174256</v>
      </c>
      <c r="N225" s="48"/>
      <c r="O225" s="48">
        <v>57828</v>
      </c>
      <c r="P225" s="48"/>
      <c r="Q225" s="48">
        <v>0</v>
      </c>
      <c r="R225" s="48"/>
      <c r="S225" s="48">
        <f>SUM(E225:Q225)</f>
        <v>1692084</v>
      </c>
      <c r="T225" s="44"/>
      <c r="U225" s="48">
        <v>171454</v>
      </c>
      <c r="W225" s="44">
        <f>+S225-'Stmt net assets'!O225-U225</f>
        <v>0</v>
      </c>
    </row>
    <row r="226" spans="1:23" s="65" customFormat="1" ht="12.75" customHeight="1">
      <c r="A226" s="35" t="s">
        <v>255</v>
      </c>
      <c r="B226" s="51"/>
      <c r="C226" s="35" t="s">
        <v>27</v>
      </c>
      <c r="D226" s="35"/>
      <c r="E226" s="48">
        <v>835000</v>
      </c>
      <c r="F226" s="48"/>
      <c r="G226" s="48">
        <v>0</v>
      </c>
      <c r="H226" s="48"/>
      <c r="I226" s="48">
        <v>2815000</v>
      </c>
      <c r="J226" s="48"/>
      <c r="K226" s="48">
        <v>395921</v>
      </c>
      <c r="L226" s="48"/>
      <c r="M226" s="48">
        <v>411712</v>
      </c>
      <c r="N226" s="48"/>
      <c r="O226" s="48">
        <v>1400832</v>
      </c>
      <c r="P226" s="48"/>
      <c r="Q226" s="48">
        <v>544042</v>
      </c>
      <c r="R226" s="48"/>
      <c r="S226" s="48">
        <f t="shared" si="4"/>
        <v>6402507</v>
      </c>
      <c r="T226" s="44"/>
      <c r="U226" s="48">
        <v>3733369</v>
      </c>
      <c r="W226" s="44">
        <f>+S226-'Stmt net assets'!O226-U226</f>
        <v>0</v>
      </c>
    </row>
    <row r="227" spans="1:23" s="65" customFormat="1" ht="12.75" customHeight="1">
      <c r="A227" s="35" t="s">
        <v>256</v>
      </c>
      <c r="C227" s="35" t="s">
        <v>43</v>
      </c>
      <c r="D227" s="35"/>
      <c r="E227" s="48">
        <v>18173319</v>
      </c>
      <c r="F227" s="48"/>
      <c r="G227" s="48">
        <v>0</v>
      </c>
      <c r="H227" s="48"/>
      <c r="I227" s="48">
        <v>3972000</v>
      </c>
      <c r="J227" s="48"/>
      <c r="K227" s="48">
        <v>207218</v>
      </c>
      <c r="L227" s="48"/>
      <c r="M227" s="48">
        <v>0</v>
      </c>
      <c r="N227" s="48"/>
      <c r="O227" s="48">
        <v>2744366</v>
      </c>
      <c r="P227" s="48"/>
      <c r="Q227" s="48">
        <v>0</v>
      </c>
      <c r="R227" s="48"/>
      <c r="S227" s="48">
        <f>SUM(E227:Q227)</f>
        <v>25096903</v>
      </c>
      <c r="T227" s="44"/>
      <c r="U227" s="48">
        <v>5920667</v>
      </c>
      <c r="W227" s="44">
        <f>+S227-'Stmt net assets'!O227-U227</f>
        <v>0</v>
      </c>
    </row>
    <row r="228" spans="1:23" s="65" customFormat="1" ht="12.75" customHeight="1">
      <c r="A228" s="35" t="s">
        <v>257</v>
      </c>
      <c r="B228" s="51"/>
      <c r="C228" s="35" t="s">
        <v>258</v>
      </c>
      <c r="D228" s="35"/>
      <c r="E228" s="48">
        <v>0</v>
      </c>
      <c r="F228" s="48"/>
      <c r="G228" s="48">
        <v>0</v>
      </c>
      <c r="H228" s="48"/>
      <c r="I228" s="48">
        <v>0</v>
      </c>
      <c r="J228" s="48"/>
      <c r="K228" s="48">
        <v>5880074</v>
      </c>
      <c r="L228" s="48"/>
      <c r="M228" s="48">
        <v>12522</v>
      </c>
      <c r="N228" s="48"/>
      <c r="O228" s="48">
        <v>137820</v>
      </c>
      <c r="P228" s="48"/>
      <c r="Q228" s="48">
        <v>1529480</v>
      </c>
      <c r="R228" s="48"/>
      <c r="S228" s="48">
        <f>SUM(E228:Q228)</f>
        <v>7559896</v>
      </c>
      <c r="T228" s="44"/>
      <c r="U228" s="48">
        <v>551797</v>
      </c>
      <c r="W228" s="44">
        <f>+S228-'Stmt net assets'!O228-U228</f>
        <v>0</v>
      </c>
    </row>
    <row r="229" spans="1:23" s="65" customFormat="1" ht="12.75" customHeight="1">
      <c r="A229" s="35" t="s">
        <v>259</v>
      </c>
      <c r="B229" s="51"/>
      <c r="C229" s="35" t="s">
        <v>369</v>
      </c>
      <c r="D229" s="35"/>
      <c r="E229" s="48">
        <f>48000+460000+410000+551740+2030000</f>
        <v>3499740</v>
      </c>
      <c r="F229" s="48"/>
      <c r="G229" s="48">
        <v>0</v>
      </c>
      <c r="H229" s="48"/>
      <c r="I229" s="48">
        <v>0</v>
      </c>
      <c r="J229" s="48"/>
      <c r="K229" s="48">
        <v>0</v>
      </c>
      <c r="L229" s="48"/>
      <c r="M229" s="48">
        <v>0</v>
      </c>
      <c r="N229" s="48"/>
      <c r="O229" s="48">
        <f>658853+78685+436+128407</f>
        <v>866381</v>
      </c>
      <c r="P229" s="48"/>
      <c r="Q229" s="48">
        <f>268627+1340204</f>
        <v>1608831</v>
      </c>
      <c r="R229" s="48"/>
      <c r="S229" s="48">
        <f>SUM(E229:Q229)</f>
        <v>5974952</v>
      </c>
      <c r="T229" s="44"/>
      <c r="U229" s="48">
        <v>616938</v>
      </c>
      <c r="W229" s="44">
        <f>+S229-'Stmt net assets'!O229-U229</f>
        <v>0</v>
      </c>
    </row>
    <row r="230" spans="1:23" s="65" customFormat="1" ht="12.75" customHeight="1">
      <c r="A230" s="35" t="s">
        <v>261</v>
      </c>
      <c r="C230" s="35" t="s">
        <v>66</v>
      </c>
      <c r="D230" s="35"/>
      <c r="E230" s="48">
        <v>9635744</v>
      </c>
      <c r="F230" s="48"/>
      <c r="G230" s="48">
        <v>0</v>
      </c>
      <c r="H230" s="48"/>
      <c r="I230" s="48">
        <v>0</v>
      </c>
      <c r="J230" s="48"/>
      <c r="K230" s="48">
        <v>0</v>
      </c>
      <c r="L230" s="48"/>
      <c r="M230" s="48">
        <v>826855</v>
      </c>
      <c r="N230" s="48"/>
      <c r="O230" s="48">
        <v>1210808</v>
      </c>
      <c r="P230" s="48"/>
      <c r="Q230" s="48">
        <v>0</v>
      </c>
      <c r="R230" s="48"/>
      <c r="S230" s="48">
        <f t="shared" si="4"/>
        <v>11673407</v>
      </c>
      <c r="T230" s="44"/>
      <c r="U230" s="48">
        <v>1239317</v>
      </c>
      <c r="W230" s="44">
        <f>+S230-'Stmt net assets'!O230-U230</f>
        <v>0</v>
      </c>
    </row>
    <row r="231" spans="1:23" s="65" customFormat="1" ht="12.75" hidden="1" customHeight="1">
      <c r="A231" s="35"/>
      <c r="C231" s="35"/>
      <c r="D231" s="35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4"/>
      <c r="U231" s="48"/>
      <c r="W231" s="44"/>
    </row>
    <row r="232" spans="1:23" s="65" customFormat="1" ht="12.75" customHeight="1">
      <c r="A232" s="35" t="s">
        <v>262</v>
      </c>
      <c r="C232" s="35" t="s">
        <v>132</v>
      </c>
      <c r="D232" s="35"/>
      <c r="E232" s="48">
        <v>1064080</v>
      </c>
      <c r="F232" s="48"/>
      <c r="G232" s="48">
        <v>55920</v>
      </c>
      <c r="H232" s="48"/>
      <c r="I232" s="48">
        <v>0</v>
      </c>
      <c r="J232" s="48"/>
      <c r="K232" s="48">
        <v>0</v>
      </c>
      <c r="L232" s="48"/>
      <c r="M232" s="48">
        <v>0</v>
      </c>
      <c r="N232" s="48"/>
      <c r="O232" s="48">
        <v>596933</v>
      </c>
      <c r="P232" s="48"/>
      <c r="Q232" s="48">
        <v>104029</v>
      </c>
      <c r="R232" s="48"/>
      <c r="S232" s="48">
        <f t="shared" si="4"/>
        <v>1820962</v>
      </c>
      <c r="T232" s="44"/>
      <c r="U232" s="48">
        <v>533523</v>
      </c>
      <c r="W232" s="44">
        <f>+S232-'Stmt net assets'!O232-U232</f>
        <v>0</v>
      </c>
    </row>
    <row r="233" spans="1:23" s="65" customFormat="1" ht="12.75" customHeight="1">
      <c r="A233" s="35" t="s">
        <v>263</v>
      </c>
      <c r="B233" s="51"/>
      <c r="C233" s="35" t="s">
        <v>53</v>
      </c>
      <c r="D233" s="35"/>
      <c r="E233" s="48">
        <v>725000</v>
      </c>
      <c r="F233" s="48"/>
      <c r="G233" s="48">
        <v>0</v>
      </c>
      <c r="H233" s="48"/>
      <c r="I233" s="48">
        <v>0</v>
      </c>
      <c r="J233" s="48"/>
      <c r="K233" s="48">
        <v>0</v>
      </c>
      <c r="L233" s="48"/>
      <c r="M233" s="48">
        <v>0</v>
      </c>
      <c r="N233" s="48"/>
      <c r="O233" s="48">
        <v>2800475</v>
      </c>
      <c r="P233" s="48"/>
      <c r="Q233" s="48">
        <v>100523</v>
      </c>
      <c r="R233" s="48"/>
      <c r="S233" s="48">
        <f t="shared" si="4"/>
        <v>3625998</v>
      </c>
      <c r="T233" s="44"/>
      <c r="U233" s="48">
        <v>823630</v>
      </c>
      <c r="W233" s="44">
        <f>+S233-'Stmt net assets'!O233-U233</f>
        <v>0</v>
      </c>
    </row>
    <row r="234" spans="1:23" s="65" customFormat="1" ht="12.75" customHeight="1">
      <c r="A234" s="35" t="s">
        <v>264</v>
      </c>
      <c r="B234" s="51"/>
      <c r="C234" s="35" t="s">
        <v>239</v>
      </c>
      <c r="D234" s="35"/>
      <c r="E234" s="48">
        <v>1805581</v>
      </c>
      <c r="F234" s="48"/>
      <c r="G234" s="48">
        <v>0</v>
      </c>
      <c r="H234" s="48"/>
      <c r="I234" s="48">
        <v>0</v>
      </c>
      <c r="J234" s="48"/>
      <c r="K234" s="48">
        <v>0</v>
      </c>
      <c r="L234" s="48"/>
      <c r="M234" s="48">
        <v>31024</v>
      </c>
      <c r="N234" s="48"/>
      <c r="O234" s="48">
        <v>418228</v>
      </c>
      <c r="P234" s="48"/>
      <c r="Q234" s="48">
        <v>0</v>
      </c>
      <c r="R234" s="48"/>
      <c r="S234" s="48">
        <f t="shared" si="4"/>
        <v>2254833</v>
      </c>
      <c r="T234" s="44"/>
      <c r="U234" s="48">
        <v>551578</v>
      </c>
      <c r="W234" s="44">
        <f>+S234-'Stmt net assets'!O234-U234</f>
        <v>0</v>
      </c>
    </row>
    <row r="235" spans="1:23" s="65" customFormat="1" ht="12.75" customHeight="1">
      <c r="A235" s="35" t="s">
        <v>111</v>
      </c>
      <c r="B235" s="51"/>
      <c r="C235" s="35" t="s">
        <v>80</v>
      </c>
      <c r="D235" s="35"/>
      <c r="E235" s="48">
        <v>5785670</v>
      </c>
      <c r="F235" s="48"/>
      <c r="G235" s="48">
        <v>0</v>
      </c>
      <c r="H235" s="48"/>
      <c r="I235" s="48">
        <v>0</v>
      </c>
      <c r="J235" s="48"/>
      <c r="K235" s="48">
        <v>2789051</v>
      </c>
      <c r="L235" s="48"/>
      <c r="M235" s="48">
        <v>358231</v>
      </c>
      <c r="N235" s="48"/>
      <c r="O235" s="48">
        <v>5069512</v>
      </c>
      <c r="P235" s="48"/>
      <c r="Q235" s="48">
        <v>2755985</v>
      </c>
      <c r="R235" s="48"/>
      <c r="S235" s="48">
        <f t="shared" si="4"/>
        <v>16758449</v>
      </c>
      <c r="T235" s="44"/>
      <c r="U235" s="48">
        <v>2628232</v>
      </c>
      <c r="W235" s="44">
        <f>+S235-'Stmt net assets'!O235-U235</f>
        <v>0</v>
      </c>
    </row>
    <row r="236" spans="1:23" s="65" customFormat="1" ht="12.75" customHeight="1">
      <c r="A236" s="35" t="s">
        <v>265</v>
      </c>
      <c r="B236" s="51"/>
      <c r="C236" s="35" t="s">
        <v>27</v>
      </c>
      <c r="D236" s="35"/>
      <c r="E236" s="48">
        <v>3378500</v>
      </c>
      <c r="F236" s="48"/>
      <c r="G236" s="48">
        <v>362917</v>
      </c>
      <c r="H236" s="48"/>
      <c r="I236" s="48">
        <v>12479000</v>
      </c>
      <c r="J236" s="48"/>
      <c r="K236" s="48">
        <v>0</v>
      </c>
      <c r="L236" s="48"/>
      <c r="M236" s="48">
        <v>505569</v>
      </c>
      <c r="N236" s="48"/>
      <c r="O236" s="48">
        <v>1759847</v>
      </c>
      <c r="P236" s="48"/>
      <c r="Q236" s="48">
        <v>0</v>
      </c>
      <c r="R236" s="48"/>
      <c r="S236" s="48">
        <f t="shared" si="4"/>
        <v>18485833</v>
      </c>
      <c r="T236" s="44"/>
      <c r="U236" s="48">
        <v>14397816</v>
      </c>
      <c r="W236" s="44">
        <f>+S236-'Stmt net assets'!O236-U236</f>
        <v>0</v>
      </c>
    </row>
    <row r="237" spans="1:23" s="65" customFormat="1" ht="12.75" customHeight="1">
      <c r="A237" s="35" t="s">
        <v>40</v>
      </c>
      <c r="B237" s="51"/>
      <c r="C237" s="47" t="s">
        <v>452</v>
      </c>
      <c r="D237" s="35"/>
      <c r="E237" s="48">
        <v>0</v>
      </c>
      <c r="F237" s="48"/>
      <c r="G237" s="48">
        <v>0</v>
      </c>
      <c r="H237" s="48"/>
      <c r="I237" s="48">
        <v>2105000</v>
      </c>
      <c r="J237" s="48"/>
      <c r="K237" s="48">
        <v>0</v>
      </c>
      <c r="L237" s="48"/>
      <c r="M237" s="48">
        <v>0</v>
      </c>
      <c r="N237" s="48"/>
      <c r="O237" s="48">
        <v>574600</v>
      </c>
      <c r="P237" s="48"/>
      <c r="Q237" s="48">
        <v>11619117</v>
      </c>
      <c r="R237" s="48"/>
      <c r="S237" s="48">
        <f t="shared" si="4"/>
        <v>14298717</v>
      </c>
      <c r="T237" s="44"/>
      <c r="U237" s="48">
        <v>441130</v>
      </c>
      <c r="W237" s="44">
        <f>+S237-'Stmt net assets'!O237-U237</f>
        <v>0</v>
      </c>
    </row>
    <row r="238" spans="1:23" s="65" customFormat="1" ht="12.75" customHeight="1">
      <c r="A238" s="35" t="s">
        <v>266</v>
      </c>
      <c r="B238" s="51"/>
      <c r="C238" s="35" t="s">
        <v>267</v>
      </c>
      <c r="D238" s="35"/>
      <c r="E238" s="48">
        <v>0</v>
      </c>
      <c r="F238" s="48"/>
      <c r="G238" s="48">
        <v>0</v>
      </c>
      <c r="H238" s="48"/>
      <c r="I238" s="48">
        <v>3550000</v>
      </c>
      <c r="J238" s="48"/>
      <c r="K238" s="48">
        <v>0</v>
      </c>
      <c r="L238" s="48"/>
      <c r="M238" s="48">
        <v>44928</v>
      </c>
      <c r="N238" s="48"/>
      <c r="O238" s="48">
        <v>272711</v>
      </c>
      <c r="P238" s="48"/>
      <c r="Q238" s="48">
        <v>0</v>
      </c>
      <c r="R238" s="48"/>
      <c r="S238" s="48">
        <f t="shared" si="4"/>
        <v>3867639</v>
      </c>
      <c r="T238" s="44"/>
      <c r="U238" s="48">
        <v>432157</v>
      </c>
      <c r="W238" s="44">
        <f>+S238-'Stmt net assets'!O238-U238</f>
        <v>0</v>
      </c>
    </row>
    <row r="239" spans="1:23" s="65" customFormat="1" ht="12.75" customHeight="1">
      <c r="A239" s="64" t="s">
        <v>268</v>
      </c>
      <c r="B239" s="66"/>
      <c r="C239" s="64" t="s">
        <v>269</v>
      </c>
      <c r="D239" s="64"/>
      <c r="E239" s="48">
        <v>0</v>
      </c>
      <c r="F239" s="48"/>
      <c r="G239" s="48">
        <v>0</v>
      </c>
      <c r="H239" s="48"/>
      <c r="I239" s="48">
        <v>0</v>
      </c>
      <c r="J239" s="48"/>
      <c r="K239" s="48">
        <v>0</v>
      </c>
      <c r="L239" s="48"/>
      <c r="M239" s="48">
        <v>0</v>
      </c>
      <c r="N239" s="48"/>
      <c r="O239" s="48">
        <v>50172</v>
      </c>
      <c r="P239" s="48"/>
      <c r="Q239" s="48">
        <v>867574</v>
      </c>
      <c r="R239" s="48"/>
      <c r="S239" s="48">
        <f t="shared" si="4"/>
        <v>917746</v>
      </c>
      <c r="T239" s="44"/>
      <c r="U239" s="48">
        <v>787415</v>
      </c>
      <c r="W239" s="44">
        <f>+S239-'Stmt net assets'!O239-U239</f>
        <v>0</v>
      </c>
    </row>
    <row r="240" spans="1:23" s="65" customFormat="1" ht="12.75" customHeight="1">
      <c r="A240" s="35" t="s">
        <v>270</v>
      </c>
      <c r="B240" s="51"/>
      <c r="C240" s="35" t="s">
        <v>136</v>
      </c>
      <c r="D240" s="35"/>
      <c r="E240" s="48">
        <v>0</v>
      </c>
      <c r="F240" s="48"/>
      <c r="G240" s="48">
        <v>0</v>
      </c>
      <c r="H240" s="48"/>
      <c r="I240" s="48">
        <v>0</v>
      </c>
      <c r="J240" s="48"/>
      <c r="K240" s="48">
        <v>501641</v>
      </c>
      <c r="L240" s="48"/>
      <c r="M240" s="48">
        <v>0</v>
      </c>
      <c r="N240" s="48"/>
      <c r="O240" s="48">
        <v>59750</v>
      </c>
      <c r="P240" s="48"/>
      <c r="Q240" s="48">
        <v>0</v>
      </c>
      <c r="R240" s="48"/>
      <c r="S240" s="48">
        <f>SUM(E240:Q240)</f>
        <v>561391</v>
      </c>
      <c r="T240" s="44"/>
      <c r="U240" s="48">
        <v>115187</v>
      </c>
      <c r="W240" s="44">
        <f>+S240-'Stmt net assets'!O240-U240</f>
        <v>0</v>
      </c>
    </row>
    <row r="241" spans="1:23" s="65" customFormat="1" ht="12.75" customHeight="1">
      <c r="A241" s="35" t="s">
        <v>271</v>
      </c>
      <c r="B241" s="51"/>
      <c r="C241" s="35" t="s">
        <v>66</v>
      </c>
      <c r="D241" s="35"/>
      <c r="E241" s="48">
        <v>4035000</v>
      </c>
      <c r="F241" s="48"/>
      <c r="G241" s="48">
        <v>0</v>
      </c>
      <c r="H241" s="48"/>
      <c r="I241" s="48">
        <v>0</v>
      </c>
      <c r="J241" s="48"/>
      <c r="K241" s="48">
        <v>0</v>
      </c>
      <c r="L241" s="48"/>
      <c r="M241" s="48">
        <v>0</v>
      </c>
      <c r="N241" s="48"/>
      <c r="O241" s="48">
        <v>784104</v>
      </c>
      <c r="P241" s="48"/>
      <c r="Q241" s="48">
        <f>33000+80000+65000</f>
        <v>178000</v>
      </c>
      <c r="R241" s="48"/>
      <c r="S241" s="48">
        <f t="shared" si="4"/>
        <v>4997104</v>
      </c>
      <c r="T241" s="44"/>
      <c r="U241" s="48">
        <v>707052</v>
      </c>
      <c r="W241" s="44">
        <f>+S241-'Stmt net assets'!O241-U241</f>
        <v>0</v>
      </c>
    </row>
    <row r="242" spans="1:23" s="65" customFormat="1" ht="12.75" customHeight="1">
      <c r="A242" s="35" t="s">
        <v>272</v>
      </c>
      <c r="B242" s="51"/>
      <c r="C242" s="35" t="s">
        <v>43</v>
      </c>
      <c r="D242" s="35"/>
      <c r="E242" s="48">
        <v>25451222</v>
      </c>
      <c r="F242" s="48"/>
      <c r="G242" s="48">
        <v>0</v>
      </c>
      <c r="H242" s="48"/>
      <c r="I242" s="48">
        <v>0</v>
      </c>
      <c r="J242" s="48"/>
      <c r="K242" s="48">
        <v>0</v>
      </c>
      <c r="L242" s="48"/>
      <c r="M242" s="48">
        <v>0</v>
      </c>
      <c r="N242" s="48"/>
      <c r="O242" s="48">
        <v>4130335</v>
      </c>
      <c r="P242" s="48"/>
      <c r="Q242" s="48">
        <v>21463</v>
      </c>
      <c r="R242" s="48"/>
      <c r="S242" s="48">
        <f t="shared" si="4"/>
        <v>29603020</v>
      </c>
      <c r="T242" s="44"/>
      <c r="U242" s="48">
        <v>3595349</v>
      </c>
      <c r="W242" s="44">
        <f>+S242-'Stmt net assets'!O242-U242</f>
        <v>0</v>
      </c>
    </row>
    <row r="243" spans="1:23" s="66" customFormat="1" ht="12.75" customHeight="1">
      <c r="A243" s="35" t="s">
        <v>273</v>
      </c>
      <c r="B243" s="51"/>
      <c r="C243" s="35" t="s">
        <v>27</v>
      </c>
      <c r="D243" s="35"/>
      <c r="E243" s="48">
        <v>14157716</v>
      </c>
      <c r="F243" s="48"/>
      <c r="G243" s="48">
        <v>5683707</v>
      </c>
      <c r="H243" s="48"/>
      <c r="I243" s="48">
        <v>0</v>
      </c>
      <c r="J243" s="48"/>
      <c r="K243" s="48">
        <v>807993</v>
      </c>
      <c r="L243" s="48"/>
      <c r="M243" s="48">
        <v>0</v>
      </c>
      <c r="N243" s="48"/>
      <c r="O243" s="48">
        <v>4324362</v>
      </c>
      <c r="P243" s="48"/>
      <c r="Q243" s="48">
        <v>596320</v>
      </c>
      <c r="R243" s="48"/>
      <c r="S243" s="48">
        <f t="shared" si="4"/>
        <v>25570098</v>
      </c>
      <c r="T243" s="44"/>
      <c r="U243" s="48">
        <v>1648030</v>
      </c>
      <c r="V243" s="65"/>
      <c r="W243" s="44">
        <f>+S243-'Stmt net assets'!O243-U243</f>
        <v>0</v>
      </c>
    </row>
    <row r="244" spans="1:23" s="65" customFormat="1" ht="12.75" customHeight="1">
      <c r="A244" s="35" t="s">
        <v>274</v>
      </c>
      <c r="B244" s="51"/>
      <c r="C244" s="35" t="s">
        <v>43</v>
      </c>
      <c r="D244" s="35"/>
      <c r="E244" s="48">
        <v>2490000</v>
      </c>
      <c r="F244" s="48"/>
      <c r="G244" s="48">
        <v>0</v>
      </c>
      <c r="H244" s="48"/>
      <c r="I244" s="48">
        <v>0</v>
      </c>
      <c r="J244" s="48"/>
      <c r="K244" s="48">
        <v>0</v>
      </c>
      <c r="L244" s="48"/>
      <c r="M244" s="48">
        <v>9834</v>
      </c>
      <c r="N244" s="48"/>
      <c r="O244" s="48">
        <v>1514334</v>
      </c>
      <c r="P244" s="48"/>
      <c r="Q244" s="48">
        <v>108722</v>
      </c>
      <c r="R244" s="48"/>
      <c r="S244" s="48">
        <f t="shared" si="4"/>
        <v>4122890</v>
      </c>
      <c r="T244" s="44"/>
      <c r="U244" s="48">
        <v>1155777</v>
      </c>
      <c r="W244" s="44">
        <f>+S244-'Stmt net assets'!O244-U244</f>
        <v>0</v>
      </c>
    </row>
    <row r="245" spans="1:23" s="65" customFormat="1" ht="12.75" customHeight="1">
      <c r="A245" s="35" t="s">
        <v>275</v>
      </c>
      <c r="B245" s="51"/>
      <c r="C245" s="35" t="s">
        <v>92</v>
      </c>
      <c r="D245" s="35"/>
      <c r="E245" s="48">
        <v>2325000</v>
      </c>
      <c r="F245" s="48"/>
      <c r="G245" s="48">
        <v>0</v>
      </c>
      <c r="H245" s="48"/>
      <c r="I245" s="48">
        <v>0</v>
      </c>
      <c r="J245" s="48"/>
      <c r="K245" s="48">
        <v>82590</v>
      </c>
      <c r="L245" s="48"/>
      <c r="M245" s="48">
        <v>0</v>
      </c>
      <c r="N245" s="48"/>
      <c r="O245" s="48">
        <v>1468179</v>
      </c>
      <c r="P245" s="48"/>
      <c r="Q245" s="48">
        <v>0</v>
      </c>
      <c r="R245" s="48"/>
      <c r="S245" s="48">
        <f t="shared" si="4"/>
        <v>3875769</v>
      </c>
      <c r="T245" s="44"/>
      <c r="U245" s="48">
        <v>219815</v>
      </c>
      <c r="W245" s="44">
        <f>+S245-'Stmt net assets'!O245-U245</f>
        <v>0</v>
      </c>
    </row>
    <row r="246" spans="1:23" s="65" customFormat="1" ht="12.75" customHeight="1">
      <c r="A246" s="35" t="s">
        <v>276</v>
      </c>
      <c r="B246" s="51"/>
      <c r="C246" s="35" t="s">
        <v>38</v>
      </c>
      <c r="D246" s="35"/>
      <c r="E246" s="48">
        <v>0</v>
      </c>
      <c r="F246" s="48"/>
      <c r="G246" s="48">
        <v>0</v>
      </c>
      <c r="H246" s="48"/>
      <c r="I246" s="48">
        <v>0</v>
      </c>
      <c r="J246" s="48"/>
      <c r="K246" s="48">
        <v>479157</v>
      </c>
      <c r="L246" s="48"/>
      <c r="M246" s="48">
        <v>0</v>
      </c>
      <c r="N246" s="48"/>
      <c r="O246" s="48">
        <v>210523</v>
      </c>
      <c r="P246" s="48"/>
      <c r="Q246" s="48">
        <v>0</v>
      </c>
      <c r="R246" s="48"/>
      <c r="S246" s="48">
        <f t="shared" si="4"/>
        <v>689680</v>
      </c>
      <c r="T246" s="44"/>
      <c r="U246" s="48">
        <v>177737</v>
      </c>
      <c r="W246" s="44">
        <f>+S246-'Stmt net assets'!O246-U246</f>
        <v>0</v>
      </c>
    </row>
    <row r="247" spans="1:23" s="65" customFormat="1" ht="12.75" customHeight="1">
      <c r="A247" s="35" t="s">
        <v>277</v>
      </c>
      <c r="B247" s="51"/>
      <c r="C247" s="35" t="s">
        <v>92</v>
      </c>
      <c r="D247" s="35"/>
      <c r="E247" s="48">
        <v>12780367</v>
      </c>
      <c r="F247" s="48"/>
      <c r="G247" s="48">
        <v>275000</v>
      </c>
      <c r="H247" s="48"/>
      <c r="I247" s="48">
        <v>0</v>
      </c>
      <c r="J247" s="48"/>
      <c r="K247" s="48">
        <v>0</v>
      </c>
      <c r="L247" s="48"/>
      <c r="M247" s="48">
        <v>0</v>
      </c>
      <c r="N247" s="48"/>
      <c r="O247" s="48">
        <v>4947311</v>
      </c>
      <c r="P247" s="48"/>
      <c r="Q247" s="48">
        <v>1066297</v>
      </c>
      <c r="R247" s="48"/>
      <c r="S247" s="48">
        <f t="shared" si="4"/>
        <v>19068975</v>
      </c>
      <c r="T247" s="44"/>
      <c r="U247" s="48">
        <v>2217156</v>
      </c>
      <c r="W247" s="44">
        <f>+S247-'Stmt net assets'!O247-U247</f>
        <v>0</v>
      </c>
    </row>
    <row r="248" spans="1:23" s="65" customFormat="1" ht="12.75" customHeight="1">
      <c r="A248" s="35" t="s">
        <v>278</v>
      </c>
      <c r="B248" s="51"/>
      <c r="C248" s="35" t="s">
        <v>92</v>
      </c>
      <c r="D248" s="35"/>
      <c r="E248" s="48">
        <v>2588652</v>
      </c>
      <c r="F248" s="48"/>
      <c r="G248" s="48">
        <v>104148</v>
      </c>
      <c r="H248" s="48"/>
      <c r="I248" s="48">
        <v>0</v>
      </c>
      <c r="J248" s="48"/>
      <c r="K248" s="48">
        <v>0</v>
      </c>
      <c r="L248" s="48"/>
      <c r="M248" s="48">
        <v>0</v>
      </c>
      <c r="N248" s="48"/>
      <c r="O248" s="48">
        <v>516860</v>
      </c>
      <c r="P248" s="48"/>
      <c r="Q248" s="48">
        <v>0</v>
      </c>
      <c r="R248" s="48"/>
      <c r="S248" s="48">
        <f t="shared" si="4"/>
        <v>3209660</v>
      </c>
      <c r="T248" s="44"/>
      <c r="U248" s="48">
        <v>317491</v>
      </c>
      <c r="W248" s="44">
        <f>+S248-'Stmt net assets'!O248-U248</f>
        <v>0</v>
      </c>
    </row>
    <row r="249" spans="1:23" s="65" customFormat="1" ht="12.75" customHeight="1">
      <c r="A249" s="35" t="s">
        <v>279</v>
      </c>
      <c r="B249" s="51"/>
      <c r="C249" s="35" t="s">
        <v>92</v>
      </c>
      <c r="D249" s="35"/>
      <c r="E249" s="48">
        <v>0</v>
      </c>
      <c r="F249" s="48"/>
      <c r="G249" s="48">
        <v>0</v>
      </c>
      <c r="H249" s="48"/>
      <c r="I249" s="48">
        <v>2650000</v>
      </c>
      <c r="J249" s="48"/>
      <c r="K249" s="48">
        <v>220210</v>
      </c>
      <c r="L249" s="48"/>
      <c r="M249" s="48">
        <v>0</v>
      </c>
      <c r="N249" s="48"/>
      <c r="O249" s="48">
        <v>1206927</v>
      </c>
      <c r="P249" s="48"/>
      <c r="Q249" s="48">
        <v>0</v>
      </c>
      <c r="R249" s="48"/>
      <c r="S249" s="48">
        <f t="shared" si="4"/>
        <v>4077137</v>
      </c>
      <c r="T249" s="44"/>
      <c r="U249" s="48">
        <v>3091578</v>
      </c>
      <c r="W249" s="44">
        <f>+S249-'Stmt net assets'!O249-U249</f>
        <v>0</v>
      </c>
    </row>
    <row r="250" spans="1:23" s="65" customFormat="1" ht="12.75" customHeight="1">
      <c r="A250" s="35" t="s">
        <v>280</v>
      </c>
      <c r="B250" s="51"/>
      <c r="C250" s="35" t="s">
        <v>281</v>
      </c>
      <c r="D250" s="35"/>
      <c r="E250" s="48">
        <v>6345000</v>
      </c>
      <c r="F250" s="48"/>
      <c r="G250" s="48">
        <v>0</v>
      </c>
      <c r="H250" s="48"/>
      <c r="I250" s="48">
        <v>0</v>
      </c>
      <c r="J250" s="48"/>
      <c r="K250" s="48">
        <v>0</v>
      </c>
      <c r="L250" s="48"/>
      <c r="M250" s="48">
        <v>0</v>
      </c>
      <c r="N250" s="48"/>
      <c r="O250" s="48">
        <v>623194</v>
      </c>
      <c r="P250" s="48"/>
      <c r="Q250" s="48">
        <v>103873</v>
      </c>
      <c r="R250" s="48"/>
      <c r="S250" s="48">
        <f t="shared" si="4"/>
        <v>7072067</v>
      </c>
      <c r="T250" s="44"/>
      <c r="U250" s="48">
        <v>440372</v>
      </c>
      <c r="W250" s="44">
        <f>+S250-'Stmt net assets'!O250-U250</f>
        <v>0</v>
      </c>
    </row>
    <row r="251" spans="1:23" s="65" customFormat="1" ht="12.75" customHeight="1">
      <c r="A251" s="35" t="s">
        <v>282</v>
      </c>
      <c r="B251" s="51"/>
      <c r="C251" s="35" t="s">
        <v>199</v>
      </c>
      <c r="D251" s="35"/>
      <c r="E251" s="48">
        <v>492643</v>
      </c>
      <c r="F251" s="48"/>
      <c r="G251" s="48">
        <v>322357</v>
      </c>
      <c r="H251" s="48"/>
      <c r="I251" s="48">
        <v>0</v>
      </c>
      <c r="J251" s="48"/>
      <c r="K251" s="48">
        <v>0</v>
      </c>
      <c r="L251" s="48"/>
      <c r="M251" s="48">
        <v>0</v>
      </c>
      <c r="N251" s="48"/>
      <c r="O251" s="48">
        <v>1934617</v>
      </c>
      <c r="P251" s="48"/>
      <c r="Q251" s="48">
        <f>6799026-2749617</f>
        <v>4049409</v>
      </c>
      <c r="R251" s="48"/>
      <c r="S251" s="48">
        <f t="shared" si="4"/>
        <v>6799026</v>
      </c>
      <c r="T251" s="44"/>
      <c r="U251" s="48">
        <v>1310477</v>
      </c>
      <c r="W251" s="44">
        <f>+S251-'Stmt net assets'!O251-U251</f>
        <v>0</v>
      </c>
    </row>
    <row r="252" spans="1:23" s="65" customFormat="1" ht="12.75" customHeight="1">
      <c r="A252" s="35" t="s">
        <v>283</v>
      </c>
      <c r="B252" s="51"/>
      <c r="C252" s="35" t="s">
        <v>43</v>
      </c>
      <c r="D252" s="35"/>
      <c r="E252" s="48">
        <v>8415066</v>
      </c>
      <c r="F252" s="48"/>
      <c r="G252" s="48">
        <v>0</v>
      </c>
      <c r="H252" s="48"/>
      <c r="I252" s="48">
        <v>0</v>
      </c>
      <c r="J252" s="48"/>
      <c r="K252" s="48">
        <v>156201</v>
      </c>
      <c r="L252" s="48"/>
      <c r="M252" s="48">
        <v>0</v>
      </c>
      <c r="N252" s="48"/>
      <c r="O252" s="48">
        <v>1399083</v>
      </c>
      <c r="P252" s="48"/>
      <c r="Q252" s="48">
        <v>0</v>
      </c>
      <c r="R252" s="48"/>
      <c r="S252" s="48">
        <f t="shared" si="4"/>
        <v>9970350</v>
      </c>
      <c r="T252" s="44"/>
      <c r="U252" s="48">
        <v>453255</v>
      </c>
      <c r="W252" s="44">
        <f>+S252-'Stmt net assets'!O252-U252</f>
        <v>0</v>
      </c>
    </row>
    <row r="253" spans="1:23" s="65" customFormat="1" ht="12.75" customHeight="1">
      <c r="A253" s="35" t="s">
        <v>284</v>
      </c>
      <c r="B253" s="51"/>
      <c r="C253" s="35" t="s">
        <v>45</v>
      </c>
      <c r="D253" s="35"/>
      <c r="E253" s="48">
        <v>8414899</v>
      </c>
      <c r="F253" s="48"/>
      <c r="G253" s="48">
        <v>0</v>
      </c>
      <c r="H253" s="48"/>
      <c r="I253" s="48">
        <v>0</v>
      </c>
      <c r="J253" s="48"/>
      <c r="K253" s="48">
        <v>0</v>
      </c>
      <c r="L253" s="48"/>
      <c r="M253" s="48">
        <v>0</v>
      </c>
      <c r="N253" s="48"/>
      <c r="O253" s="48">
        <v>525532</v>
      </c>
      <c r="P253" s="48"/>
      <c r="Q253" s="48">
        <v>181022</v>
      </c>
      <c r="R253" s="48"/>
      <c r="S253" s="48">
        <f t="shared" si="4"/>
        <v>9121453</v>
      </c>
      <c r="T253" s="44"/>
      <c r="U253" s="48">
        <v>424284</v>
      </c>
      <c r="W253" s="44">
        <f>+S253-'Stmt net assets'!O253-U253</f>
        <v>0</v>
      </c>
    </row>
    <row r="254" spans="1:23" s="65" customFormat="1" ht="12.75" customHeight="1">
      <c r="A254" s="35" t="s">
        <v>285</v>
      </c>
      <c r="B254" s="51"/>
      <c r="C254" s="35" t="s">
        <v>30</v>
      </c>
      <c r="D254" s="35"/>
      <c r="E254" s="48">
        <v>1065000</v>
      </c>
      <c r="F254" s="48"/>
      <c r="G254" s="48">
        <v>0</v>
      </c>
      <c r="H254" s="48"/>
      <c r="I254" s="48">
        <v>0</v>
      </c>
      <c r="J254" s="48"/>
      <c r="K254" s="48">
        <v>0</v>
      </c>
      <c r="L254" s="48"/>
      <c r="M254" s="48">
        <v>1646267</v>
      </c>
      <c r="N254" s="48"/>
      <c r="O254" s="48">
        <v>1503523</v>
      </c>
      <c r="P254" s="48"/>
      <c r="Q254" s="48">
        <v>0</v>
      </c>
      <c r="R254" s="48"/>
      <c r="S254" s="48">
        <f t="shared" si="4"/>
        <v>4214790</v>
      </c>
      <c r="T254" s="44"/>
      <c r="U254" s="48">
        <v>530143</v>
      </c>
      <c r="W254" s="44">
        <f>+S254-'Stmt net assets'!O254-U254</f>
        <v>0</v>
      </c>
    </row>
    <row r="255" spans="1:23" s="65" customFormat="1" ht="12.75" customHeight="1">
      <c r="A255" s="35" t="s">
        <v>286</v>
      </c>
      <c r="C255" s="35" t="s">
        <v>61</v>
      </c>
      <c r="D255" s="35"/>
      <c r="E255" s="48">
        <v>22145000</v>
      </c>
      <c r="F255" s="48"/>
      <c r="G255" s="48">
        <v>0</v>
      </c>
      <c r="H255" s="48"/>
      <c r="I255" s="48">
        <v>0</v>
      </c>
      <c r="J255" s="48"/>
      <c r="K255" s="48">
        <v>4995668</v>
      </c>
      <c r="L255" s="48"/>
      <c r="M255" s="48">
        <v>392709</v>
      </c>
      <c r="N255" s="48"/>
      <c r="O255" s="48">
        <f>9142644-335312</f>
        <v>8807332</v>
      </c>
      <c r="P255" s="48"/>
      <c r="Q255" s="48">
        <v>0</v>
      </c>
      <c r="R255" s="48"/>
      <c r="S255" s="48">
        <f t="shared" si="4"/>
        <v>36340709</v>
      </c>
      <c r="T255" s="44"/>
      <c r="U255" s="48">
        <v>3588895</v>
      </c>
      <c r="W255" s="44">
        <f>+S255-'Stmt net assets'!O255-U255</f>
        <v>0</v>
      </c>
    </row>
    <row r="256" spans="1:23" s="65" customFormat="1" ht="12.75" customHeight="1">
      <c r="A256" s="35" t="s">
        <v>287</v>
      </c>
      <c r="C256" s="35" t="s">
        <v>288</v>
      </c>
      <c r="D256" s="35"/>
      <c r="E256" s="48">
        <v>2237701</v>
      </c>
      <c r="F256" s="48"/>
      <c r="G256" s="48">
        <v>0</v>
      </c>
      <c r="H256" s="48"/>
      <c r="I256" s="48">
        <v>0</v>
      </c>
      <c r="J256" s="48"/>
      <c r="K256" s="48">
        <v>4641113</v>
      </c>
      <c r="L256" s="48"/>
      <c r="M256" s="48">
        <v>0</v>
      </c>
      <c r="N256" s="48"/>
      <c r="O256" s="48">
        <v>1589639</v>
      </c>
      <c r="P256" s="48"/>
      <c r="Q256" s="48">
        <v>0</v>
      </c>
      <c r="R256" s="48"/>
      <c r="S256" s="48">
        <f t="shared" si="4"/>
        <v>8468453</v>
      </c>
      <c r="T256" s="44"/>
      <c r="U256" s="48">
        <v>1506700</v>
      </c>
      <c r="W256" s="44">
        <f>+S256-'Stmt net assets'!O256-U256</f>
        <v>0</v>
      </c>
    </row>
    <row r="257" spans="1:23" s="65" customFormat="1" ht="12.75" customHeight="1">
      <c r="A257" s="35"/>
      <c r="B257" s="51"/>
      <c r="C257" s="35"/>
      <c r="D257" s="35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4"/>
      <c r="U257" s="44"/>
      <c r="W257" s="44"/>
    </row>
    <row r="258" spans="1:23" s="65" customFormat="1" ht="12.75" customHeight="1">
      <c r="B258" s="51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U258" s="44"/>
      <c r="W258" s="44"/>
    </row>
    <row r="259" spans="1:23" s="65" customFormat="1" ht="12.75" customHeight="1">
      <c r="B259" s="51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U259" s="44"/>
      <c r="W259" s="44"/>
    </row>
    <row r="260" spans="1:23" s="65" customFormat="1" ht="12.75" customHeight="1">
      <c r="B260" s="51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U260" s="44"/>
      <c r="W260" s="44"/>
    </row>
    <row r="261" spans="1:23" s="65" customFormat="1" ht="12.75" customHeight="1">
      <c r="B261" s="51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U261" s="44"/>
      <c r="W261" s="44"/>
    </row>
    <row r="262" spans="1:23" s="65" customFormat="1" ht="12.75" customHeight="1">
      <c r="B262" s="51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U262" s="44"/>
      <c r="W262" s="44"/>
    </row>
    <row r="263" spans="1:23" s="65" customFormat="1" ht="12.75" customHeight="1">
      <c r="B263" s="51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U263" s="44"/>
      <c r="W263" s="44"/>
    </row>
    <row r="264" spans="1:23" s="65" customFormat="1" ht="12.75" customHeight="1">
      <c r="B264" s="51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U264" s="44"/>
      <c r="W264" s="44"/>
    </row>
    <row r="265" spans="1:23" s="65" customFormat="1" ht="12.75" customHeight="1">
      <c r="B265" s="51"/>
      <c r="U265" s="44"/>
      <c r="W265" s="44"/>
    </row>
    <row r="266" spans="1:23" s="65" customFormat="1" ht="12.75" customHeight="1">
      <c r="B266" s="51"/>
      <c r="U266" s="44"/>
      <c r="W266" s="44"/>
    </row>
    <row r="267" spans="1:23" s="65" customFormat="1" ht="12.75" customHeight="1">
      <c r="A267" s="44"/>
      <c r="B267" s="51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W267" s="44"/>
    </row>
    <row r="268" spans="1:23" s="65" customFormat="1" ht="12.75" customHeight="1">
      <c r="A268" s="44"/>
      <c r="B268" s="51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8"/>
      <c r="T268" s="44"/>
      <c r="U268" s="44"/>
      <c r="W268" s="44"/>
    </row>
    <row r="269" spans="1:23" s="65" customFormat="1" ht="12.75" customHeight="1">
      <c r="A269" s="44"/>
      <c r="B269" s="51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W269" s="44"/>
    </row>
    <row r="270" spans="1:23" s="65" customFormat="1" ht="12.75" customHeight="1">
      <c r="A270" s="44"/>
      <c r="B270" s="51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W270" s="44"/>
    </row>
    <row r="271" spans="1:23" s="65" customFormat="1" ht="12.75" customHeight="1">
      <c r="A271" s="44"/>
      <c r="B271" s="51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W271" s="44"/>
    </row>
    <row r="272" spans="1:23" s="65" customFormat="1" ht="12.75" customHeight="1">
      <c r="A272" s="44"/>
      <c r="B272" s="51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W272" s="44"/>
    </row>
    <row r="273" spans="1:23" s="65" customFormat="1" ht="12.75" customHeight="1">
      <c r="A273" s="44"/>
      <c r="B273" s="51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W273" s="44"/>
    </row>
    <row r="274" spans="1:23" s="65" customFormat="1" ht="12.75" customHeight="1">
      <c r="A274" s="44"/>
      <c r="B274" s="51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W274" s="44"/>
    </row>
    <row r="275" spans="1:23" s="65" customFormat="1" ht="12.75" customHeight="1">
      <c r="A275" s="44"/>
      <c r="B275" s="51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W275" s="44"/>
    </row>
    <row r="276" spans="1:23" s="65" customFormat="1" ht="12.75" customHeight="1">
      <c r="A276" s="44"/>
      <c r="B276" s="51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W276" s="44"/>
    </row>
    <row r="277" spans="1:23" s="65" customFormat="1" ht="12.75" customHeight="1">
      <c r="A277" s="44"/>
      <c r="B277" s="51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W277" s="44"/>
    </row>
    <row r="278" spans="1:23" ht="12.75" customHeight="1">
      <c r="A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3" ht="12.75" customHeight="1">
      <c r="A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3" ht="12.75" customHeight="1">
      <c r="A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3" ht="12.75" customHeight="1">
      <c r="A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3" ht="12.75" customHeight="1">
      <c r="A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3" ht="12.75" customHeight="1">
      <c r="A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3" ht="12.75" customHeight="1">
      <c r="A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3" ht="12.75" customHeight="1">
      <c r="A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3" ht="12.75" customHeight="1">
      <c r="A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3" ht="12.75" customHeight="1">
      <c r="A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3" ht="12.75" customHeight="1">
      <c r="A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12.75" customHeight="1">
      <c r="A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ht="12.75" customHeight="1">
      <c r="A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ht="12.75" customHeight="1">
      <c r="A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ht="12.75" customHeight="1">
      <c r="A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ht="12.75" customHeight="1">
      <c r="A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ht="12.75" customHeight="1">
      <c r="A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ht="12.75" customHeight="1">
      <c r="A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ht="12.75" customHeight="1">
      <c r="A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ht="12.75" customHeight="1">
      <c r="A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ht="12.75" customHeight="1">
      <c r="A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ht="12.75" customHeight="1">
      <c r="A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ht="12.75" customHeight="1">
      <c r="A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ht="12.75" customHeight="1">
      <c r="A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</sheetData>
  <phoneticPr fontId="4" type="noConversion"/>
  <pageMargins left="0.75" right="0.75" top="0.5" bottom="0.5" header="0" footer="0.25"/>
  <pageSetup scale="85" firstPageNumber="114" pageOrder="overThenDown" orientation="portrait" useFirstPageNumber="1" horizontalDpi="1200" verticalDpi="1200" r:id="rId1"/>
  <headerFooter alignWithMargins="0">
    <oddFooter>&amp;C&amp;"Times New Roman,Regular"&amp;11&amp;P</oddFooter>
  </headerFooter>
  <rowBreaks count="3" manualBreakCount="3">
    <brk id="72" max="20" man="1"/>
    <brk id="133" max="20" man="1"/>
    <brk id="197" max="20" man="1"/>
  </rowBreaks>
  <colBreaks count="1" manualBreakCount="1">
    <brk id="14" min="8" max="2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269"/>
  <sheetViews>
    <sheetView zoomScaleNormal="100" workbookViewId="0">
      <pane xSplit="3" ySplit="9" topLeftCell="D10" activePane="bottomRight" state="frozen"/>
      <selection pane="topRight" activeCell="D1" sqref="D1"/>
      <selection pane="bottomLeft" activeCell="A11" sqref="A11"/>
      <selection pane="bottomRight" activeCell="B4" sqref="B4"/>
    </sheetView>
  </sheetViews>
  <sheetFormatPr defaultRowHeight="12.75" customHeight="1"/>
  <cols>
    <col min="1" max="1" width="15.28515625" style="10" customWidth="1"/>
    <col min="2" max="2" width="1.7109375" style="10" customWidth="1"/>
    <col min="3" max="3" width="11" style="10" customWidth="1"/>
    <col min="4" max="4" width="1.7109375" style="10" customWidth="1"/>
    <col min="5" max="5" width="11.7109375" style="10" customWidth="1"/>
    <col min="6" max="6" width="1.7109375" style="10" customWidth="1"/>
    <col min="7" max="7" width="12.5703125" style="10" customWidth="1"/>
    <col min="8" max="8" width="1.7109375" style="10" customWidth="1"/>
    <col min="9" max="9" width="11.7109375" style="10" customWidth="1"/>
    <col min="10" max="10" width="2.7109375" style="10" customWidth="1"/>
    <col min="11" max="11" width="11.42578125" style="10" customWidth="1"/>
    <col min="12" max="12" width="1.7109375" style="10" customWidth="1"/>
    <col min="13" max="13" width="11.7109375" style="10" customWidth="1"/>
    <col min="14" max="14" width="1.7109375" style="10" customWidth="1"/>
    <col min="15" max="15" width="11.7109375" style="10" customWidth="1"/>
    <col min="16" max="16" width="1.7109375" style="10" customWidth="1"/>
    <col min="17" max="17" width="11.7109375" style="10" customWidth="1"/>
    <col min="18" max="18" width="1.7109375" style="10" customWidth="1"/>
    <col min="19" max="19" width="11.7109375" style="10" customWidth="1"/>
    <col min="20" max="20" width="1.7109375" style="10" customWidth="1"/>
    <col min="21" max="21" width="11.7109375" style="10" customWidth="1"/>
    <col min="22" max="22" width="1" style="10" customWidth="1"/>
    <col min="23" max="23" width="12.42578125" style="10" customWidth="1"/>
    <col min="24" max="24" width="1.7109375" style="10" customWidth="1"/>
    <col min="25" max="25" width="9" style="10" customWidth="1"/>
    <col min="26" max="26" width="1.7109375" style="10" customWidth="1"/>
    <col min="27" max="27" width="12.7109375" style="10" customWidth="1"/>
    <col min="28" max="28" width="2.7109375" style="10" customWidth="1"/>
    <col min="29" max="29" width="12.7109375" style="10" customWidth="1"/>
    <col min="30" max="30" width="9.28515625" style="10" bestFit="1" customWidth="1"/>
    <col min="31" max="31" width="11" style="10" bestFit="1" customWidth="1"/>
    <col min="32" max="16384" width="9.140625" style="10"/>
  </cols>
  <sheetData>
    <row r="1" spans="1:29" ht="12.75" customHeight="1">
      <c r="A1" s="9" t="s">
        <v>384</v>
      </c>
    </row>
    <row r="2" spans="1:29" ht="12.75" customHeight="1">
      <c r="A2" s="9" t="s">
        <v>489</v>
      </c>
    </row>
    <row r="3" spans="1:29" ht="12.75" customHeight="1">
      <c r="A3" s="9" t="s">
        <v>289</v>
      </c>
    </row>
    <row r="5" spans="1:29" ht="12.75" customHeight="1">
      <c r="A5" s="9"/>
      <c r="W5" s="12"/>
    </row>
    <row r="6" spans="1:29" ht="12.75" customHeight="1">
      <c r="E6" s="13" t="s">
        <v>291</v>
      </c>
      <c r="F6" s="13"/>
      <c r="G6" s="13"/>
      <c r="H6" s="13"/>
      <c r="I6" s="13"/>
      <c r="K6" s="172" t="s">
        <v>471</v>
      </c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56"/>
      <c r="W6" s="15"/>
      <c r="X6" s="14"/>
      <c r="Y6" s="14"/>
      <c r="Z6" s="14"/>
      <c r="AA6" s="15" t="s">
        <v>426</v>
      </c>
      <c r="AC6" s="15" t="s">
        <v>427</v>
      </c>
    </row>
    <row r="7" spans="1:29" ht="12.75" customHeight="1">
      <c r="G7" s="12" t="s">
        <v>399</v>
      </c>
      <c r="V7" s="19"/>
      <c r="W7" s="18"/>
      <c r="AA7" s="15" t="s">
        <v>445</v>
      </c>
      <c r="AC7" s="15" t="s">
        <v>445</v>
      </c>
    </row>
    <row r="8" spans="1:29" ht="12.75" customHeight="1">
      <c r="A8" s="11"/>
      <c r="C8" s="11"/>
      <c r="D8" s="11"/>
      <c r="E8" s="12" t="s">
        <v>292</v>
      </c>
      <c r="F8" s="12"/>
      <c r="G8" s="12" t="s">
        <v>361</v>
      </c>
      <c r="H8" s="12"/>
      <c r="I8" s="12" t="s">
        <v>4</v>
      </c>
      <c r="K8" s="15" t="s">
        <v>293</v>
      </c>
      <c r="L8" s="15"/>
      <c r="M8" s="15" t="s">
        <v>303</v>
      </c>
      <c r="N8" s="15"/>
      <c r="O8" s="15" t="s">
        <v>304</v>
      </c>
      <c r="P8" s="15"/>
      <c r="Q8" s="15" t="s">
        <v>11</v>
      </c>
      <c r="R8" s="15"/>
      <c r="S8" s="12" t="s">
        <v>295</v>
      </c>
      <c r="T8" s="12"/>
      <c r="U8" s="12"/>
      <c r="V8" s="12"/>
      <c r="W8" s="12" t="s">
        <v>301</v>
      </c>
      <c r="X8" s="12"/>
      <c r="Y8" s="12" t="s">
        <v>328</v>
      </c>
      <c r="Z8" s="12"/>
      <c r="AA8" s="15" t="s">
        <v>446</v>
      </c>
      <c r="AB8" s="19"/>
      <c r="AC8" s="15" t="s">
        <v>446</v>
      </c>
    </row>
    <row r="9" spans="1:29" s="47" customFormat="1" ht="12.75" customHeight="1">
      <c r="A9" s="100" t="s">
        <v>8</v>
      </c>
      <c r="C9" s="100" t="s">
        <v>9</v>
      </c>
      <c r="D9" s="50"/>
      <c r="E9" s="16" t="s">
        <v>297</v>
      </c>
      <c r="F9" s="18"/>
      <c r="G9" s="16" t="s">
        <v>400</v>
      </c>
      <c r="H9" s="18"/>
      <c r="I9" s="16" t="s">
        <v>298</v>
      </c>
      <c r="K9" s="16" t="s">
        <v>424</v>
      </c>
      <c r="L9" s="18"/>
      <c r="M9" s="16" t="s">
        <v>299</v>
      </c>
      <c r="N9" s="18"/>
      <c r="O9" s="16" t="s">
        <v>299</v>
      </c>
      <c r="P9" s="18"/>
      <c r="Q9" s="16" t="s">
        <v>298</v>
      </c>
      <c r="R9" s="18"/>
      <c r="S9" s="16" t="s">
        <v>300</v>
      </c>
      <c r="T9" s="18"/>
      <c r="U9" s="16" t="s">
        <v>294</v>
      </c>
      <c r="V9" s="18"/>
      <c r="W9" s="16" t="s">
        <v>440</v>
      </c>
      <c r="X9" s="18"/>
      <c r="Y9" s="16" t="s">
        <v>444</v>
      </c>
      <c r="Z9" s="18"/>
      <c r="AA9" s="16" t="s">
        <v>447</v>
      </c>
      <c r="AB9" s="18"/>
      <c r="AC9" s="16" t="s">
        <v>447</v>
      </c>
    </row>
    <row r="10" spans="1:29" s="47" customFormat="1" ht="12.75" customHeight="1">
      <c r="A10" s="26"/>
      <c r="C10" s="26"/>
      <c r="D10" s="50"/>
      <c r="E10" s="18"/>
      <c r="F10" s="18"/>
      <c r="G10" s="18"/>
      <c r="H10" s="18"/>
      <c r="I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</row>
    <row r="11" spans="1:29" s="46" customFormat="1" ht="12.75" customHeight="1">
      <c r="A11" s="47" t="s">
        <v>12</v>
      </c>
      <c r="B11" s="47"/>
      <c r="C11" s="47" t="s">
        <v>13</v>
      </c>
      <c r="D11" s="47"/>
      <c r="E11" s="46">
        <v>42478100</v>
      </c>
      <c r="G11" s="46">
        <v>21939297</v>
      </c>
      <c r="I11" s="46">
        <v>24822927</v>
      </c>
      <c r="K11" s="46">
        <v>30154104</v>
      </c>
      <c r="M11" s="46">
        <v>144647307</v>
      </c>
      <c r="O11" s="46">
        <v>16551588</v>
      </c>
      <c r="Q11" s="46">
        <v>65033815</v>
      </c>
      <c r="S11" s="46">
        <v>4820973</v>
      </c>
      <c r="U11" s="46">
        <v>10899487</v>
      </c>
      <c r="W11" s="46">
        <v>352150</v>
      </c>
      <c r="Y11" s="46">
        <v>223635</v>
      </c>
      <c r="AA11" s="46">
        <f>SUM(K11:Y11)</f>
        <v>272683059</v>
      </c>
      <c r="AC11" s="46">
        <f t="shared" ref="AC11:AC79" si="0">SUM(E11:Y11)</f>
        <v>361923383</v>
      </c>
    </row>
    <row r="12" spans="1:29" s="44" customFormat="1" ht="12.75" customHeight="1">
      <c r="A12" s="44" t="s">
        <v>14</v>
      </c>
      <c r="C12" s="44" t="s">
        <v>15</v>
      </c>
      <c r="E12" s="44">
        <v>1927812</v>
      </c>
      <c r="G12" s="44">
        <v>1690049</v>
      </c>
      <c r="I12" s="44">
        <v>125478</v>
      </c>
      <c r="K12" s="44">
        <f>929965+106890+106890+433737</f>
        <v>1577482</v>
      </c>
      <c r="M12" s="44">
        <f>7620500+431695+633635</f>
        <v>8685830</v>
      </c>
      <c r="O12" s="44">
        <v>0</v>
      </c>
      <c r="Q12" s="44">
        <v>1359491</v>
      </c>
      <c r="S12" s="44">
        <v>409233</v>
      </c>
      <c r="U12" s="44">
        <v>213713</v>
      </c>
      <c r="W12" s="44">
        <v>0</v>
      </c>
      <c r="Y12" s="44">
        <v>0</v>
      </c>
      <c r="AA12" s="44">
        <f t="shared" ref="AA12:AA79" si="1">SUM(K12:Y12)</f>
        <v>12245749</v>
      </c>
      <c r="AC12" s="44">
        <f t="shared" si="0"/>
        <v>15989088</v>
      </c>
    </row>
    <row r="13" spans="1:29" s="47" customFormat="1" ht="12.75" customHeight="1">
      <c r="A13" s="47" t="s">
        <v>16</v>
      </c>
      <c r="C13" s="47" t="s">
        <v>17</v>
      </c>
      <c r="E13" s="44">
        <v>662223</v>
      </c>
      <c r="F13" s="44"/>
      <c r="G13" s="44">
        <v>1032236</v>
      </c>
      <c r="H13" s="44"/>
      <c r="I13" s="44">
        <v>485007</v>
      </c>
      <c r="J13" s="44"/>
      <c r="K13" s="44">
        <f>1018775+216707+260139</f>
        <v>1495621</v>
      </c>
      <c r="L13" s="44"/>
      <c r="M13" s="44">
        <f>2090331+2106634</f>
        <v>4196965</v>
      </c>
      <c r="N13" s="44"/>
      <c r="O13" s="44">
        <v>0</v>
      </c>
      <c r="P13" s="44"/>
      <c r="Q13" s="44">
        <v>557878</v>
      </c>
      <c r="R13" s="44"/>
      <c r="S13" s="44">
        <v>1177999</v>
      </c>
      <c r="T13" s="44"/>
      <c r="U13" s="44">
        <f>201572+31967</f>
        <v>233539</v>
      </c>
      <c r="V13" s="44"/>
      <c r="W13" s="44">
        <v>0</v>
      </c>
      <c r="X13" s="44"/>
      <c r="Y13" s="44">
        <v>0</v>
      </c>
      <c r="Z13" s="44"/>
      <c r="AA13" s="44">
        <f t="shared" si="1"/>
        <v>7662002</v>
      </c>
      <c r="AB13" s="44"/>
      <c r="AC13" s="44">
        <f t="shared" si="0"/>
        <v>9841468</v>
      </c>
    </row>
    <row r="14" spans="1:29" s="46" customFormat="1" ht="12.75" customHeight="1">
      <c r="A14" s="47" t="s">
        <v>18</v>
      </c>
      <c r="B14" s="47"/>
      <c r="C14" s="47" t="s">
        <v>18</v>
      </c>
      <c r="D14" s="47"/>
      <c r="E14" s="44">
        <v>3437522</v>
      </c>
      <c r="F14" s="44"/>
      <c r="G14" s="44">
        <v>2978931</v>
      </c>
      <c r="H14" s="44"/>
      <c r="I14" s="44">
        <v>41447</v>
      </c>
      <c r="J14" s="44"/>
      <c r="K14" s="44">
        <f>694641+548527</f>
        <v>1243168</v>
      </c>
      <c r="L14" s="44"/>
      <c r="M14" s="44">
        <f>6711533+1782036</f>
        <v>8493569</v>
      </c>
      <c r="N14" s="44"/>
      <c r="O14" s="44">
        <v>0</v>
      </c>
      <c r="P14" s="44"/>
      <c r="Q14" s="44">
        <v>1512283</v>
      </c>
      <c r="R14" s="44"/>
      <c r="S14" s="44">
        <v>641645</v>
      </c>
      <c r="T14" s="44"/>
      <c r="U14" s="44">
        <f>16117+151748+906+113814</f>
        <v>282585</v>
      </c>
      <c r="V14" s="44"/>
      <c r="W14" s="44">
        <v>-331214</v>
      </c>
      <c r="X14" s="44"/>
      <c r="Y14" s="44">
        <v>0</v>
      </c>
      <c r="Z14" s="44"/>
      <c r="AA14" s="44">
        <f t="shared" si="1"/>
        <v>11842036</v>
      </c>
      <c r="AB14" s="44"/>
      <c r="AC14" s="44">
        <f t="shared" si="0"/>
        <v>18299936</v>
      </c>
    </row>
    <row r="15" spans="1:29" s="47" customFormat="1" ht="12.75" customHeight="1">
      <c r="A15" s="44" t="s">
        <v>19</v>
      </c>
      <c r="B15" s="46"/>
      <c r="C15" s="44" t="s">
        <v>19</v>
      </c>
      <c r="D15" s="44"/>
      <c r="E15" s="44">
        <v>3248207</v>
      </c>
      <c r="F15" s="44"/>
      <c r="G15" s="44">
        <v>281676</v>
      </c>
      <c r="H15" s="44"/>
      <c r="I15" s="44">
        <v>876220</v>
      </c>
      <c r="J15" s="44"/>
      <c r="K15" s="44">
        <f>1062359+631644+346265+486482</f>
        <v>2526750</v>
      </c>
      <c r="L15" s="44"/>
      <c r="M15" s="44">
        <f>6191921+684045</f>
        <v>6875966</v>
      </c>
      <c r="N15" s="44"/>
      <c r="O15" s="44">
        <v>0</v>
      </c>
      <c r="P15" s="44"/>
      <c r="Q15" s="44">
        <v>2484064</v>
      </c>
      <c r="R15" s="44"/>
      <c r="S15" s="44">
        <v>325184</v>
      </c>
      <c r="T15" s="44"/>
      <c r="U15" s="44">
        <v>214713</v>
      </c>
      <c r="V15" s="44"/>
      <c r="W15" s="44">
        <v>50000</v>
      </c>
      <c r="X15" s="44"/>
      <c r="Y15" s="44">
        <v>0</v>
      </c>
      <c r="Z15" s="44"/>
      <c r="AA15" s="44">
        <f t="shared" si="1"/>
        <v>12476677</v>
      </c>
      <c r="AB15" s="44"/>
      <c r="AC15" s="44">
        <f t="shared" si="0"/>
        <v>16882780</v>
      </c>
    </row>
    <row r="16" spans="1:29" s="47" customFormat="1" ht="12.75" customHeight="1">
      <c r="A16" s="47" t="s">
        <v>20</v>
      </c>
      <c r="C16" s="47" t="s">
        <v>20</v>
      </c>
      <c r="E16" s="44">
        <v>3854081</v>
      </c>
      <c r="F16" s="44"/>
      <c r="G16" s="44">
        <v>1567568</v>
      </c>
      <c r="H16" s="44"/>
      <c r="I16" s="44">
        <v>928180</v>
      </c>
      <c r="J16" s="44"/>
      <c r="K16" s="44">
        <v>909363</v>
      </c>
      <c r="L16" s="44"/>
      <c r="M16" s="44">
        <f>7104403+1894260</f>
        <v>8998663</v>
      </c>
      <c r="N16" s="44"/>
      <c r="O16" s="44">
        <f>221449+585982</f>
        <v>807431</v>
      </c>
      <c r="P16" s="44"/>
      <c r="Q16" s="44">
        <v>1119443</v>
      </c>
      <c r="R16" s="44"/>
      <c r="S16" s="44">
        <v>319737</v>
      </c>
      <c r="T16" s="44"/>
      <c r="U16" s="44">
        <v>423439</v>
      </c>
      <c r="V16" s="44"/>
      <c r="W16" s="44">
        <v>-346133</v>
      </c>
      <c r="X16" s="44"/>
      <c r="Y16" s="44">
        <v>0</v>
      </c>
      <c r="Z16" s="44"/>
      <c r="AA16" s="44">
        <f t="shared" si="1"/>
        <v>12231943</v>
      </c>
      <c r="AB16" s="44"/>
      <c r="AC16" s="44">
        <f t="shared" si="0"/>
        <v>18581772</v>
      </c>
    </row>
    <row r="17" spans="1:30" s="47" customFormat="1" ht="12.75" customHeight="1">
      <c r="A17" s="47" t="s">
        <v>21</v>
      </c>
      <c r="C17" s="47" t="s">
        <v>22</v>
      </c>
      <c r="E17" s="44">
        <v>899782</v>
      </c>
      <c r="F17" s="44"/>
      <c r="G17" s="44">
        <v>1069109</v>
      </c>
      <c r="H17" s="44"/>
      <c r="I17" s="44">
        <v>2503912</v>
      </c>
      <c r="J17" s="44"/>
      <c r="K17" s="44">
        <f>4091665+1102365</f>
        <v>5194030</v>
      </c>
      <c r="L17" s="44"/>
      <c r="M17" s="44">
        <f>10252990+600000</f>
        <v>10852990</v>
      </c>
      <c r="N17" s="44"/>
      <c r="O17" s="44">
        <v>0</v>
      </c>
      <c r="P17" s="44"/>
      <c r="Q17" s="44">
        <v>691280</v>
      </c>
      <c r="R17" s="44"/>
      <c r="S17" s="44">
        <v>885587</v>
      </c>
      <c r="T17" s="44"/>
      <c r="U17" s="44">
        <v>51358</v>
      </c>
      <c r="V17" s="44"/>
      <c r="W17" s="44">
        <v>-1016606</v>
      </c>
      <c r="X17" s="44"/>
      <c r="Y17" s="44">
        <v>0</v>
      </c>
      <c r="Z17" s="44"/>
      <c r="AA17" s="44">
        <f t="shared" si="1"/>
        <v>16658639</v>
      </c>
      <c r="AB17" s="44"/>
      <c r="AC17" s="44">
        <f t="shared" si="0"/>
        <v>21131442</v>
      </c>
      <c r="AD17" s="44"/>
    </row>
    <row r="18" spans="1:30" s="47" customFormat="1" ht="12.75" customHeight="1">
      <c r="A18" s="47" t="s">
        <v>23</v>
      </c>
      <c r="C18" s="47" t="s">
        <v>17</v>
      </c>
      <c r="E18" s="44">
        <v>2232229</v>
      </c>
      <c r="F18" s="44"/>
      <c r="G18" s="44">
        <v>1374943</v>
      </c>
      <c r="H18" s="44"/>
      <c r="I18" s="44">
        <v>0</v>
      </c>
      <c r="J18" s="44"/>
      <c r="K18" s="44">
        <f>1543962+690780+464321+201386+251185+86093+414954</f>
        <v>3652681</v>
      </c>
      <c r="L18" s="44"/>
      <c r="M18" s="44">
        <f>4326837+3466344</f>
        <v>7793181</v>
      </c>
      <c r="N18" s="44"/>
      <c r="O18" s="44">
        <v>0</v>
      </c>
      <c r="P18" s="44"/>
      <c r="Q18" s="44">
        <v>790842</v>
      </c>
      <c r="R18" s="44"/>
      <c r="S18" s="44">
        <v>911198</v>
      </c>
      <c r="T18" s="44"/>
      <c r="U18" s="44">
        <v>501637</v>
      </c>
      <c r="V18" s="44"/>
      <c r="W18" s="44">
        <v>-230000</v>
      </c>
      <c r="X18" s="44"/>
      <c r="Y18" s="44">
        <v>0</v>
      </c>
      <c r="Z18" s="44"/>
      <c r="AA18" s="44">
        <f t="shared" si="1"/>
        <v>13419539</v>
      </c>
      <c r="AB18" s="44"/>
      <c r="AC18" s="44">
        <f t="shared" si="0"/>
        <v>17026711</v>
      </c>
    </row>
    <row r="19" spans="1:30" s="47" customFormat="1" ht="12.75" customHeight="1">
      <c r="A19" s="47" t="s">
        <v>24</v>
      </c>
      <c r="C19" s="47" t="s">
        <v>17</v>
      </c>
      <c r="E19" s="44">
        <v>1230830</v>
      </c>
      <c r="F19" s="44"/>
      <c r="G19" s="44">
        <v>66797</v>
      </c>
      <c r="H19" s="44"/>
      <c r="I19" s="44">
        <v>2098063</v>
      </c>
      <c r="J19" s="44"/>
      <c r="K19" s="44">
        <v>5207484</v>
      </c>
      <c r="L19" s="44"/>
      <c r="M19" s="44">
        <v>9602798</v>
      </c>
      <c r="N19" s="44"/>
      <c r="O19" s="44">
        <v>0</v>
      </c>
      <c r="P19" s="44"/>
      <c r="Q19" s="44">
        <v>3343650</v>
      </c>
      <c r="R19" s="44"/>
      <c r="S19" s="44">
        <v>860731</v>
      </c>
      <c r="T19" s="44"/>
      <c r="U19" s="44">
        <v>67816</v>
      </c>
      <c r="V19" s="44"/>
      <c r="W19" s="44">
        <v>-434854</v>
      </c>
      <c r="X19" s="44"/>
      <c r="Y19" s="44">
        <v>412572</v>
      </c>
      <c r="Z19" s="44"/>
      <c r="AA19" s="44">
        <f t="shared" si="1"/>
        <v>19060197</v>
      </c>
      <c r="AB19" s="44"/>
      <c r="AC19" s="44">
        <f t="shared" si="0"/>
        <v>22455887</v>
      </c>
    </row>
    <row r="20" spans="1:30" s="47" customFormat="1" ht="12.75" customHeight="1">
      <c r="A20" s="47" t="s">
        <v>25</v>
      </c>
      <c r="C20" s="47" t="s">
        <v>13</v>
      </c>
      <c r="E20" s="44">
        <v>3388093</v>
      </c>
      <c r="F20" s="44"/>
      <c r="G20" s="44">
        <v>3105733</v>
      </c>
      <c r="H20" s="44"/>
      <c r="I20" s="44">
        <v>152821</v>
      </c>
      <c r="J20" s="44"/>
      <c r="K20" s="44">
        <f>1334131+116625+116911</f>
        <v>1567667</v>
      </c>
      <c r="L20" s="44"/>
      <c r="M20" s="44">
        <v>11217569</v>
      </c>
      <c r="N20" s="44"/>
      <c r="O20" s="44">
        <v>0</v>
      </c>
      <c r="P20" s="44"/>
      <c r="Q20" s="44">
        <v>2747481</v>
      </c>
      <c r="R20" s="44"/>
      <c r="S20" s="44">
        <v>681251</v>
      </c>
      <c r="T20" s="44"/>
      <c r="U20" s="44">
        <v>109704</v>
      </c>
      <c r="V20" s="44"/>
      <c r="W20" s="44">
        <v>-410000</v>
      </c>
      <c r="X20" s="44"/>
      <c r="Y20" s="44">
        <v>0</v>
      </c>
      <c r="Z20" s="44"/>
      <c r="AA20" s="44">
        <f t="shared" si="1"/>
        <v>15913672</v>
      </c>
      <c r="AB20" s="44"/>
      <c r="AC20" s="44">
        <f t="shared" si="0"/>
        <v>22560319</v>
      </c>
    </row>
    <row r="21" spans="1:30" s="47" customFormat="1" ht="12.75" customHeight="1">
      <c r="A21" s="47" t="s">
        <v>26</v>
      </c>
      <c r="C21" s="47" t="s">
        <v>27</v>
      </c>
      <c r="E21" s="44">
        <v>633349</v>
      </c>
      <c r="F21" s="44"/>
      <c r="G21" s="44">
        <v>741274</v>
      </c>
      <c r="H21" s="44"/>
      <c r="I21" s="44">
        <v>0</v>
      </c>
      <c r="J21" s="44"/>
      <c r="K21" s="44">
        <f>3738659+672105+222511+133548+133548+1731351</f>
        <v>6631722</v>
      </c>
      <c r="L21" s="44"/>
      <c r="M21" s="44">
        <f>4809289+102324+204652</f>
        <v>5116265</v>
      </c>
      <c r="N21" s="44"/>
      <c r="O21" s="44">
        <v>0</v>
      </c>
      <c r="P21" s="44"/>
      <c r="Q21" s="44">
        <v>18648154</v>
      </c>
      <c r="R21" s="44"/>
      <c r="S21" s="44">
        <v>840752</v>
      </c>
      <c r="T21" s="44"/>
      <c r="U21" s="44">
        <v>585135</v>
      </c>
      <c r="V21" s="44"/>
      <c r="W21" s="44">
        <v>-62875</v>
      </c>
      <c r="X21" s="44"/>
      <c r="Y21" s="44">
        <v>0</v>
      </c>
      <c r="Z21" s="44"/>
      <c r="AA21" s="44">
        <f t="shared" si="1"/>
        <v>31759153</v>
      </c>
      <c r="AB21" s="44"/>
      <c r="AC21" s="44">
        <f t="shared" si="0"/>
        <v>33133776</v>
      </c>
    </row>
    <row r="22" spans="1:30" s="47" customFormat="1" ht="12.75" customHeight="1">
      <c r="A22" s="47" t="s">
        <v>28</v>
      </c>
      <c r="C22" s="47" t="s">
        <v>27</v>
      </c>
      <c r="E22" s="44">
        <v>2770145</v>
      </c>
      <c r="F22" s="44"/>
      <c r="G22" s="44">
        <v>516739</v>
      </c>
      <c r="H22" s="44"/>
      <c r="I22" s="44">
        <v>1213633</v>
      </c>
      <c r="J22" s="44"/>
      <c r="K22" s="44">
        <f>3859866+224698</f>
        <v>4084564</v>
      </c>
      <c r="L22" s="44"/>
      <c r="M22" s="44">
        <v>20258412</v>
      </c>
      <c r="N22" s="44"/>
      <c r="O22" s="44">
        <v>0</v>
      </c>
      <c r="P22" s="44"/>
      <c r="Q22" s="44">
        <v>2744132</v>
      </c>
      <c r="R22" s="44"/>
      <c r="S22" s="44">
        <v>2102503</v>
      </c>
      <c r="T22" s="44"/>
      <c r="U22" s="44">
        <v>176172</v>
      </c>
      <c r="V22" s="44"/>
      <c r="W22" s="44">
        <v>0</v>
      </c>
      <c r="X22" s="44"/>
      <c r="Y22" s="44">
        <v>0</v>
      </c>
      <c r="Z22" s="44"/>
      <c r="AA22" s="44">
        <f t="shared" si="1"/>
        <v>29365783</v>
      </c>
      <c r="AB22" s="44"/>
      <c r="AC22" s="44">
        <f t="shared" si="0"/>
        <v>33866300</v>
      </c>
    </row>
    <row r="23" spans="1:30" s="47" customFormat="1" ht="12.75" customHeight="1">
      <c r="A23" s="47" t="s">
        <v>29</v>
      </c>
      <c r="C23" s="47" t="s">
        <v>30</v>
      </c>
      <c r="E23" s="44">
        <v>2276026</v>
      </c>
      <c r="F23" s="44"/>
      <c r="G23" s="44">
        <v>4040100</v>
      </c>
      <c r="H23" s="44"/>
      <c r="I23" s="44">
        <v>1703290</v>
      </c>
      <c r="J23" s="44"/>
      <c r="K23" s="44">
        <f>1221992+9553895+437641</f>
        <v>11213528</v>
      </c>
      <c r="L23" s="44"/>
      <c r="M23" s="44">
        <v>0</v>
      </c>
      <c r="N23" s="44"/>
      <c r="O23" s="44">
        <v>0</v>
      </c>
      <c r="P23" s="44"/>
      <c r="Q23" s="44">
        <v>2257907</v>
      </c>
      <c r="R23" s="44"/>
      <c r="S23" s="44">
        <v>386676</v>
      </c>
      <c r="T23" s="44"/>
      <c r="U23" s="44">
        <v>395188</v>
      </c>
      <c r="V23" s="44"/>
      <c r="W23" s="44">
        <v>-698325</v>
      </c>
      <c r="X23" s="44"/>
      <c r="Y23" s="44">
        <v>0</v>
      </c>
      <c r="Z23" s="44"/>
      <c r="AA23" s="44">
        <f t="shared" si="1"/>
        <v>13554974</v>
      </c>
      <c r="AB23" s="44"/>
      <c r="AC23" s="44">
        <f t="shared" si="0"/>
        <v>21574390</v>
      </c>
    </row>
    <row r="24" spans="1:30" s="47" customFormat="1" ht="12.75" customHeight="1">
      <c r="A24" s="47" t="s">
        <v>31</v>
      </c>
      <c r="C24" s="47" t="s">
        <v>27</v>
      </c>
      <c r="E24" s="44">
        <v>3224213</v>
      </c>
      <c r="F24" s="44"/>
      <c r="G24" s="44">
        <v>1605411</v>
      </c>
      <c r="H24" s="44"/>
      <c r="I24" s="44">
        <v>307611</v>
      </c>
      <c r="J24" s="44"/>
      <c r="K24" s="44">
        <f>2648487+957466</f>
        <v>3605953</v>
      </c>
      <c r="L24" s="44"/>
      <c r="M24" s="44">
        <f>9852161+769619</f>
        <v>10621780</v>
      </c>
      <c r="N24" s="44"/>
      <c r="O24" s="44">
        <v>0</v>
      </c>
      <c r="P24" s="44"/>
      <c r="Q24" s="44">
        <v>1735202</v>
      </c>
      <c r="R24" s="44"/>
      <c r="S24" s="44">
        <v>750070</v>
      </c>
      <c r="T24" s="44"/>
      <c r="U24" s="44">
        <f>38742+442004</f>
        <v>480746</v>
      </c>
      <c r="V24" s="44"/>
      <c r="W24" s="44">
        <v>0</v>
      </c>
      <c r="X24" s="44"/>
      <c r="Y24" s="44">
        <v>0</v>
      </c>
      <c r="Z24" s="44"/>
      <c r="AA24" s="44">
        <f t="shared" si="1"/>
        <v>17193751</v>
      </c>
      <c r="AB24" s="44"/>
      <c r="AC24" s="44">
        <f t="shared" si="0"/>
        <v>22330986</v>
      </c>
    </row>
    <row r="25" spans="1:30" s="47" customFormat="1" ht="12.75" customHeight="1">
      <c r="A25" s="47" t="s">
        <v>32</v>
      </c>
      <c r="C25" s="47" t="s">
        <v>27</v>
      </c>
      <c r="E25" s="44">
        <v>5644617</v>
      </c>
      <c r="F25" s="44"/>
      <c r="G25" s="44">
        <v>34948</v>
      </c>
      <c r="H25" s="44"/>
      <c r="I25" s="44">
        <v>0</v>
      </c>
      <c r="J25" s="44"/>
      <c r="K25" s="44">
        <f>1629561+1067042+592985+592800</f>
        <v>3882388</v>
      </c>
      <c r="L25" s="44"/>
      <c r="M25" s="44">
        <v>8811924</v>
      </c>
      <c r="N25" s="44"/>
      <c r="O25" s="44">
        <v>0</v>
      </c>
      <c r="P25" s="44"/>
      <c r="Q25" s="44">
        <v>1806464</v>
      </c>
      <c r="R25" s="44"/>
      <c r="S25" s="44">
        <v>306428</v>
      </c>
      <c r="T25" s="44"/>
      <c r="U25" s="44">
        <v>118356</v>
      </c>
      <c r="V25" s="44"/>
      <c r="W25" s="44">
        <v>62400</v>
      </c>
      <c r="X25" s="44"/>
      <c r="Y25" s="44">
        <v>0</v>
      </c>
      <c r="Z25" s="44"/>
      <c r="AA25" s="44">
        <f t="shared" si="1"/>
        <v>14987960</v>
      </c>
      <c r="AB25" s="44"/>
      <c r="AC25" s="44">
        <f t="shared" si="0"/>
        <v>20667525</v>
      </c>
    </row>
    <row r="26" spans="1:30" s="127" customFormat="1" ht="12.75" hidden="1" customHeight="1">
      <c r="A26" s="127" t="s">
        <v>34</v>
      </c>
      <c r="C26" s="127" t="s">
        <v>30</v>
      </c>
      <c r="E26" s="122">
        <v>0</v>
      </c>
      <c r="F26" s="122"/>
      <c r="G26" s="122">
        <v>0</v>
      </c>
      <c r="H26" s="122"/>
      <c r="I26" s="122">
        <v>0</v>
      </c>
      <c r="J26" s="122"/>
      <c r="K26" s="122">
        <v>0</v>
      </c>
      <c r="L26" s="122"/>
      <c r="M26" s="122">
        <v>0</v>
      </c>
      <c r="N26" s="122"/>
      <c r="O26" s="122">
        <v>0</v>
      </c>
      <c r="P26" s="122"/>
      <c r="Q26" s="122">
        <v>0</v>
      </c>
      <c r="R26" s="122"/>
      <c r="S26" s="122">
        <v>0</v>
      </c>
      <c r="T26" s="122"/>
      <c r="U26" s="122">
        <v>0</v>
      </c>
      <c r="V26" s="122"/>
      <c r="W26" s="122">
        <v>0</v>
      </c>
      <c r="X26" s="122"/>
      <c r="Y26" s="122">
        <v>0</v>
      </c>
      <c r="Z26" s="122"/>
      <c r="AA26" s="122">
        <f t="shared" si="1"/>
        <v>0</v>
      </c>
      <c r="AB26" s="122"/>
      <c r="AC26" s="122">
        <f t="shared" si="0"/>
        <v>0</v>
      </c>
    </row>
    <row r="27" spans="1:30" s="47" customFormat="1" ht="12.75" customHeight="1">
      <c r="A27" s="47" t="s">
        <v>35</v>
      </c>
      <c r="C27" s="47" t="s">
        <v>36</v>
      </c>
      <c r="E27" s="44">
        <v>856447</v>
      </c>
      <c r="F27" s="44"/>
      <c r="G27" s="44">
        <v>753255</v>
      </c>
      <c r="H27" s="44"/>
      <c r="I27" s="44">
        <v>0</v>
      </c>
      <c r="J27" s="44"/>
      <c r="K27" s="44">
        <v>747249</v>
      </c>
      <c r="L27" s="44"/>
      <c r="M27" s="44">
        <v>5758875</v>
      </c>
      <c r="N27" s="44"/>
      <c r="O27" s="44">
        <v>53226</v>
      </c>
      <c r="P27" s="44"/>
      <c r="Q27" s="44">
        <v>627836</v>
      </c>
      <c r="R27" s="44"/>
      <c r="S27" s="44">
        <v>581206</v>
      </c>
      <c r="T27" s="44"/>
      <c r="U27" s="44">
        <f>202722+70833</f>
        <v>273555</v>
      </c>
      <c r="V27" s="44"/>
      <c r="W27" s="44">
        <v>-192000</v>
      </c>
      <c r="X27" s="44"/>
      <c r="Y27" s="44">
        <v>0</v>
      </c>
      <c r="Z27" s="44"/>
      <c r="AA27" s="44">
        <f t="shared" si="1"/>
        <v>7849947</v>
      </c>
      <c r="AB27" s="44"/>
      <c r="AC27" s="44">
        <f t="shared" si="0"/>
        <v>9459649</v>
      </c>
    </row>
    <row r="28" spans="1:30" s="47" customFormat="1" ht="12.75" customHeight="1">
      <c r="A28" s="47" t="s">
        <v>37</v>
      </c>
      <c r="C28" s="47" t="s">
        <v>38</v>
      </c>
      <c r="E28" s="44">
        <v>237712</v>
      </c>
      <c r="F28" s="44"/>
      <c r="G28" s="44">
        <v>441931</v>
      </c>
      <c r="H28" s="44"/>
      <c r="I28" s="44">
        <v>0</v>
      </c>
      <c r="J28" s="44"/>
      <c r="K28" s="44">
        <v>1147089</v>
      </c>
      <c r="L28" s="44"/>
      <c r="M28" s="44">
        <v>3367352</v>
      </c>
      <c r="N28" s="44"/>
      <c r="O28" s="44">
        <v>0</v>
      </c>
      <c r="P28" s="44"/>
      <c r="Q28" s="44">
        <v>275021</v>
      </c>
      <c r="R28" s="44"/>
      <c r="S28" s="44">
        <v>364058</v>
      </c>
      <c r="T28" s="44"/>
      <c r="U28" s="44">
        <v>321811</v>
      </c>
      <c r="V28" s="44"/>
      <c r="W28" s="44">
        <v>0</v>
      </c>
      <c r="X28" s="44"/>
      <c r="Y28" s="44">
        <v>0</v>
      </c>
      <c r="Z28" s="44"/>
      <c r="AA28" s="44">
        <f t="shared" si="1"/>
        <v>5475331</v>
      </c>
      <c r="AB28" s="44"/>
      <c r="AC28" s="44">
        <f t="shared" si="0"/>
        <v>6154974</v>
      </c>
    </row>
    <row r="29" spans="1:30" s="47" customFormat="1" ht="12.75" customHeight="1">
      <c r="A29" s="47" t="s">
        <v>39</v>
      </c>
      <c r="C29" s="47" t="s">
        <v>40</v>
      </c>
      <c r="E29" s="44">
        <v>498063</v>
      </c>
      <c r="F29" s="44"/>
      <c r="G29" s="44">
        <v>370050</v>
      </c>
      <c r="H29" s="44"/>
      <c r="I29" s="44">
        <v>632441</v>
      </c>
      <c r="J29" s="44"/>
      <c r="K29" s="44">
        <v>312334</v>
      </c>
      <c r="L29" s="44"/>
      <c r="M29" s="44">
        <v>1088695</v>
      </c>
      <c r="N29" s="44"/>
      <c r="O29" s="44">
        <f>664+107427</f>
        <v>108091</v>
      </c>
      <c r="P29" s="44"/>
      <c r="Q29" s="44">
        <v>428104</v>
      </c>
      <c r="R29" s="44"/>
      <c r="S29" s="44">
        <v>122467</v>
      </c>
      <c r="T29" s="44"/>
      <c r="U29" s="44">
        <v>5927</v>
      </c>
      <c r="V29" s="44"/>
      <c r="W29" s="44">
        <v>50000</v>
      </c>
      <c r="X29" s="44"/>
      <c r="Y29" s="44">
        <v>0</v>
      </c>
      <c r="Z29" s="44"/>
      <c r="AA29" s="44">
        <f t="shared" si="1"/>
        <v>2115618</v>
      </c>
      <c r="AB29" s="44"/>
      <c r="AC29" s="44">
        <f t="shared" si="0"/>
        <v>3616172</v>
      </c>
    </row>
    <row r="30" spans="1:30" s="47" customFormat="1" ht="12.75" customHeight="1">
      <c r="A30" s="47" t="s">
        <v>41</v>
      </c>
      <c r="C30" s="47" t="s">
        <v>27</v>
      </c>
      <c r="E30" s="44">
        <v>4135123</v>
      </c>
      <c r="F30" s="44"/>
      <c r="G30" s="44">
        <v>849915</v>
      </c>
      <c r="H30" s="44"/>
      <c r="I30" s="44">
        <v>4860546</v>
      </c>
      <c r="J30" s="44"/>
      <c r="K30" s="44">
        <f>2161447+839387+1927453</f>
        <v>4928287</v>
      </c>
      <c r="L30" s="44"/>
      <c r="M30" s="44">
        <f>7292340+2430779</f>
        <v>9723119</v>
      </c>
      <c r="N30" s="44"/>
      <c r="O30" s="44">
        <v>5903</v>
      </c>
      <c r="P30" s="44"/>
      <c r="Q30" s="44">
        <v>2072711</v>
      </c>
      <c r="R30" s="44"/>
      <c r="S30" s="44">
        <v>252034</v>
      </c>
      <c r="T30" s="44"/>
      <c r="U30" s="44">
        <v>184150</v>
      </c>
      <c r="V30" s="44"/>
      <c r="W30" s="44">
        <v>-75000</v>
      </c>
      <c r="X30" s="44"/>
      <c r="Y30" s="44">
        <v>0</v>
      </c>
      <c r="Z30" s="44"/>
      <c r="AA30" s="44">
        <f t="shared" si="1"/>
        <v>17091204</v>
      </c>
      <c r="AB30" s="44"/>
      <c r="AC30" s="44">
        <f t="shared" si="0"/>
        <v>26936788</v>
      </c>
    </row>
    <row r="31" spans="1:30" s="47" customFormat="1" ht="12.75" customHeight="1">
      <c r="A31" s="47" t="s">
        <v>42</v>
      </c>
      <c r="C31" s="47" t="s">
        <v>43</v>
      </c>
      <c r="E31" s="44">
        <v>1376705</v>
      </c>
      <c r="F31" s="44"/>
      <c r="G31" s="44">
        <v>713759</v>
      </c>
      <c r="H31" s="44"/>
      <c r="I31" s="44">
        <v>0</v>
      </c>
      <c r="J31" s="44"/>
      <c r="K31" s="44">
        <f>647738+750+330988+736238</f>
        <v>1715714</v>
      </c>
      <c r="L31" s="44"/>
      <c r="M31" s="44">
        <f>6110923+157589</f>
        <v>6268512</v>
      </c>
      <c r="N31" s="44"/>
      <c r="O31" s="44">
        <v>0</v>
      </c>
      <c r="P31" s="44"/>
      <c r="Q31" s="44">
        <v>3136814</v>
      </c>
      <c r="R31" s="44"/>
      <c r="S31" s="44">
        <v>293142</v>
      </c>
      <c r="T31" s="44"/>
      <c r="U31" s="44">
        <v>189131</v>
      </c>
      <c r="V31" s="44"/>
      <c r="W31" s="44">
        <v>0</v>
      </c>
      <c r="X31" s="44"/>
      <c r="Y31" s="44">
        <v>0</v>
      </c>
      <c r="Z31" s="44"/>
      <c r="AA31" s="44">
        <f t="shared" si="1"/>
        <v>11603313</v>
      </c>
      <c r="AB31" s="44"/>
      <c r="AC31" s="44">
        <f t="shared" si="0"/>
        <v>13693777</v>
      </c>
    </row>
    <row r="32" spans="1:30" s="47" customFormat="1" ht="12.75" customHeight="1">
      <c r="A32" s="47" t="s">
        <v>44</v>
      </c>
      <c r="C32" s="47" t="s">
        <v>45</v>
      </c>
      <c r="E32" s="44">
        <v>1400914</v>
      </c>
      <c r="F32" s="44"/>
      <c r="G32" s="44">
        <v>823631</v>
      </c>
      <c r="H32" s="44"/>
      <c r="I32" s="44">
        <v>50000</v>
      </c>
      <c r="J32" s="44"/>
      <c r="K32" s="44">
        <f>2170820+276381</f>
        <v>2447201</v>
      </c>
      <c r="L32" s="44"/>
      <c r="M32" s="44">
        <v>26914805</v>
      </c>
      <c r="N32" s="44"/>
      <c r="O32" s="44">
        <v>902725</v>
      </c>
      <c r="P32" s="44"/>
      <c r="Q32" s="44">
        <v>3185974</v>
      </c>
      <c r="R32" s="44"/>
      <c r="S32" s="44">
        <v>1013428</v>
      </c>
      <c r="T32" s="44"/>
      <c r="U32" s="44">
        <v>1044534</v>
      </c>
      <c r="V32" s="44"/>
      <c r="W32" s="44">
        <v>-472644</v>
      </c>
      <c r="X32" s="44"/>
      <c r="Y32" s="44">
        <v>0</v>
      </c>
      <c r="Z32" s="44"/>
      <c r="AA32" s="44">
        <f t="shared" si="1"/>
        <v>35036023</v>
      </c>
      <c r="AB32" s="44"/>
      <c r="AC32" s="44">
        <f t="shared" si="0"/>
        <v>37310568</v>
      </c>
    </row>
    <row r="33" spans="1:31" s="47" customFormat="1" ht="12.75" customHeight="1">
      <c r="A33" s="47" t="s">
        <v>46</v>
      </c>
      <c r="C33" s="47" t="s">
        <v>47</v>
      </c>
      <c r="E33" s="44">
        <v>3163171</v>
      </c>
      <c r="F33" s="44"/>
      <c r="G33" s="44">
        <v>2095700</v>
      </c>
      <c r="H33" s="44"/>
      <c r="I33" s="44">
        <v>731098</v>
      </c>
      <c r="J33" s="44"/>
      <c r="K33" s="44">
        <f>1720370+586703</f>
        <v>2307073</v>
      </c>
      <c r="L33" s="44"/>
      <c r="M33" s="44">
        <v>15628743</v>
      </c>
      <c r="N33" s="44"/>
      <c r="O33" s="44">
        <f>2126261+287378</f>
        <v>2413639</v>
      </c>
      <c r="P33" s="44"/>
      <c r="Q33" s="44">
        <v>1865923</v>
      </c>
      <c r="R33" s="44"/>
      <c r="S33" s="44">
        <v>1036604</v>
      </c>
      <c r="T33" s="44"/>
      <c r="U33" s="44">
        <v>251941</v>
      </c>
      <c r="V33" s="44"/>
      <c r="W33" s="44">
        <v>-575779</v>
      </c>
      <c r="X33" s="44"/>
      <c r="Y33" s="44">
        <v>0</v>
      </c>
      <c r="Z33" s="44"/>
      <c r="AA33" s="44">
        <f t="shared" si="1"/>
        <v>22928144</v>
      </c>
      <c r="AB33" s="44"/>
      <c r="AC33" s="44">
        <f t="shared" si="0"/>
        <v>28918113</v>
      </c>
      <c r="AE33" s="44"/>
    </row>
    <row r="34" spans="1:31" s="47" customFormat="1" ht="12.75" customHeight="1">
      <c r="A34" s="47" t="s">
        <v>48</v>
      </c>
      <c r="C34" s="47" t="s">
        <v>27</v>
      </c>
      <c r="E34" s="44">
        <v>1923815</v>
      </c>
      <c r="F34" s="44"/>
      <c r="G34" s="44">
        <v>709663</v>
      </c>
      <c r="H34" s="44"/>
      <c r="I34" s="44">
        <v>0</v>
      </c>
      <c r="J34" s="44"/>
      <c r="K34" s="44">
        <f>2028243+1964679+577846+173354+225361</f>
        <v>4969483</v>
      </c>
      <c r="L34" s="44"/>
      <c r="M34" s="44">
        <f>12386754+2574193</f>
        <v>14960947</v>
      </c>
      <c r="N34" s="44"/>
      <c r="O34" s="44">
        <v>0</v>
      </c>
      <c r="P34" s="44"/>
      <c r="Q34" s="44">
        <v>1659652</v>
      </c>
      <c r="R34" s="44"/>
      <c r="S34" s="44">
        <v>1047479</v>
      </c>
      <c r="T34" s="44"/>
      <c r="U34" s="44">
        <f>10011+706426</f>
        <v>716437</v>
      </c>
      <c r="V34" s="44"/>
      <c r="W34" s="44">
        <v>0</v>
      </c>
      <c r="X34" s="44"/>
      <c r="Y34" s="44">
        <v>0</v>
      </c>
      <c r="Z34" s="44"/>
      <c r="AA34" s="44">
        <f t="shared" si="1"/>
        <v>23353998</v>
      </c>
      <c r="AB34" s="44"/>
      <c r="AC34" s="44">
        <f t="shared" si="0"/>
        <v>25987476</v>
      </c>
    </row>
    <row r="35" spans="1:31" s="47" customFormat="1" ht="12.75" customHeight="1">
      <c r="A35" s="47" t="s">
        <v>49</v>
      </c>
      <c r="C35" s="47" t="s">
        <v>27</v>
      </c>
      <c r="E35" s="44">
        <v>2077862</v>
      </c>
      <c r="F35" s="44"/>
      <c r="G35" s="44">
        <v>1445411</v>
      </c>
      <c r="H35" s="44"/>
      <c r="I35" s="44">
        <v>93237</v>
      </c>
      <c r="J35" s="44"/>
      <c r="K35" s="44">
        <f>1641967+2178115+59569</f>
        <v>3879651</v>
      </c>
      <c r="L35" s="44"/>
      <c r="M35" s="44">
        <f>6864534+283489+2296277</f>
        <v>9444300</v>
      </c>
      <c r="N35" s="44"/>
      <c r="O35" s="44">
        <v>6602</v>
      </c>
      <c r="P35" s="44"/>
      <c r="Q35" s="44">
        <v>1393474</v>
      </c>
      <c r="R35" s="44"/>
      <c r="S35" s="44">
        <v>252535</v>
      </c>
      <c r="T35" s="44"/>
      <c r="U35" s="44">
        <f>138068+101678</f>
        <v>239746</v>
      </c>
      <c r="V35" s="44"/>
      <c r="W35" s="44">
        <v>0</v>
      </c>
      <c r="X35" s="44"/>
      <c r="Y35" s="44">
        <v>0</v>
      </c>
      <c r="Z35" s="44"/>
      <c r="AA35" s="44">
        <f t="shared" si="1"/>
        <v>15216308</v>
      </c>
      <c r="AB35" s="44"/>
      <c r="AC35" s="44">
        <f t="shared" si="0"/>
        <v>18832818</v>
      </c>
    </row>
    <row r="36" spans="1:31" s="47" customFormat="1" ht="12.75" customHeight="1">
      <c r="A36" s="47" t="s">
        <v>50</v>
      </c>
      <c r="C36" s="47" t="s">
        <v>27</v>
      </c>
      <c r="E36" s="44">
        <v>3136723</v>
      </c>
      <c r="F36" s="44"/>
      <c r="G36" s="44">
        <v>246270</v>
      </c>
      <c r="H36" s="44"/>
      <c r="I36" s="44">
        <v>2062563</v>
      </c>
      <c r="J36" s="44"/>
      <c r="K36" s="44">
        <f>1656549+604599</f>
        <v>2261148</v>
      </c>
      <c r="L36" s="44"/>
      <c r="M36" s="44">
        <f>15918492+5403168</f>
        <v>21321660</v>
      </c>
      <c r="N36" s="44"/>
      <c r="O36" s="44">
        <v>0</v>
      </c>
      <c r="P36" s="44"/>
      <c r="Q36" s="44">
        <v>2695712</v>
      </c>
      <c r="R36" s="44"/>
      <c r="S36" s="44">
        <v>1135195</v>
      </c>
      <c r="T36" s="44"/>
      <c r="U36" s="44">
        <v>25673</v>
      </c>
      <c r="V36" s="44"/>
      <c r="W36" s="44">
        <v>0</v>
      </c>
      <c r="X36" s="44"/>
      <c r="Y36" s="44">
        <v>0</v>
      </c>
      <c r="Z36" s="44"/>
      <c r="AA36" s="44">
        <f t="shared" si="1"/>
        <v>27439388</v>
      </c>
      <c r="AB36" s="44"/>
      <c r="AC36" s="44">
        <f t="shared" si="0"/>
        <v>32884944</v>
      </c>
    </row>
    <row r="37" spans="1:31" s="47" customFormat="1" ht="12.75" customHeight="1">
      <c r="A37" s="47" t="s">
        <v>51</v>
      </c>
      <c r="C37" s="47" t="s">
        <v>27</v>
      </c>
      <c r="E37" s="44">
        <v>1479853</v>
      </c>
      <c r="F37" s="44"/>
      <c r="G37" s="44">
        <v>1206544</v>
      </c>
      <c r="H37" s="44"/>
      <c r="I37" s="44">
        <v>191381</v>
      </c>
      <c r="J37" s="44"/>
      <c r="K37" s="44">
        <f>1215894+165820+290911+451697+337536+74059</f>
        <v>2535917</v>
      </c>
      <c r="L37" s="44"/>
      <c r="M37" s="44">
        <f>10348944+2124235</f>
        <v>12473179</v>
      </c>
      <c r="N37" s="44"/>
      <c r="O37" s="44">
        <v>0</v>
      </c>
      <c r="P37" s="44"/>
      <c r="Q37" s="44">
        <v>1442977</v>
      </c>
      <c r="R37" s="44"/>
      <c r="S37" s="44">
        <v>445581</v>
      </c>
      <c r="T37" s="44"/>
      <c r="U37" s="44">
        <f>147826+9126</f>
        <v>156952</v>
      </c>
      <c r="V37" s="44"/>
      <c r="W37" s="44">
        <v>0</v>
      </c>
      <c r="X37" s="44"/>
      <c r="Y37" s="44">
        <v>0</v>
      </c>
      <c r="Z37" s="44"/>
      <c r="AA37" s="44">
        <f t="shared" si="1"/>
        <v>17054606</v>
      </c>
      <c r="AB37" s="44"/>
      <c r="AC37" s="44">
        <f t="shared" si="0"/>
        <v>19932384</v>
      </c>
    </row>
    <row r="38" spans="1:31" s="47" customFormat="1" ht="12.75" customHeight="1">
      <c r="A38" s="47" t="s">
        <v>463</v>
      </c>
      <c r="C38" s="47" t="s">
        <v>66</v>
      </c>
      <c r="E38" s="44">
        <v>1145921</v>
      </c>
      <c r="F38" s="44"/>
      <c r="G38" s="44">
        <v>1157342</v>
      </c>
      <c r="H38" s="44"/>
      <c r="I38" s="44">
        <v>715106</v>
      </c>
      <c r="J38" s="44"/>
      <c r="K38" s="44">
        <v>140960</v>
      </c>
      <c r="L38" s="44"/>
      <c r="M38" s="44">
        <v>2458309</v>
      </c>
      <c r="N38" s="44"/>
      <c r="O38" s="44">
        <v>0</v>
      </c>
      <c r="P38" s="44"/>
      <c r="Q38" s="44">
        <v>336287</v>
      </c>
      <c r="R38" s="44"/>
      <c r="S38" s="44">
        <v>172480</v>
      </c>
      <c r="T38" s="44"/>
      <c r="U38" s="44">
        <f>108023+133715</f>
        <v>241738</v>
      </c>
      <c r="V38" s="44"/>
      <c r="W38" s="44">
        <v>-12500</v>
      </c>
      <c r="X38" s="44"/>
      <c r="Y38" s="44">
        <v>0</v>
      </c>
      <c r="Z38" s="44"/>
      <c r="AA38" s="44">
        <f t="shared" si="1"/>
        <v>3337274</v>
      </c>
      <c r="AB38" s="44"/>
      <c r="AC38" s="44">
        <f t="shared" si="0"/>
        <v>6355643</v>
      </c>
    </row>
    <row r="39" spans="1:31" s="47" customFormat="1" ht="12.75" customHeight="1">
      <c r="A39" s="47" t="s">
        <v>52</v>
      </c>
      <c r="C39" s="47" t="s">
        <v>53</v>
      </c>
      <c r="E39" s="44">
        <v>3430081</v>
      </c>
      <c r="F39" s="44"/>
      <c r="G39" s="44">
        <v>1911469</v>
      </c>
      <c r="H39" s="44"/>
      <c r="I39" s="44">
        <v>993535</v>
      </c>
      <c r="J39" s="44"/>
      <c r="K39" s="44">
        <f>1708372+415475</f>
        <v>2123847</v>
      </c>
      <c r="L39" s="44"/>
      <c r="M39" s="44">
        <f>3705051+36679+5916882</f>
        <v>9658612</v>
      </c>
      <c r="N39" s="44"/>
      <c r="O39" s="44">
        <v>0</v>
      </c>
      <c r="P39" s="44"/>
      <c r="Q39" s="44">
        <v>1439760</v>
      </c>
      <c r="R39" s="44"/>
      <c r="S39" s="44">
        <v>961482</v>
      </c>
      <c r="T39" s="44"/>
      <c r="U39" s="44">
        <v>467650</v>
      </c>
      <c r="V39" s="44"/>
      <c r="W39" s="44">
        <v>0</v>
      </c>
      <c r="X39" s="44"/>
      <c r="Y39" s="44">
        <v>0</v>
      </c>
      <c r="Z39" s="44"/>
      <c r="AA39" s="44">
        <f t="shared" si="1"/>
        <v>14651351</v>
      </c>
      <c r="AB39" s="44"/>
      <c r="AC39" s="44">
        <f t="shared" si="0"/>
        <v>20986436</v>
      </c>
    </row>
    <row r="40" spans="1:31" s="47" customFormat="1" ht="12.75" customHeight="1">
      <c r="A40" s="47" t="s">
        <v>54</v>
      </c>
      <c r="C40" s="47" t="s">
        <v>55</v>
      </c>
      <c r="E40" s="44">
        <v>1032793</v>
      </c>
      <c r="F40" s="44"/>
      <c r="G40" s="44">
        <v>903630</v>
      </c>
      <c r="H40" s="44"/>
      <c r="I40" s="44">
        <v>226955</v>
      </c>
      <c r="J40" s="44"/>
      <c r="K40" s="44">
        <v>490046</v>
      </c>
      <c r="L40" s="44"/>
      <c r="M40" s="44">
        <v>6735754</v>
      </c>
      <c r="N40" s="44"/>
      <c r="O40" s="44">
        <v>846379</v>
      </c>
      <c r="P40" s="44"/>
      <c r="Q40" s="44">
        <v>750916</v>
      </c>
      <c r="R40" s="44"/>
      <c r="S40" s="44">
        <v>635806</v>
      </c>
      <c r="T40" s="44"/>
      <c r="U40" s="44">
        <f>30513+541664</f>
        <v>572177</v>
      </c>
      <c r="V40" s="44"/>
      <c r="W40" s="44">
        <v>-789832</v>
      </c>
      <c r="X40" s="44"/>
      <c r="Y40" s="44">
        <v>0</v>
      </c>
      <c r="Z40" s="44"/>
      <c r="AA40" s="44">
        <f t="shared" si="1"/>
        <v>9241246</v>
      </c>
      <c r="AB40" s="44"/>
      <c r="AC40" s="44">
        <f t="shared" si="0"/>
        <v>11404624</v>
      </c>
    </row>
    <row r="41" spans="1:31" s="47" customFormat="1" ht="12.75" customHeight="1">
      <c r="A41" s="47" t="s">
        <v>56</v>
      </c>
      <c r="C41" s="47" t="s">
        <v>57</v>
      </c>
      <c r="E41" s="44">
        <v>527639</v>
      </c>
      <c r="F41" s="44"/>
      <c r="G41" s="44">
        <v>1499583</v>
      </c>
      <c r="H41" s="44"/>
      <c r="I41" s="44">
        <v>201886</v>
      </c>
      <c r="J41" s="44"/>
      <c r="K41" s="44">
        <f>624733+112244</f>
        <v>736977</v>
      </c>
      <c r="L41" s="44"/>
      <c r="M41" s="44">
        <f>3004438+1502219</f>
        <v>4506657</v>
      </c>
      <c r="N41" s="44"/>
      <c r="O41" s="44">
        <f>33637+125343</f>
        <v>158980</v>
      </c>
      <c r="P41" s="44"/>
      <c r="Q41" s="44">
        <v>735151</v>
      </c>
      <c r="R41" s="44"/>
      <c r="S41" s="44">
        <v>318973</v>
      </c>
      <c r="T41" s="44"/>
      <c r="U41" s="44">
        <v>140827</v>
      </c>
      <c r="V41" s="44"/>
      <c r="W41" s="44">
        <v>3100</v>
      </c>
      <c r="X41" s="44"/>
      <c r="Y41" s="44">
        <v>0</v>
      </c>
      <c r="Z41" s="44"/>
      <c r="AA41" s="44">
        <f t="shared" si="1"/>
        <v>6600665</v>
      </c>
      <c r="AB41" s="44"/>
      <c r="AC41" s="44">
        <f t="shared" si="0"/>
        <v>8829773</v>
      </c>
    </row>
    <row r="42" spans="1:31" s="47" customFormat="1" ht="12.75" customHeight="1">
      <c r="A42" s="47" t="s">
        <v>58</v>
      </c>
      <c r="C42" s="47" t="s">
        <v>59</v>
      </c>
      <c r="E42" s="44">
        <v>1875116</v>
      </c>
      <c r="F42" s="44"/>
      <c r="G42" s="44">
        <v>1269223</v>
      </c>
      <c r="H42" s="44"/>
      <c r="I42" s="44">
        <v>1082897</v>
      </c>
      <c r="J42" s="44"/>
      <c r="K42" s="44">
        <f>345952+1343207</f>
        <v>1689159</v>
      </c>
      <c r="L42" s="44"/>
      <c r="M42" s="44">
        <f>3093814+1325865</f>
        <v>4419679</v>
      </c>
      <c r="N42" s="44"/>
      <c r="O42" s="44">
        <v>0</v>
      </c>
      <c r="P42" s="44"/>
      <c r="Q42" s="44">
        <v>1030269</v>
      </c>
      <c r="R42" s="44"/>
      <c r="S42" s="44">
        <v>421467</v>
      </c>
      <c r="T42" s="44"/>
      <c r="U42" s="44">
        <f>293228+22000</f>
        <v>315228</v>
      </c>
      <c r="V42" s="44"/>
      <c r="W42" s="44">
        <v>0</v>
      </c>
      <c r="X42" s="44"/>
      <c r="Y42" s="44">
        <v>0</v>
      </c>
      <c r="Z42" s="44"/>
      <c r="AA42" s="44">
        <f t="shared" si="1"/>
        <v>7875802</v>
      </c>
      <c r="AB42" s="44"/>
      <c r="AC42" s="44">
        <f t="shared" si="0"/>
        <v>12103038</v>
      </c>
    </row>
    <row r="43" spans="1:31" s="138" customFormat="1" ht="12.75" hidden="1" customHeight="1">
      <c r="A43" s="138" t="s">
        <v>477</v>
      </c>
      <c r="C43" s="138" t="s">
        <v>15</v>
      </c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>
        <f>SUM(K43:Y43)</f>
        <v>0</v>
      </c>
      <c r="AB43" s="137"/>
      <c r="AC43" s="137">
        <f>SUM(E43:Y43)</f>
        <v>0</v>
      </c>
    </row>
    <row r="44" spans="1:31" s="138" customFormat="1" ht="12.75" hidden="1" customHeight="1">
      <c r="A44" s="138" t="s">
        <v>60</v>
      </c>
      <c r="C44" s="138" t="s">
        <v>61</v>
      </c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>
        <f t="shared" si="1"/>
        <v>0</v>
      </c>
      <c r="AB44" s="137"/>
      <c r="AC44" s="137">
        <f t="shared" si="0"/>
        <v>0</v>
      </c>
    </row>
    <row r="45" spans="1:31" s="47" customFormat="1" ht="12.75" customHeight="1">
      <c r="A45" s="47" t="s">
        <v>62</v>
      </c>
      <c r="C45" s="47" t="s">
        <v>15</v>
      </c>
      <c r="E45" s="44">
        <v>15356949</v>
      </c>
      <c r="F45" s="44"/>
      <c r="G45" s="44">
        <v>7976893</v>
      </c>
      <c r="H45" s="44"/>
      <c r="I45" s="44">
        <v>5061069</v>
      </c>
      <c r="J45" s="44"/>
      <c r="K45" s="44">
        <v>4097125</v>
      </c>
      <c r="L45" s="44"/>
      <c r="M45" s="44">
        <v>47092829</v>
      </c>
      <c r="N45" s="44"/>
      <c r="O45" s="44">
        <v>0</v>
      </c>
      <c r="P45" s="44"/>
      <c r="Q45" s="44">
        <f>10576712+145890</f>
        <v>10722602</v>
      </c>
      <c r="R45" s="44"/>
      <c r="S45" s="44">
        <v>3187667</v>
      </c>
      <c r="T45" s="44"/>
      <c r="U45" s="44">
        <v>3940062</v>
      </c>
      <c r="V45" s="44"/>
      <c r="W45" s="44">
        <v>0</v>
      </c>
      <c r="X45" s="44"/>
      <c r="Y45" s="44">
        <v>-88395</v>
      </c>
      <c r="Z45" s="44"/>
      <c r="AA45" s="44">
        <f t="shared" si="1"/>
        <v>68951890</v>
      </c>
      <c r="AB45" s="44"/>
      <c r="AC45" s="44">
        <f t="shared" si="0"/>
        <v>97346801</v>
      </c>
    </row>
    <row r="46" spans="1:31" s="138" customFormat="1" ht="12.75" hidden="1" customHeight="1">
      <c r="A46" s="138" t="s">
        <v>486</v>
      </c>
      <c r="C46" s="138" t="s">
        <v>111</v>
      </c>
      <c r="E46" s="137">
        <v>0</v>
      </c>
      <c r="F46" s="137"/>
      <c r="G46" s="137">
        <v>0</v>
      </c>
      <c r="H46" s="137"/>
      <c r="I46" s="137">
        <v>0</v>
      </c>
      <c r="J46" s="137"/>
      <c r="K46" s="137">
        <v>0</v>
      </c>
      <c r="L46" s="137"/>
      <c r="M46" s="137">
        <v>0</v>
      </c>
      <c r="N46" s="137"/>
      <c r="O46" s="137">
        <v>0</v>
      </c>
      <c r="P46" s="137"/>
      <c r="Q46" s="137">
        <v>0</v>
      </c>
      <c r="R46" s="137"/>
      <c r="S46" s="137">
        <v>0</v>
      </c>
      <c r="T46" s="137"/>
      <c r="U46" s="137">
        <v>0</v>
      </c>
      <c r="V46" s="137"/>
      <c r="W46" s="137">
        <v>0</v>
      </c>
      <c r="X46" s="137"/>
      <c r="Y46" s="137">
        <v>0</v>
      </c>
      <c r="Z46" s="137"/>
      <c r="AA46" s="137">
        <f>SUM(K46:Y46)</f>
        <v>0</v>
      </c>
      <c r="AB46" s="137"/>
      <c r="AC46" s="137">
        <f>SUM(E46:Y46)</f>
        <v>0</v>
      </c>
    </row>
    <row r="47" spans="1:31" s="47" customFormat="1" ht="12.75" customHeight="1">
      <c r="A47" s="47" t="s">
        <v>63</v>
      </c>
      <c r="C47" s="47" t="s">
        <v>64</v>
      </c>
      <c r="E47" s="44">
        <v>987080</v>
      </c>
      <c r="F47" s="44"/>
      <c r="G47" s="44">
        <v>928253</v>
      </c>
      <c r="H47" s="44"/>
      <c r="I47" s="44">
        <v>1954123</v>
      </c>
      <c r="J47" s="44"/>
      <c r="K47" s="44">
        <v>415557</v>
      </c>
      <c r="L47" s="44"/>
      <c r="M47" s="44">
        <v>2716237</v>
      </c>
      <c r="N47" s="44"/>
      <c r="O47" s="44">
        <v>837571</v>
      </c>
      <c r="P47" s="44"/>
      <c r="Q47" s="44">
        <v>702420</v>
      </c>
      <c r="R47" s="44"/>
      <c r="S47" s="44">
        <v>545890</v>
      </c>
      <c r="T47" s="44"/>
      <c r="U47" s="44">
        <v>154514</v>
      </c>
      <c r="V47" s="44"/>
      <c r="W47" s="44">
        <v>71519</v>
      </c>
      <c r="X47" s="44"/>
      <c r="Y47" s="44">
        <v>0</v>
      </c>
      <c r="Z47" s="44"/>
      <c r="AA47" s="44">
        <f t="shared" si="1"/>
        <v>5443708</v>
      </c>
      <c r="AB47" s="44"/>
      <c r="AC47" s="44">
        <f t="shared" si="0"/>
        <v>9313164</v>
      </c>
    </row>
    <row r="48" spans="1:31" s="47" customFormat="1" ht="12.75" customHeight="1">
      <c r="A48" s="47" t="s">
        <v>65</v>
      </c>
      <c r="C48" s="47" t="s">
        <v>66</v>
      </c>
      <c r="E48" s="44">
        <v>1470125</v>
      </c>
      <c r="F48" s="44"/>
      <c r="G48" s="44">
        <v>1349017</v>
      </c>
      <c r="H48" s="44"/>
      <c r="I48" s="44">
        <v>1443950</v>
      </c>
      <c r="J48" s="44"/>
      <c r="K48" s="44">
        <v>1425970</v>
      </c>
      <c r="L48" s="44"/>
      <c r="M48" s="44">
        <v>10631431</v>
      </c>
      <c r="N48" s="44"/>
      <c r="O48" s="44">
        <v>1372484</v>
      </c>
      <c r="P48" s="44"/>
      <c r="Q48" s="44">
        <v>970556</v>
      </c>
      <c r="R48" s="44"/>
      <c r="S48" s="44">
        <v>1317758</v>
      </c>
      <c r="T48" s="44"/>
      <c r="U48" s="44">
        <f>288719</f>
        <v>288719</v>
      </c>
      <c r="V48" s="44"/>
      <c r="W48" s="44">
        <v>-100000</v>
      </c>
      <c r="X48" s="44"/>
      <c r="Y48" s="44">
        <v>2400</v>
      </c>
      <c r="Z48" s="44"/>
      <c r="AA48" s="44">
        <f t="shared" si="1"/>
        <v>15909318</v>
      </c>
      <c r="AB48" s="44"/>
      <c r="AC48" s="44">
        <f t="shared" si="0"/>
        <v>20172410</v>
      </c>
    </row>
    <row r="49" spans="1:29" s="47" customFormat="1" ht="12.75" customHeight="1">
      <c r="A49" s="47" t="s">
        <v>67</v>
      </c>
      <c r="C49" s="47" t="s">
        <v>375</v>
      </c>
      <c r="E49" s="44">
        <v>2119079</v>
      </c>
      <c r="F49" s="44"/>
      <c r="G49" s="44">
        <v>1979</v>
      </c>
      <c r="H49" s="44"/>
      <c r="I49" s="44">
        <v>2092001</v>
      </c>
      <c r="J49" s="44"/>
      <c r="K49" s="44">
        <f>454219+851992</f>
        <v>1306211</v>
      </c>
      <c r="L49" s="44"/>
      <c r="M49" s="44">
        <v>5232124</v>
      </c>
      <c r="N49" s="44"/>
      <c r="O49" s="44">
        <v>0</v>
      </c>
      <c r="P49" s="44"/>
      <c r="Q49" s="44">
        <v>805759</v>
      </c>
      <c r="R49" s="44"/>
      <c r="S49" s="44">
        <v>338096</v>
      </c>
      <c r="T49" s="44"/>
      <c r="U49" s="44">
        <v>302306</v>
      </c>
      <c r="V49" s="44"/>
      <c r="W49" s="44">
        <v>-762470</v>
      </c>
      <c r="X49" s="44"/>
      <c r="Y49" s="44">
        <v>0</v>
      </c>
      <c r="Z49" s="44"/>
      <c r="AA49" s="44">
        <f t="shared" si="1"/>
        <v>7222026</v>
      </c>
      <c r="AB49" s="44"/>
      <c r="AC49" s="44">
        <f t="shared" si="0"/>
        <v>11435085</v>
      </c>
    </row>
    <row r="50" spans="1:29" s="47" customFormat="1" ht="12.75" customHeight="1">
      <c r="A50" s="47" t="s">
        <v>68</v>
      </c>
      <c r="C50" s="47" t="s">
        <v>45</v>
      </c>
      <c r="E50" s="44">
        <v>387765</v>
      </c>
      <c r="F50" s="44"/>
      <c r="G50" s="44">
        <v>404009</v>
      </c>
      <c r="H50" s="44"/>
      <c r="I50" s="44">
        <v>0</v>
      </c>
      <c r="J50" s="44"/>
      <c r="K50" s="44">
        <f>1296769+145444</f>
        <v>1442213</v>
      </c>
      <c r="L50" s="44"/>
      <c r="M50" s="44">
        <v>1720759</v>
      </c>
      <c r="N50" s="44"/>
      <c r="O50" s="44">
        <v>0</v>
      </c>
      <c r="P50" s="44"/>
      <c r="Q50" s="44">
        <v>649001</v>
      </c>
      <c r="R50" s="44"/>
      <c r="S50" s="44">
        <v>33520</v>
      </c>
      <c r="T50" s="44"/>
      <c r="U50" s="44">
        <v>8128</v>
      </c>
      <c r="V50" s="44"/>
      <c r="W50" s="44">
        <v>0</v>
      </c>
      <c r="X50" s="44"/>
      <c r="Y50" s="44">
        <v>0</v>
      </c>
      <c r="Z50" s="44"/>
      <c r="AA50" s="44">
        <f t="shared" si="1"/>
        <v>3853621</v>
      </c>
      <c r="AB50" s="44"/>
      <c r="AC50" s="44">
        <f t="shared" si="0"/>
        <v>4645395</v>
      </c>
    </row>
    <row r="51" spans="1:29" s="47" customFormat="1" ht="12.75" customHeight="1">
      <c r="A51" s="47" t="s">
        <v>69</v>
      </c>
      <c r="C51" s="47" t="s">
        <v>70</v>
      </c>
      <c r="E51" s="44">
        <v>3942793</v>
      </c>
      <c r="F51" s="44"/>
      <c r="G51" s="44">
        <v>3380757</v>
      </c>
      <c r="H51" s="44"/>
      <c r="I51" s="44">
        <v>200230</v>
      </c>
      <c r="J51" s="44"/>
      <c r="K51" s="44">
        <f>1071126+255262</f>
        <v>1326388</v>
      </c>
      <c r="L51" s="44"/>
      <c r="M51" s="44">
        <f>9594677+810292</f>
        <v>10404969</v>
      </c>
      <c r="N51" s="44"/>
      <c r="O51" s="44">
        <v>249109</v>
      </c>
      <c r="P51" s="44"/>
      <c r="Q51" s="44">
        <v>1685694</v>
      </c>
      <c r="R51" s="44"/>
      <c r="S51" s="44">
        <v>656517</v>
      </c>
      <c r="T51" s="44"/>
      <c r="U51" s="44">
        <v>419520</v>
      </c>
      <c r="V51" s="44"/>
      <c r="W51" s="44">
        <v>-18206</v>
      </c>
      <c r="X51" s="44"/>
      <c r="Y51" s="44">
        <v>0</v>
      </c>
      <c r="Z51" s="44"/>
      <c r="AA51" s="44">
        <f t="shared" si="1"/>
        <v>14723991</v>
      </c>
      <c r="AB51" s="44"/>
      <c r="AC51" s="44">
        <f t="shared" si="0"/>
        <v>22247771</v>
      </c>
    </row>
    <row r="52" spans="1:29" s="47" customFormat="1" ht="12.75" customHeight="1">
      <c r="A52" s="47" t="s">
        <v>71</v>
      </c>
      <c r="C52" s="47" t="s">
        <v>45</v>
      </c>
      <c r="E52" s="44">
        <v>137471000</v>
      </c>
      <c r="F52" s="44"/>
      <c r="G52" s="44">
        <v>36947000</v>
      </c>
      <c r="H52" s="44"/>
      <c r="I52" s="44">
        <v>12559000</v>
      </c>
      <c r="J52" s="44"/>
      <c r="K52" s="44">
        <v>76508000</v>
      </c>
      <c r="L52" s="44"/>
      <c r="M52" s="44">
        <v>304466000</v>
      </c>
      <c r="N52" s="44"/>
      <c r="O52" s="44">
        <f>4309000+62826000+2131000</f>
        <v>69266000</v>
      </c>
      <c r="P52" s="44"/>
      <c r="Q52" s="44">
        <v>0</v>
      </c>
      <c r="R52" s="44"/>
      <c r="S52" s="44">
        <v>23361000</v>
      </c>
      <c r="T52" s="44"/>
      <c r="U52" s="44">
        <v>103000</v>
      </c>
      <c r="V52" s="44"/>
      <c r="W52" s="44">
        <v>3500000</v>
      </c>
      <c r="X52" s="44"/>
      <c r="Y52" s="44">
        <v>35130000</v>
      </c>
      <c r="Z52" s="44"/>
      <c r="AA52" s="44">
        <f t="shared" si="1"/>
        <v>512334000</v>
      </c>
      <c r="AB52" s="44"/>
      <c r="AC52" s="44">
        <f t="shared" si="0"/>
        <v>699311000</v>
      </c>
    </row>
    <row r="53" spans="1:29" s="47" customFormat="1" ht="12.75" customHeight="1">
      <c r="A53" s="47" t="s">
        <v>464</v>
      </c>
      <c r="C53" s="47" t="s">
        <v>465</v>
      </c>
      <c r="E53" s="44">
        <v>1820071</v>
      </c>
      <c r="F53" s="44"/>
      <c r="G53" s="44">
        <v>634375</v>
      </c>
      <c r="H53" s="44"/>
      <c r="I53" s="44">
        <v>706792</v>
      </c>
      <c r="J53" s="44"/>
      <c r="K53" s="44">
        <f>764317+134389</f>
        <v>898706</v>
      </c>
      <c r="L53" s="44"/>
      <c r="M53" s="44">
        <f>1543137+1391221+326673+1007147</f>
        <v>4268178</v>
      </c>
      <c r="N53" s="44"/>
      <c r="O53" s="44">
        <v>220231</v>
      </c>
      <c r="P53" s="44"/>
      <c r="Q53" s="44">
        <v>1406541</v>
      </c>
      <c r="R53" s="44"/>
      <c r="S53" s="44">
        <v>572910</v>
      </c>
      <c r="T53" s="44"/>
      <c r="U53" s="44">
        <v>194143</v>
      </c>
      <c r="V53" s="44"/>
      <c r="W53" s="44">
        <v>-66047</v>
      </c>
      <c r="X53" s="44"/>
      <c r="Y53" s="44">
        <v>0</v>
      </c>
      <c r="Z53" s="44"/>
      <c r="AA53" s="44">
        <f t="shared" si="1"/>
        <v>7494662</v>
      </c>
      <c r="AB53" s="44"/>
      <c r="AC53" s="44">
        <f t="shared" si="0"/>
        <v>10655900</v>
      </c>
    </row>
    <row r="54" spans="1:29" s="47" customFormat="1" ht="12.75" customHeight="1">
      <c r="A54" s="47" t="s">
        <v>72</v>
      </c>
      <c r="C54" s="47" t="s">
        <v>66</v>
      </c>
      <c r="E54" s="44">
        <v>488585</v>
      </c>
      <c r="F54" s="44"/>
      <c r="G54" s="44">
        <v>1003649</v>
      </c>
      <c r="H54" s="44"/>
      <c r="I54" s="44">
        <v>389589</v>
      </c>
      <c r="J54" s="44"/>
      <c r="K54" s="44">
        <f>374624+1085879+423706+184206</f>
        <v>2068415</v>
      </c>
      <c r="L54" s="44"/>
      <c r="M54" s="44">
        <f>1311919+607727</f>
        <v>1919646</v>
      </c>
      <c r="N54" s="44"/>
      <c r="O54" s="44">
        <v>335198</v>
      </c>
      <c r="P54" s="44"/>
      <c r="Q54" s="44">
        <v>534113</v>
      </c>
      <c r="R54" s="44"/>
      <c r="S54" s="44">
        <v>178584</v>
      </c>
      <c r="T54" s="44"/>
      <c r="U54" s="44">
        <v>168012</v>
      </c>
      <c r="V54" s="44"/>
      <c r="W54" s="44">
        <v>-202234</v>
      </c>
      <c r="X54" s="44"/>
      <c r="Y54" s="44">
        <v>0</v>
      </c>
      <c r="Z54" s="44"/>
      <c r="AA54" s="44">
        <f t="shared" si="1"/>
        <v>5001734</v>
      </c>
      <c r="AB54" s="44"/>
      <c r="AC54" s="44">
        <f t="shared" si="0"/>
        <v>6883557</v>
      </c>
    </row>
    <row r="55" spans="1:29" s="47" customFormat="1" ht="12.75" customHeight="1">
      <c r="A55" s="47" t="s">
        <v>73</v>
      </c>
      <c r="C55" s="47" t="s">
        <v>27</v>
      </c>
      <c r="E55" s="44">
        <v>72388000</v>
      </c>
      <c r="F55" s="44"/>
      <c r="G55" s="44">
        <v>127218000</v>
      </c>
      <c r="H55" s="44"/>
      <c r="I55" s="44">
        <v>82566000</v>
      </c>
      <c r="J55" s="44"/>
      <c r="K55" s="44">
        <v>69313000</v>
      </c>
      <c r="L55" s="44"/>
      <c r="M55" s="44">
        <v>317268000</v>
      </c>
      <c r="N55" s="44"/>
      <c r="O55" s="44">
        <v>28567000</v>
      </c>
      <c r="P55" s="44"/>
      <c r="Q55" s="44">
        <v>51164000</v>
      </c>
      <c r="R55" s="44"/>
      <c r="S55" s="44">
        <v>5670000</v>
      </c>
      <c r="T55" s="44"/>
      <c r="U55" s="44">
        <f>23805000+14482000</f>
        <v>38287000</v>
      </c>
      <c r="V55" s="44"/>
      <c r="W55" s="44">
        <v>-290000</v>
      </c>
      <c r="X55" s="44"/>
      <c r="Y55" s="44">
        <v>0</v>
      </c>
      <c r="Z55" s="44"/>
      <c r="AA55" s="44">
        <f t="shared" si="1"/>
        <v>509979000</v>
      </c>
      <c r="AB55" s="44"/>
      <c r="AC55" s="44">
        <f t="shared" si="0"/>
        <v>792151000</v>
      </c>
    </row>
    <row r="56" spans="1:29" s="47" customFormat="1" ht="12.75" customHeight="1">
      <c r="A56" s="47" t="s">
        <v>74</v>
      </c>
      <c r="C56" s="47" t="s">
        <v>27</v>
      </c>
      <c r="E56" s="44">
        <v>12684405</v>
      </c>
      <c r="F56" s="44"/>
      <c r="G56" s="44">
        <v>1825210</v>
      </c>
      <c r="H56" s="44"/>
      <c r="I56" s="44">
        <v>1920401</v>
      </c>
      <c r="J56" s="44"/>
      <c r="K56" s="44">
        <f>8216507+3806226+531102</f>
        <v>12553835</v>
      </c>
      <c r="L56" s="44"/>
      <c r="M56" s="44">
        <v>21869012</v>
      </c>
      <c r="N56" s="44"/>
      <c r="O56" s="44">
        <v>0</v>
      </c>
      <c r="P56" s="44"/>
      <c r="Q56" s="44">
        <v>6607694</v>
      </c>
      <c r="R56" s="44"/>
      <c r="S56" s="44">
        <v>668428</v>
      </c>
      <c r="T56" s="44"/>
      <c r="U56" s="44">
        <v>734076</v>
      </c>
      <c r="V56" s="44"/>
      <c r="W56" s="44">
        <v>-316733</v>
      </c>
      <c r="X56" s="44"/>
      <c r="Y56" s="44">
        <v>0</v>
      </c>
      <c r="Z56" s="44"/>
      <c r="AA56" s="44">
        <f t="shared" si="1"/>
        <v>42116312</v>
      </c>
      <c r="AB56" s="44"/>
      <c r="AC56" s="44">
        <f t="shared" si="0"/>
        <v>58546328</v>
      </c>
    </row>
    <row r="57" spans="1:29" s="47" customFormat="1" ht="12.75" customHeight="1">
      <c r="A57" s="47" t="s">
        <v>75</v>
      </c>
      <c r="C57" s="47" t="s">
        <v>76</v>
      </c>
      <c r="E57" s="44">
        <v>242740</v>
      </c>
      <c r="F57" s="44"/>
      <c r="G57" s="44">
        <v>401191</v>
      </c>
      <c r="H57" s="44"/>
      <c r="I57" s="44">
        <v>326998</v>
      </c>
      <c r="J57" s="44"/>
      <c r="K57" s="44">
        <f>852896+40712</f>
        <v>893608</v>
      </c>
      <c r="L57" s="44"/>
      <c r="M57" s="44">
        <f>2847104+1095839</f>
        <v>3942943</v>
      </c>
      <c r="N57" s="44"/>
      <c r="O57" s="44">
        <v>0</v>
      </c>
      <c r="P57" s="44"/>
      <c r="Q57" s="44">
        <v>333352</v>
      </c>
      <c r="R57" s="44"/>
      <c r="S57" s="44">
        <v>517284</v>
      </c>
      <c r="T57" s="44"/>
      <c r="U57" s="44">
        <v>83034</v>
      </c>
      <c r="V57" s="44"/>
      <c r="W57" s="44">
        <v>-1045351</v>
      </c>
      <c r="X57" s="44"/>
      <c r="Y57" s="44">
        <v>0</v>
      </c>
      <c r="Z57" s="44"/>
      <c r="AA57" s="44">
        <f t="shared" si="1"/>
        <v>4724870</v>
      </c>
      <c r="AB57" s="44"/>
      <c r="AC57" s="44">
        <f t="shared" si="0"/>
        <v>5695799</v>
      </c>
    </row>
    <row r="58" spans="1:29" s="47" customFormat="1" ht="12.75" customHeight="1">
      <c r="A58" s="47" t="s">
        <v>77</v>
      </c>
      <c r="C58" s="47" t="s">
        <v>43</v>
      </c>
      <c r="E58" s="44">
        <v>143681000</v>
      </c>
      <c r="F58" s="44"/>
      <c r="G58" s="44">
        <v>130663000</v>
      </c>
      <c r="H58" s="44"/>
      <c r="I58" s="44">
        <v>49077000</v>
      </c>
      <c r="J58" s="44"/>
      <c r="K58" s="44">
        <v>51852000</v>
      </c>
      <c r="L58" s="44"/>
      <c r="M58" s="44">
        <v>518033000</v>
      </c>
      <c r="N58" s="44"/>
      <c r="O58" s="44">
        <f>14883000+3221000</f>
        <v>18104000</v>
      </c>
      <c r="P58" s="44"/>
      <c r="Q58" s="44">
        <v>56175000</v>
      </c>
      <c r="R58" s="44"/>
      <c r="S58" s="44">
        <v>34196000</v>
      </c>
      <c r="T58" s="44"/>
      <c r="U58" s="44">
        <v>9480000</v>
      </c>
      <c r="V58" s="44"/>
      <c r="W58" s="44">
        <v>-5742000</v>
      </c>
      <c r="X58" s="44"/>
      <c r="Y58" s="44">
        <v>0</v>
      </c>
      <c r="Z58" s="44"/>
      <c r="AA58" s="44">
        <f t="shared" si="1"/>
        <v>682098000</v>
      </c>
      <c r="AB58" s="44"/>
      <c r="AC58" s="44">
        <f t="shared" si="0"/>
        <v>1005519000</v>
      </c>
    </row>
    <row r="59" spans="1:29" s="47" customFormat="1" ht="12.75" customHeight="1">
      <c r="A59" s="47" t="s">
        <v>94</v>
      </c>
      <c r="C59" s="47" t="s">
        <v>94</v>
      </c>
      <c r="E59" s="44">
        <v>368829</v>
      </c>
      <c r="F59" s="44"/>
      <c r="G59" s="44">
        <v>388037</v>
      </c>
      <c r="H59" s="44"/>
      <c r="I59" s="44">
        <v>155443</v>
      </c>
      <c r="J59" s="44"/>
      <c r="K59" s="44">
        <f>290039+34349</f>
        <v>324388</v>
      </c>
      <c r="L59" s="44"/>
      <c r="M59" s="44">
        <v>1778542</v>
      </c>
      <c r="N59" s="44"/>
      <c r="O59" s="44">
        <v>0</v>
      </c>
      <c r="P59" s="44"/>
      <c r="Q59" s="44">
        <v>488416</v>
      </c>
      <c r="R59" s="44"/>
      <c r="S59" s="44">
        <v>292789</v>
      </c>
      <c r="T59" s="44"/>
      <c r="U59" s="44">
        <v>132473</v>
      </c>
      <c r="V59" s="44"/>
      <c r="W59" s="44">
        <v>-68784</v>
      </c>
      <c r="X59" s="44"/>
      <c r="Y59" s="44">
        <v>0</v>
      </c>
      <c r="Z59" s="44"/>
      <c r="AA59" s="44">
        <f>SUM(K59:Y59)</f>
        <v>2947824</v>
      </c>
      <c r="AB59" s="44"/>
      <c r="AC59" s="44">
        <f>SUM(E59:Y59)</f>
        <v>3860133</v>
      </c>
    </row>
    <row r="60" spans="1:29" s="47" customFormat="1" ht="12.75" customHeight="1">
      <c r="A60" s="47" t="s">
        <v>78</v>
      </c>
      <c r="C60" s="47" t="s">
        <v>19</v>
      </c>
      <c r="E60" s="44">
        <v>903835</v>
      </c>
      <c r="F60" s="44"/>
      <c r="G60" s="44">
        <v>840222</v>
      </c>
      <c r="H60" s="44"/>
      <c r="I60" s="44">
        <v>88642</v>
      </c>
      <c r="J60" s="44"/>
      <c r="K60" s="44">
        <f>401371+275546+707006</f>
        <v>1383923</v>
      </c>
      <c r="L60" s="44"/>
      <c r="M60" s="44">
        <f>2030350+317487+845549+56221</f>
        <v>3249607</v>
      </c>
      <c r="N60" s="44"/>
      <c r="O60" s="44">
        <v>0</v>
      </c>
      <c r="P60" s="44"/>
      <c r="Q60" s="44">
        <v>1122971</v>
      </c>
      <c r="R60" s="44"/>
      <c r="S60" s="44">
        <v>137169</v>
      </c>
      <c r="T60" s="44"/>
      <c r="U60" s="44">
        <f>56620+7303</f>
        <v>63923</v>
      </c>
      <c r="V60" s="44"/>
      <c r="W60" s="44">
        <v>0</v>
      </c>
      <c r="X60" s="44"/>
      <c r="Y60" s="44">
        <v>0</v>
      </c>
      <c r="Z60" s="44"/>
      <c r="AA60" s="44">
        <f>SUM(K60:Y60)</f>
        <v>5957593</v>
      </c>
      <c r="AB60" s="44"/>
      <c r="AC60" s="44">
        <f>SUM(E60:Y60)</f>
        <v>7790292</v>
      </c>
    </row>
    <row r="61" spans="1:29" s="47" customFormat="1" ht="12.75" customHeight="1">
      <c r="A61" s="47" t="s">
        <v>79</v>
      </c>
      <c r="C61" s="47" t="s">
        <v>80</v>
      </c>
      <c r="E61" s="44">
        <v>417703</v>
      </c>
      <c r="F61" s="44"/>
      <c r="G61" s="44">
        <v>434231</v>
      </c>
      <c r="H61" s="44"/>
      <c r="I61" s="44">
        <v>309614</v>
      </c>
      <c r="J61" s="44"/>
      <c r="K61" s="44">
        <f>525731+831300+916550</f>
        <v>2273581</v>
      </c>
      <c r="L61" s="44"/>
      <c r="M61" s="44">
        <v>0</v>
      </c>
      <c r="N61" s="44"/>
      <c r="O61" s="44">
        <v>0</v>
      </c>
      <c r="P61" s="44"/>
      <c r="Q61" s="44">
        <v>522583</v>
      </c>
      <c r="R61" s="44"/>
      <c r="S61" s="44">
        <v>110181</v>
      </c>
      <c r="T61" s="44"/>
      <c r="U61" s="44">
        <v>6637</v>
      </c>
      <c r="V61" s="44"/>
      <c r="W61" s="44">
        <v>0</v>
      </c>
      <c r="X61" s="44"/>
      <c r="Y61" s="44">
        <v>0</v>
      </c>
      <c r="Z61" s="44"/>
      <c r="AA61" s="44">
        <f>SUM(K61:Y61)</f>
        <v>2912982</v>
      </c>
      <c r="AB61" s="44"/>
      <c r="AC61" s="44">
        <f>SUM(E61:Y61)</f>
        <v>4074530</v>
      </c>
    </row>
    <row r="62" spans="1:29" s="47" customFormat="1" ht="12.75" customHeight="1">
      <c r="A62" s="47" t="s">
        <v>81</v>
      </c>
      <c r="C62" s="47" t="s">
        <v>81</v>
      </c>
      <c r="E62" s="44">
        <v>1189218</v>
      </c>
      <c r="F62" s="44"/>
      <c r="G62" s="44">
        <v>1053584</v>
      </c>
      <c r="H62" s="44"/>
      <c r="I62" s="44">
        <v>0</v>
      </c>
      <c r="J62" s="44"/>
      <c r="K62" s="44">
        <f>606020+54816</f>
        <v>660836</v>
      </c>
      <c r="L62" s="44"/>
      <c r="M62" s="44">
        <f>2423367+1097121+188173+482473+161385</f>
        <v>4352519</v>
      </c>
      <c r="N62" s="44"/>
      <c r="O62" s="44">
        <f>75722+347928</f>
        <v>423650</v>
      </c>
      <c r="P62" s="44"/>
      <c r="Q62" s="44">
        <v>752233</v>
      </c>
      <c r="R62" s="44"/>
      <c r="S62" s="44">
        <v>145108</v>
      </c>
      <c r="T62" s="44"/>
      <c r="U62" s="44">
        <v>381832</v>
      </c>
      <c r="V62" s="44"/>
      <c r="W62" s="44">
        <v>0</v>
      </c>
      <c r="X62" s="44"/>
      <c r="Y62" s="44">
        <v>0</v>
      </c>
      <c r="Z62" s="44"/>
      <c r="AA62" s="44">
        <f>SUM(K62:Y62)</f>
        <v>6716178</v>
      </c>
      <c r="AB62" s="44"/>
      <c r="AC62" s="44">
        <f>SUM(E62:Y62)</f>
        <v>8958980</v>
      </c>
    </row>
    <row r="63" spans="1:29" s="47" customFormat="1" ht="12.75" customHeight="1">
      <c r="A63" s="47" t="s">
        <v>466</v>
      </c>
      <c r="C63" s="47" t="s">
        <v>57</v>
      </c>
      <c r="E63" s="44">
        <v>322736</v>
      </c>
      <c r="F63" s="44"/>
      <c r="G63" s="44">
        <v>773863</v>
      </c>
      <c r="H63" s="44"/>
      <c r="I63" s="44">
        <v>0</v>
      </c>
      <c r="J63" s="44"/>
      <c r="K63" s="44">
        <f>171417+63004+15023+15164</f>
        <v>264608</v>
      </c>
      <c r="L63" s="44"/>
      <c r="M63" s="44">
        <f>807205+88221+174378</f>
        <v>1069804</v>
      </c>
      <c r="N63" s="44"/>
      <c r="O63" s="44">
        <v>0</v>
      </c>
      <c r="P63" s="44"/>
      <c r="Q63" s="44">
        <v>303453</v>
      </c>
      <c r="R63" s="44"/>
      <c r="S63" s="44">
        <v>108179</v>
      </c>
      <c r="T63" s="44"/>
      <c r="U63" s="44">
        <v>75867</v>
      </c>
      <c r="V63" s="44"/>
      <c r="W63" s="44">
        <v>-24152</v>
      </c>
      <c r="X63" s="44"/>
      <c r="Y63" s="44">
        <v>0</v>
      </c>
      <c r="Z63" s="44"/>
      <c r="AA63" s="44">
        <f>SUM(K63:Y63)</f>
        <v>1797759</v>
      </c>
      <c r="AB63" s="44"/>
      <c r="AC63" s="44">
        <f>SUM(E63:Y63)</f>
        <v>2894358</v>
      </c>
    </row>
    <row r="64" spans="1:29" s="47" customFormat="1" ht="12.75" customHeight="1">
      <c r="A64" s="47" t="s">
        <v>82</v>
      </c>
      <c r="C64" s="47" t="s">
        <v>13</v>
      </c>
      <c r="E64" s="44">
        <v>9974851</v>
      </c>
      <c r="F64" s="44"/>
      <c r="G64" s="44">
        <v>3179698</v>
      </c>
      <c r="H64" s="44"/>
      <c r="I64" s="44">
        <v>6296663</v>
      </c>
      <c r="J64" s="44"/>
      <c r="K64" s="44">
        <f>10465304+833685</f>
        <v>11298989</v>
      </c>
      <c r="L64" s="44"/>
      <c r="M64" s="44">
        <f>11684711+1491586+5468528</f>
        <v>18644825</v>
      </c>
      <c r="N64" s="44"/>
      <c r="O64" s="44">
        <v>0</v>
      </c>
      <c r="P64" s="44"/>
      <c r="Q64" s="44">
        <v>5324452</v>
      </c>
      <c r="R64" s="44"/>
      <c r="S64" s="44">
        <v>2158091</v>
      </c>
      <c r="T64" s="44"/>
      <c r="U64" s="44">
        <v>116724</v>
      </c>
      <c r="V64" s="44"/>
      <c r="W64" s="44">
        <v>-1836301</v>
      </c>
      <c r="X64" s="44"/>
      <c r="Y64" s="44">
        <v>0</v>
      </c>
      <c r="Z64" s="44"/>
      <c r="AA64" s="44">
        <f t="shared" si="1"/>
        <v>35706780</v>
      </c>
      <c r="AB64" s="44"/>
      <c r="AC64" s="44">
        <f t="shared" si="0"/>
        <v>55157992</v>
      </c>
    </row>
    <row r="65" spans="1:29" s="47" customFormat="1" ht="12.75" customHeight="1">
      <c r="A65" s="47" t="s">
        <v>83</v>
      </c>
      <c r="C65" s="47" t="s">
        <v>66</v>
      </c>
      <c r="E65" s="44">
        <v>30331644</v>
      </c>
      <c r="F65" s="44"/>
      <c r="G65" s="44">
        <v>19245962</v>
      </c>
      <c r="H65" s="44"/>
      <c r="I65" s="44">
        <v>15536992</v>
      </c>
      <c r="J65" s="44"/>
      <c r="K65" s="44">
        <f>11501550+10914236+1028356</f>
        <v>23444142</v>
      </c>
      <c r="L65" s="44"/>
      <c r="M65" s="44">
        <v>113785961</v>
      </c>
      <c r="N65" s="44"/>
      <c r="O65" s="44">
        <v>0</v>
      </c>
      <c r="P65" s="44"/>
      <c r="Q65" s="44">
        <v>17600763</v>
      </c>
      <c r="R65" s="44"/>
      <c r="S65" s="44">
        <v>7064009</v>
      </c>
      <c r="T65" s="44"/>
      <c r="U65" s="44">
        <v>7547653</v>
      </c>
      <c r="V65" s="44"/>
      <c r="W65" s="44">
        <v>-239196</v>
      </c>
      <c r="X65" s="44"/>
      <c r="Y65" s="44">
        <v>0</v>
      </c>
      <c r="Z65" s="44"/>
      <c r="AA65" s="44">
        <f t="shared" si="1"/>
        <v>169203332</v>
      </c>
      <c r="AB65" s="44"/>
      <c r="AC65" s="44">
        <f t="shared" si="0"/>
        <v>234317930</v>
      </c>
    </row>
    <row r="66" spans="1:29" s="138" customFormat="1" ht="12.75" hidden="1" customHeight="1">
      <c r="A66" s="138" t="s">
        <v>84</v>
      </c>
      <c r="C66" s="138" t="s">
        <v>45</v>
      </c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>
        <f t="shared" si="1"/>
        <v>0</v>
      </c>
      <c r="AB66" s="137"/>
      <c r="AC66" s="137">
        <f t="shared" si="0"/>
        <v>0</v>
      </c>
    </row>
    <row r="67" spans="1:29" s="47" customFormat="1" ht="12.75" customHeight="1">
      <c r="A67" s="47" t="s">
        <v>85</v>
      </c>
      <c r="C67" s="47" t="s">
        <v>85</v>
      </c>
      <c r="E67" s="44">
        <v>1887408</v>
      </c>
      <c r="F67" s="44"/>
      <c r="G67" s="44">
        <v>1409456</v>
      </c>
      <c r="H67" s="44"/>
      <c r="I67" s="44">
        <v>201996</v>
      </c>
      <c r="J67" s="44"/>
      <c r="K67" s="44">
        <f>664808+363825</f>
        <v>1028633</v>
      </c>
      <c r="L67" s="44"/>
      <c r="M67" s="44">
        <f>6502751+27315+1638902</f>
        <v>8168968</v>
      </c>
      <c r="N67" s="44"/>
      <c r="O67" s="44">
        <v>0</v>
      </c>
      <c r="P67" s="44"/>
      <c r="Q67" s="44">
        <v>1063111</v>
      </c>
      <c r="R67" s="44"/>
      <c r="S67" s="44">
        <v>404382</v>
      </c>
      <c r="T67" s="44"/>
      <c r="U67" s="44">
        <v>208359</v>
      </c>
      <c r="V67" s="44"/>
      <c r="W67" s="44">
        <v>-56712</v>
      </c>
      <c r="X67" s="44"/>
      <c r="Y67" s="44">
        <v>0</v>
      </c>
      <c r="Z67" s="44"/>
      <c r="AA67" s="44">
        <f t="shared" si="1"/>
        <v>10816741</v>
      </c>
      <c r="AB67" s="44"/>
      <c r="AC67" s="44">
        <f t="shared" si="0"/>
        <v>14315601</v>
      </c>
    </row>
    <row r="68" spans="1:29" s="47" customFormat="1" ht="12.75" customHeight="1">
      <c r="A68" s="47" t="s">
        <v>86</v>
      </c>
      <c r="C68" s="47" t="s">
        <v>86</v>
      </c>
      <c r="E68" s="44">
        <v>6004127</v>
      </c>
      <c r="F68" s="44"/>
      <c r="G68" s="44">
        <v>767520</v>
      </c>
      <c r="H68" s="44"/>
      <c r="I68" s="44">
        <v>5085496</v>
      </c>
      <c r="J68" s="44"/>
      <c r="K68" s="44">
        <f>1386189+406993</f>
        <v>1793182</v>
      </c>
      <c r="L68" s="44"/>
      <c r="M68" s="44">
        <f>9585301+3835386</f>
        <v>13420687</v>
      </c>
      <c r="N68" s="44"/>
      <c r="O68" s="44">
        <v>57116</v>
      </c>
      <c r="P68" s="44"/>
      <c r="Q68" s="44">
        <v>1905545</v>
      </c>
      <c r="R68" s="44"/>
      <c r="S68" s="44">
        <v>1083231</v>
      </c>
      <c r="T68" s="44"/>
      <c r="U68" s="44">
        <f>1000+656909</f>
        <v>657909</v>
      </c>
      <c r="V68" s="44"/>
      <c r="W68" s="44">
        <v>0</v>
      </c>
      <c r="X68" s="44"/>
      <c r="Y68" s="44">
        <v>0</v>
      </c>
      <c r="Z68" s="44"/>
      <c r="AA68" s="44">
        <f t="shared" si="1"/>
        <v>18917670</v>
      </c>
      <c r="AB68" s="44"/>
      <c r="AC68" s="44">
        <f t="shared" si="0"/>
        <v>30774813</v>
      </c>
    </row>
    <row r="69" spans="1:29" s="47" customFormat="1" ht="12.75" customHeight="1">
      <c r="A69" s="46" t="s">
        <v>87</v>
      </c>
      <c r="B69" s="46"/>
      <c r="C69" s="46" t="s">
        <v>88</v>
      </c>
      <c r="D69" s="46"/>
      <c r="E69" s="44">
        <v>552734</v>
      </c>
      <c r="F69" s="44"/>
      <c r="G69" s="44">
        <v>558647</v>
      </c>
      <c r="H69" s="44"/>
      <c r="I69" s="44">
        <v>773526</v>
      </c>
      <c r="J69" s="44"/>
      <c r="K69" s="44">
        <f>459244+58959</f>
        <v>518203</v>
      </c>
      <c r="L69" s="44"/>
      <c r="M69" s="44">
        <f>1201355+794250</f>
        <v>1995605</v>
      </c>
      <c r="N69" s="44"/>
      <c r="O69" s="44">
        <v>0</v>
      </c>
      <c r="P69" s="44"/>
      <c r="Q69" s="44">
        <v>291736</v>
      </c>
      <c r="R69" s="44"/>
      <c r="S69" s="44">
        <v>244426</v>
      </c>
      <c r="T69" s="44"/>
      <c r="U69" s="44">
        <v>72239</v>
      </c>
      <c r="V69" s="44"/>
      <c r="W69" s="44">
        <v>-4941314</v>
      </c>
      <c r="X69" s="44"/>
      <c r="Y69" s="44">
        <v>0</v>
      </c>
      <c r="Z69" s="44"/>
      <c r="AA69" s="44">
        <f t="shared" si="1"/>
        <v>-1819105</v>
      </c>
      <c r="AB69" s="44"/>
      <c r="AC69" s="44">
        <f t="shared" si="0"/>
        <v>65802</v>
      </c>
    </row>
    <row r="70" spans="1:29" s="47" customFormat="1" ht="12.75" customHeight="1">
      <c r="A70" s="47" t="s">
        <v>394</v>
      </c>
      <c r="C70" s="47" t="s">
        <v>89</v>
      </c>
      <c r="E70" s="44">
        <v>1036183</v>
      </c>
      <c r="F70" s="44"/>
      <c r="G70" s="44">
        <v>1126551</v>
      </c>
      <c r="H70" s="44"/>
      <c r="I70" s="44">
        <v>257835</v>
      </c>
      <c r="J70" s="44"/>
      <c r="K70" s="44">
        <f>1032747+126312</f>
        <v>1159059</v>
      </c>
      <c r="L70" s="44"/>
      <c r="M70" s="44">
        <f>2507749+312374+341515+347105+2577460</f>
        <v>6086203</v>
      </c>
      <c r="N70" s="44"/>
      <c r="O70" s="44">
        <v>0</v>
      </c>
      <c r="P70" s="44"/>
      <c r="Q70" s="44">
        <v>1708557</v>
      </c>
      <c r="R70" s="44"/>
      <c r="S70" s="44">
        <v>319702</v>
      </c>
      <c r="T70" s="44"/>
      <c r="U70" s="44">
        <v>324404</v>
      </c>
      <c r="V70" s="44"/>
      <c r="W70" s="44">
        <v>0</v>
      </c>
      <c r="X70" s="44"/>
      <c r="Y70" s="44">
        <v>0</v>
      </c>
      <c r="Z70" s="44"/>
      <c r="AA70" s="44">
        <f t="shared" si="1"/>
        <v>9597925</v>
      </c>
      <c r="AB70" s="44"/>
      <c r="AC70" s="44">
        <f t="shared" si="0"/>
        <v>12018494</v>
      </c>
    </row>
    <row r="71" spans="1:29" s="47" customFormat="1" ht="12.75" customHeight="1">
      <c r="A71" s="47" t="s">
        <v>90</v>
      </c>
      <c r="C71" s="47" t="s">
        <v>43</v>
      </c>
      <c r="E71" s="44">
        <v>8994798</v>
      </c>
      <c r="F71" s="44"/>
      <c r="G71" s="44">
        <v>2245389</v>
      </c>
      <c r="H71" s="44"/>
      <c r="I71" s="44">
        <v>3624501</v>
      </c>
      <c r="J71" s="44"/>
      <c r="K71" s="44">
        <f>1722886+1407172+593660+591</f>
        <v>3724309</v>
      </c>
      <c r="L71" s="44"/>
      <c r="M71" s="44">
        <f>48354633+16620906+4673920</f>
        <v>69649459</v>
      </c>
      <c r="N71" s="44"/>
      <c r="O71" s="44">
        <f>1845503+873750</f>
        <v>2719253</v>
      </c>
      <c r="P71" s="44"/>
      <c r="Q71" s="44">
        <v>1139114</v>
      </c>
      <c r="R71" s="44"/>
      <c r="S71" s="44">
        <v>3786417</v>
      </c>
      <c r="T71" s="44"/>
      <c r="U71" s="44">
        <v>1027403</v>
      </c>
      <c r="V71" s="44"/>
      <c r="W71" s="44">
        <v>-320232</v>
      </c>
      <c r="X71" s="44"/>
      <c r="Y71" s="44">
        <v>0</v>
      </c>
      <c r="Z71" s="44"/>
      <c r="AA71" s="44">
        <f t="shared" si="1"/>
        <v>81725723</v>
      </c>
      <c r="AB71" s="44"/>
      <c r="AC71" s="44">
        <f t="shared" si="0"/>
        <v>96590411</v>
      </c>
    </row>
    <row r="72" spans="1:29" s="47" customFormat="1" ht="12.75" customHeight="1">
      <c r="A72" s="47" t="s">
        <v>93</v>
      </c>
      <c r="C72" s="47" t="s">
        <v>94</v>
      </c>
      <c r="E72" s="44">
        <v>952564</v>
      </c>
      <c r="F72" s="44"/>
      <c r="G72" s="44">
        <v>1402481</v>
      </c>
      <c r="H72" s="44"/>
      <c r="I72" s="44">
        <v>440093</v>
      </c>
      <c r="J72" s="44"/>
      <c r="K72" s="44">
        <v>1267238</v>
      </c>
      <c r="L72" s="44"/>
      <c r="M72" s="44">
        <v>2866132</v>
      </c>
      <c r="N72" s="44"/>
      <c r="O72" s="44">
        <v>0</v>
      </c>
      <c r="P72" s="44"/>
      <c r="Q72" s="44">
        <v>17532</v>
      </c>
      <c r="R72" s="44"/>
      <c r="S72" s="44">
        <v>83224</v>
      </c>
      <c r="T72" s="44"/>
      <c r="U72" s="44">
        <v>138416</v>
      </c>
      <c r="V72" s="44"/>
      <c r="W72" s="44">
        <v>49858</v>
      </c>
      <c r="X72" s="44"/>
      <c r="Y72" s="44">
        <v>0</v>
      </c>
      <c r="Z72" s="44"/>
      <c r="AA72" s="44">
        <f t="shared" si="1"/>
        <v>4422400</v>
      </c>
      <c r="AB72" s="44"/>
      <c r="AC72" s="44">
        <f t="shared" si="0"/>
        <v>7217538</v>
      </c>
    </row>
    <row r="73" spans="1:29" s="47" customFormat="1" ht="12.75" customHeight="1">
      <c r="A73" s="47" t="s">
        <v>492</v>
      </c>
      <c r="C73" s="47" t="s">
        <v>27</v>
      </c>
      <c r="E73" s="44">
        <v>5405578</v>
      </c>
      <c r="F73" s="44"/>
      <c r="G73" s="44">
        <v>6132937</v>
      </c>
      <c r="H73" s="44"/>
      <c r="I73" s="44">
        <v>0</v>
      </c>
      <c r="J73" s="44"/>
      <c r="K73" s="44">
        <f>2187552+417137+62571+62571</f>
        <v>2729831</v>
      </c>
      <c r="L73" s="44"/>
      <c r="M73" s="44">
        <v>6009808</v>
      </c>
      <c r="N73" s="44"/>
      <c r="O73" s="44">
        <v>0</v>
      </c>
      <c r="P73" s="44"/>
      <c r="Q73" s="44">
        <v>269555</v>
      </c>
      <c r="R73" s="44"/>
      <c r="S73" s="44">
        <v>24971</v>
      </c>
      <c r="T73" s="44"/>
      <c r="U73" s="44">
        <v>1002521</v>
      </c>
      <c r="V73" s="44"/>
      <c r="W73" s="44">
        <v>0</v>
      </c>
      <c r="X73" s="44"/>
      <c r="Y73" s="44">
        <v>0</v>
      </c>
      <c r="Z73" s="44"/>
      <c r="AA73" s="44">
        <f>SUM(K73:Y73)</f>
        <v>10036686</v>
      </c>
      <c r="AB73" s="44"/>
      <c r="AC73" s="44">
        <f>SUM(E73:Y73)</f>
        <v>21575201</v>
      </c>
    </row>
    <row r="74" spans="1:29" s="47" customFormat="1" ht="12.75" customHeight="1">
      <c r="A74" s="47" t="s">
        <v>472</v>
      </c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8" t="s">
        <v>485</v>
      </c>
    </row>
    <row r="75" spans="1:29" s="46" customFormat="1" ht="12.75" customHeight="1">
      <c r="A75" s="46" t="s">
        <v>95</v>
      </c>
      <c r="C75" s="46" t="s">
        <v>94</v>
      </c>
      <c r="E75" s="46">
        <v>447645</v>
      </c>
      <c r="G75" s="46">
        <v>796005</v>
      </c>
      <c r="I75" s="46">
        <v>0</v>
      </c>
      <c r="K75" s="46">
        <f>118882+231649</f>
        <v>350531</v>
      </c>
      <c r="M75" s="46">
        <v>1040054</v>
      </c>
      <c r="O75" s="46">
        <v>486</v>
      </c>
      <c r="Q75" s="46">
        <v>186567</v>
      </c>
      <c r="S75" s="46">
        <v>17537</v>
      </c>
      <c r="U75" s="46">
        <v>77062</v>
      </c>
      <c r="W75" s="46">
        <v>146000</v>
      </c>
      <c r="Y75" s="46">
        <v>0</v>
      </c>
      <c r="AA75" s="46">
        <f t="shared" si="1"/>
        <v>1818237</v>
      </c>
      <c r="AC75" s="46">
        <f t="shared" si="0"/>
        <v>3061887</v>
      </c>
    </row>
    <row r="76" spans="1:29" s="47" customFormat="1" ht="12.75" customHeight="1">
      <c r="A76" s="47" t="s">
        <v>91</v>
      </c>
      <c r="C76" s="47" t="s">
        <v>92</v>
      </c>
      <c r="E76" s="44">
        <v>2535310</v>
      </c>
      <c r="F76" s="44"/>
      <c r="G76" s="44">
        <v>3823780</v>
      </c>
      <c r="H76" s="44"/>
      <c r="I76" s="44">
        <v>474823</v>
      </c>
      <c r="J76" s="44"/>
      <c r="K76" s="44">
        <f>1514675+316352+221460+1110814</f>
        <v>3163301</v>
      </c>
      <c r="L76" s="44"/>
      <c r="M76" s="44">
        <v>7292147</v>
      </c>
      <c r="N76" s="44"/>
      <c r="O76" s="44">
        <f>3440168+456760</f>
        <v>3896928</v>
      </c>
      <c r="P76" s="44"/>
      <c r="Q76" s="44">
        <v>0</v>
      </c>
      <c r="R76" s="44"/>
      <c r="S76" s="44">
        <v>490518</v>
      </c>
      <c r="T76" s="44"/>
      <c r="U76" s="44">
        <v>580839</v>
      </c>
      <c r="V76" s="44"/>
      <c r="W76" s="44">
        <v>-171865</v>
      </c>
      <c r="X76" s="44"/>
      <c r="Y76" s="44">
        <v>0</v>
      </c>
      <c r="Z76" s="44"/>
      <c r="AA76" s="44">
        <f t="shared" si="1"/>
        <v>15251868</v>
      </c>
      <c r="AB76" s="44"/>
      <c r="AC76" s="44">
        <f t="shared" si="0"/>
        <v>22085781</v>
      </c>
    </row>
    <row r="77" spans="1:29" s="47" customFormat="1" ht="12.75" customHeight="1">
      <c r="A77" s="47" t="s">
        <v>96</v>
      </c>
      <c r="C77" s="47" t="s">
        <v>97</v>
      </c>
      <c r="E77" s="44">
        <v>1895712</v>
      </c>
      <c r="F77" s="44"/>
      <c r="G77" s="44">
        <v>316781</v>
      </c>
      <c r="H77" s="44"/>
      <c r="I77" s="44">
        <v>31000</v>
      </c>
      <c r="J77" s="44"/>
      <c r="K77" s="44">
        <f>591086+50337+19026</f>
        <v>660449</v>
      </c>
      <c r="L77" s="44"/>
      <c r="M77" s="44">
        <v>3810742</v>
      </c>
      <c r="N77" s="44"/>
      <c r="O77" s="44">
        <v>0</v>
      </c>
      <c r="P77" s="44"/>
      <c r="Q77" s="44">
        <v>985586</v>
      </c>
      <c r="R77" s="44"/>
      <c r="S77" s="44">
        <v>435262</v>
      </c>
      <c r="T77" s="44"/>
      <c r="U77" s="44">
        <f>1251+83314</f>
        <v>84565</v>
      </c>
      <c r="V77" s="44"/>
      <c r="W77" s="44">
        <v>0</v>
      </c>
      <c r="X77" s="44"/>
      <c r="Y77" s="44">
        <v>0</v>
      </c>
      <c r="Z77" s="44"/>
      <c r="AA77" s="44">
        <f t="shared" si="1"/>
        <v>5976604</v>
      </c>
      <c r="AB77" s="44"/>
      <c r="AC77" s="44">
        <f t="shared" si="0"/>
        <v>8220097</v>
      </c>
    </row>
    <row r="78" spans="1:29" s="47" customFormat="1" ht="12.75" customHeight="1">
      <c r="A78" s="47" t="s">
        <v>98</v>
      </c>
      <c r="C78" s="47" t="s">
        <v>17</v>
      </c>
      <c r="E78" s="44">
        <v>5031941</v>
      </c>
      <c r="F78" s="44"/>
      <c r="G78" s="44">
        <v>2242188</v>
      </c>
      <c r="H78" s="44"/>
      <c r="I78" s="44">
        <v>769089</v>
      </c>
      <c r="J78" s="44"/>
      <c r="K78" s="44">
        <v>4194264</v>
      </c>
      <c r="L78" s="44"/>
      <c r="M78" s="44">
        <v>21187484</v>
      </c>
      <c r="N78" s="44"/>
      <c r="O78" s="44">
        <f>2936903+508796</f>
        <v>3445699</v>
      </c>
      <c r="P78" s="44"/>
      <c r="Q78" s="44">
        <v>3992282</v>
      </c>
      <c r="R78" s="44"/>
      <c r="S78" s="44">
        <v>1087322</v>
      </c>
      <c r="T78" s="44"/>
      <c r="U78" s="44">
        <f>177512+1050804+950</f>
        <v>1229266</v>
      </c>
      <c r="V78" s="44"/>
      <c r="W78" s="44">
        <v>0</v>
      </c>
      <c r="X78" s="44"/>
      <c r="Y78" s="44">
        <v>0</v>
      </c>
      <c r="Z78" s="44"/>
      <c r="AA78" s="44">
        <f t="shared" si="1"/>
        <v>35136317</v>
      </c>
      <c r="AB78" s="44"/>
      <c r="AC78" s="44">
        <f t="shared" si="0"/>
        <v>43179535</v>
      </c>
    </row>
    <row r="79" spans="1:29" s="47" customFormat="1" ht="12.75" customHeight="1">
      <c r="A79" s="47" t="s">
        <v>99</v>
      </c>
      <c r="C79" s="47" t="s">
        <v>66</v>
      </c>
      <c r="E79" s="44">
        <v>1263562</v>
      </c>
      <c r="F79" s="44"/>
      <c r="G79" s="44">
        <v>949193</v>
      </c>
      <c r="H79" s="44"/>
      <c r="I79" s="44">
        <v>658575</v>
      </c>
      <c r="J79" s="44"/>
      <c r="K79" s="44">
        <f>833918+476989+233425+73496</f>
        <v>1617828</v>
      </c>
      <c r="L79" s="44"/>
      <c r="M79" s="44">
        <v>6306195</v>
      </c>
      <c r="N79" s="44"/>
      <c r="O79" s="44">
        <v>0</v>
      </c>
      <c r="P79" s="44"/>
      <c r="Q79" s="44">
        <v>1307943</v>
      </c>
      <c r="R79" s="44"/>
      <c r="S79" s="44">
        <v>840878</v>
      </c>
      <c r="T79" s="44"/>
      <c r="U79" s="44">
        <f>366242+172779+28017</f>
        <v>567038</v>
      </c>
      <c r="V79" s="44"/>
      <c r="W79" s="44">
        <v>0</v>
      </c>
      <c r="X79" s="44"/>
      <c r="Y79" s="44">
        <v>0</v>
      </c>
      <c r="Z79" s="44"/>
      <c r="AA79" s="44">
        <f t="shared" si="1"/>
        <v>10639882</v>
      </c>
      <c r="AB79" s="44"/>
      <c r="AC79" s="44">
        <f t="shared" si="0"/>
        <v>13511212</v>
      </c>
    </row>
    <row r="80" spans="1:29" s="47" customFormat="1" ht="12.75" customHeight="1">
      <c r="A80" s="47" t="s">
        <v>100</v>
      </c>
      <c r="C80" s="47" t="s">
        <v>27</v>
      </c>
      <c r="E80" s="44">
        <v>7755827</v>
      </c>
      <c r="F80" s="44"/>
      <c r="G80" s="44">
        <v>3348326</v>
      </c>
      <c r="H80" s="44"/>
      <c r="I80" s="44">
        <v>0</v>
      </c>
      <c r="J80" s="44"/>
      <c r="K80" s="44">
        <f>2107973+2792175+532381+407381</f>
        <v>5839910</v>
      </c>
      <c r="L80" s="44"/>
      <c r="M80" s="44">
        <v>24286649</v>
      </c>
      <c r="N80" s="44"/>
      <c r="O80" s="44">
        <v>72269</v>
      </c>
      <c r="P80" s="44"/>
      <c r="Q80" s="44">
        <v>5647600</v>
      </c>
      <c r="R80" s="44"/>
      <c r="S80" s="44">
        <v>1303442</v>
      </c>
      <c r="T80" s="44"/>
      <c r="U80" s="44">
        <v>18771</v>
      </c>
      <c r="V80" s="44"/>
      <c r="W80" s="44">
        <v>286456</v>
      </c>
      <c r="X80" s="44"/>
      <c r="Y80" s="44">
        <v>224113</v>
      </c>
      <c r="Z80" s="44"/>
      <c r="AA80" s="44">
        <f>SUM(K80:Y80)</f>
        <v>37679210</v>
      </c>
      <c r="AB80" s="44"/>
      <c r="AC80" s="44">
        <f>SUM(E80:Y80)</f>
        <v>48783363</v>
      </c>
    </row>
    <row r="81" spans="1:29" s="47" customFormat="1" ht="12.75" customHeight="1">
      <c r="A81" s="47" t="s">
        <v>101</v>
      </c>
      <c r="C81" s="47" t="s">
        <v>30</v>
      </c>
      <c r="E81" s="44">
        <v>6266797</v>
      </c>
      <c r="F81" s="44"/>
      <c r="G81" s="44">
        <v>2910842</v>
      </c>
      <c r="H81" s="44"/>
      <c r="I81" s="44">
        <v>672689</v>
      </c>
      <c r="J81" s="44"/>
      <c r="K81" s="44">
        <f>2174289+2366942+146175+159966</f>
        <v>4847372</v>
      </c>
      <c r="L81" s="44"/>
      <c r="M81" s="44">
        <v>9988775</v>
      </c>
      <c r="N81" s="44"/>
      <c r="O81" s="44">
        <v>0</v>
      </c>
      <c r="P81" s="44"/>
      <c r="Q81" s="44">
        <v>2357094</v>
      </c>
      <c r="R81" s="44"/>
      <c r="S81" s="44">
        <v>1048527</v>
      </c>
      <c r="T81" s="44"/>
      <c r="U81" s="44">
        <v>227875</v>
      </c>
      <c r="V81" s="44"/>
      <c r="W81" s="44">
        <v>-11212</v>
      </c>
      <c r="X81" s="44"/>
      <c r="Y81" s="44">
        <v>0</v>
      </c>
      <c r="Z81" s="44"/>
      <c r="AA81" s="44">
        <f>SUM(K81:Y81)</f>
        <v>18458431</v>
      </c>
      <c r="AB81" s="44"/>
      <c r="AC81" s="44">
        <f>SUM(E81:Y81)</f>
        <v>28308759</v>
      </c>
    </row>
    <row r="82" spans="1:29" s="47" customFormat="1" ht="12.75" customHeight="1">
      <c r="A82" s="47" t="s">
        <v>102</v>
      </c>
      <c r="C82" s="47" t="s">
        <v>103</v>
      </c>
      <c r="E82" s="44">
        <v>4337488</v>
      </c>
      <c r="F82" s="44"/>
      <c r="G82" s="44">
        <v>2751313</v>
      </c>
      <c r="H82" s="44"/>
      <c r="I82" s="44">
        <v>1410875</v>
      </c>
      <c r="J82" s="44"/>
      <c r="K82" s="44">
        <v>6076079</v>
      </c>
      <c r="L82" s="44"/>
      <c r="M82" s="44">
        <v>23491536</v>
      </c>
      <c r="N82" s="44"/>
      <c r="O82" s="44">
        <v>0</v>
      </c>
      <c r="P82" s="44"/>
      <c r="Q82" s="44">
        <v>3111723</v>
      </c>
      <c r="R82" s="44"/>
      <c r="S82" s="44">
        <v>1676017</v>
      </c>
      <c r="T82" s="44"/>
      <c r="U82" s="44">
        <v>246560</v>
      </c>
      <c r="V82" s="44"/>
      <c r="W82" s="44">
        <v>-640000</v>
      </c>
      <c r="X82" s="44"/>
      <c r="Y82" s="44">
        <v>0</v>
      </c>
      <c r="Z82" s="44"/>
      <c r="AA82" s="44">
        <f t="shared" ref="AA82:AA147" si="2">SUM(K82:Y82)</f>
        <v>33961915</v>
      </c>
      <c r="AB82" s="44"/>
      <c r="AC82" s="44">
        <f t="shared" ref="AC82:AC148" si="3">SUM(E82:Y82)</f>
        <v>42461591</v>
      </c>
    </row>
    <row r="83" spans="1:29" s="47" customFormat="1" ht="12.75" customHeight="1">
      <c r="A83" s="47" t="s">
        <v>104</v>
      </c>
      <c r="C83" s="47" t="s">
        <v>13</v>
      </c>
      <c r="E83" s="44">
        <v>1471772</v>
      </c>
      <c r="F83" s="44"/>
      <c r="G83" s="44">
        <v>343651</v>
      </c>
      <c r="H83" s="44"/>
      <c r="I83" s="44">
        <v>11050</v>
      </c>
      <c r="J83" s="44"/>
      <c r="K83" s="44">
        <f>694037+194988+203534</f>
        <v>1092559</v>
      </c>
      <c r="L83" s="44"/>
      <c r="M83" s="44">
        <f>5533704+2503071</f>
        <v>8036775</v>
      </c>
      <c r="N83" s="44"/>
      <c r="O83" s="44">
        <v>0</v>
      </c>
      <c r="P83" s="44"/>
      <c r="Q83" s="44">
        <v>860079</v>
      </c>
      <c r="R83" s="44"/>
      <c r="S83" s="44">
        <v>770649</v>
      </c>
      <c r="T83" s="44"/>
      <c r="U83" s="44">
        <f>1912115+122020</f>
        <v>2034135</v>
      </c>
      <c r="V83" s="44"/>
      <c r="W83" s="44">
        <v>0</v>
      </c>
      <c r="X83" s="44"/>
      <c r="Y83" s="44">
        <v>0</v>
      </c>
      <c r="Z83" s="44"/>
      <c r="AA83" s="44">
        <f t="shared" si="2"/>
        <v>12794197</v>
      </c>
      <c r="AB83" s="44"/>
      <c r="AC83" s="44">
        <f t="shared" si="3"/>
        <v>14620670</v>
      </c>
    </row>
    <row r="84" spans="1:29" s="47" customFormat="1" ht="12.75" customHeight="1">
      <c r="A84" s="47" t="s">
        <v>105</v>
      </c>
      <c r="C84" s="47" t="s">
        <v>27</v>
      </c>
      <c r="E84" s="44">
        <v>1277041</v>
      </c>
      <c r="F84" s="44"/>
      <c r="G84" s="44">
        <v>771218</v>
      </c>
      <c r="H84" s="44"/>
      <c r="I84" s="44">
        <v>0</v>
      </c>
      <c r="J84" s="44"/>
      <c r="K84" s="44">
        <f>3467149+294107+806608</f>
        <v>4567864</v>
      </c>
      <c r="L84" s="44"/>
      <c r="M84" s="44">
        <f>4236452+2518921+1395586</f>
        <v>8150959</v>
      </c>
      <c r="N84" s="44"/>
      <c r="O84" s="44">
        <v>0</v>
      </c>
      <c r="P84" s="44"/>
      <c r="Q84" s="44">
        <v>1196593</v>
      </c>
      <c r="R84" s="44"/>
      <c r="S84" s="44">
        <v>1162601</v>
      </c>
      <c r="T84" s="44"/>
      <c r="U84" s="44">
        <v>167610</v>
      </c>
      <c r="V84" s="44"/>
      <c r="W84" s="44">
        <v>0</v>
      </c>
      <c r="X84" s="44"/>
      <c r="Y84" s="44">
        <v>0</v>
      </c>
      <c r="Z84" s="44"/>
      <c r="AA84" s="44">
        <f t="shared" si="2"/>
        <v>15245627</v>
      </c>
      <c r="AB84" s="44"/>
      <c r="AC84" s="44">
        <f t="shared" si="3"/>
        <v>17293886</v>
      </c>
    </row>
    <row r="85" spans="1:29" s="47" customFormat="1" ht="12.75" customHeight="1">
      <c r="A85" s="47" t="s">
        <v>106</v>
      </c>
      <c r="C85" s="47" t="s">
        <v>107</v>
      </c>
      <c r="E85" s="44">
        <v>3790619</v>
      </c>
      <c r="F85" s="44"/>
      <c r="G85" s="44">
        <v>2607559</v>
      </c>
      <c r="H85" s="44"/>
      <c r="I85" s="44">
        <v>1540453</v>
      </c>
      <c r="J85" s="44"/>
      <c r="K85" s="44">
        <f>2645547+524798</f>
        <v>3170345</v>
      </c>
      <c r="L85" s="44"/>
      <c r="M85" s="44">
        <v>21067032</v>
      </c>
      <c r="N85" s="44"/>
      <c r="O85" s="44">
        <v>0</v>
      </c>
      <c r="P85" s="44"/>
      <c r="Q85" s="44">
        <v>2711937</v>
      </c>
      <c r="R85" s="44"/>
      <c r="S85" s="44">
        <v>1309801</v>
      </c>
      <c r="T85" s="44"/>
      <c r="U85" s="44">
        <v>1164610</v>
      </c>
      <c r="V85" s="44"/>
      <c r="W85" s="44">
        <v>-410194</v>
      </c>
      <c r="X85" s="44"/>
      <c r="Y85" s="44">
        <v>0</v>
      </c>
      <c r="Z85" s="44"/>
      <c r="AA85" s="44">
        <f t="shared" si="2"/>
        <v>29013531</v>
      </c>
      <c r="AB85" s="44"/>
      <c r="AC85" s="44">
        <f t="shared" si="3"/>
        <v>36952162</v>
      </c>
    </row>
    <row r="86" spans="1:29" s="47" customFormat="1" ht="12.75" customHeight="1">
      <c r="A86" s="47" t="s">
        <v>108</v>
      </c>
      <c r="C86" s="47" t="s">
        <v>45</v>
      </c>
      <c r="E86" s="44">
        <v>2990087</v>
      </c>
      <c r="F86" s="44"/>
      <c r="G86" s="44">
        <v>1274379</v>
      </c>
      <c r="H86" s="44"/>
      <c r="I86" s="44">
        <v>87475</v>
      </c>
      <c r="J86" s="44"/>
      <c r="K86" s="44">
        <f>1749729+3252373</f>
        <v>5002102</v>
      </c>
      <c r="L86" s="44"/>
      <c r="M86" s="44">
        <v>6812643</v>
      </c>
      <c r="N86" s="44"/>
      <c r="O86" s="44">
        <v>0</v>
      </c>
      <c r="P86" s="44"/>
      <c r="Q86" s="44">
        <v>465147</v>
      </c>
      <c r="R86" s="44"/>
      <c r="S86" s="44">
        <v>579294</v>
      </c>
      <c r="T86" s="44"/>
      <c r="U86" s="44">
        <f>11290+80384</f>
        <v>91674</v>
      </c>
      <c r="V86" s="44"/>
      <c r="W86" s="44">
        <v>0</v>
      </c>
      <c r="X86" s="44"/>
      <c r="Y86" s="44">
        <v>103460</v>
      </c>
      <c r="Z86" s="44"/>
      <c r="AA86" s="44">
        <f t="shared" si="2"/>
        <v>13054320</v>
      </c>
      <c r="AB86" s="44"/>
      <c r="AC86" s="44">
        <f t="shared" si="3"/>
        <v>17406261</v>
      </c>
    </row>
    <row r="87" spans="1:29" s="44" customFormat="1" ht="12.75" customHeight="1">
      <c r="A87" s="44" t="s">
        <v>109</v>
      </c>
      <c r="C87" s="44" t="s">
        <v>110</v>
      </c>
      <c r="E87" s="44">
        <v>808269</v>
      </c>
      <c r="G87" s="44">
        <v>1295706</v>
      </c>
      <c r="I87" s="44">
        <v>6149</v>
      </c>
      <c r="K87" s="44">
        <f>622457+96820</f>
        <v>719277</v>
      </c>
      <c r="M87" s="44">
        <v>6137643</v>
      </c>
      <c r="O87" s="44">
        <v>0</v>
      </c>
      <c r="Q87" s="44">
        <v>551215</v>
      </c>
      <c r="S87" s="44">
        <v>273827</v>
      </c>
      <c r="U87" s="44">
        <f>238204+112722</f>
        <v>350926</v>
      </c>
      <c r="W87" s="44">
        <v>-4309</v>
      </c>
      <c r="Y87" s="44">
        <v>0</v>
      </c>
      <c r="AA87" s="44">
        <f t="shared" si="2"/>
        <v>8028579</v>
      </c>
      <c r="AC87" s="44">
        <f t="shared" si="3"/>
        <v>10138703</v>
      </c>
    </row>
    <row r="88" spans="1:29" s="47" customFormat="1" ht="12.75" customHeight="1">
      <c r="A88" s="47" t="s">
        <v>43</v>
      </c>
      <c r="C88" s="47" t="s">
        <v>111</v>
      </c>
      <c r="E88" s="44">
        <v>883788</v>
      </c>
      <c r="F88" s="44"/>
      <c r="G88" s="44">
        <v>1142296</v>
      </c>
      <c r="H88" s="44"/>
      <c r="I88" s="44">
        <v>1928300</v>
      </c>
      <c r="J88" s="44"/>
      <c r="K88" s="44">
        <f>658432+571233+193805</f>
        <v>1423470</v>
      </c>
      <c r="L88" s="44"/>
      <c r="M88" s="44">
        <v>5442392</v>
      </c>
      <c r="N88" s="44"/>
      <c r="O88" s="44">
        <v>0</v>
      </c>
      <c r="P88" s="44"/>
      <c r="Q88" s="44">
        <v>1038695</v>
      </c>
      <c r="R88" s="44"/>
      <c r="S88" s="44">
        <v>610369</v>
      </c>
      <c r="T88" s="44"/>
      <c r="U88" s="44">
        <f>182322+11096</f>
        <v>193418</v>
      </c>
      <c r="V88" s="44"/>
      <c r="W88" s="44">
        <v>-226111</v>
      </c>
      <c r="X88" s="44"/>
      <c r="Y88" s="44">
        <v>0</v>
      </c>
      <c r="Z88" s="44"/>
      <c r="AA88" s="44">
        <f t="shared" si="2"/>
        <v>8482233</v>
      </c>
      <c r="AB88" s="44"/>
      <c r="AC88" s="44">
        <f t="shared" si="3"/>
        <v>12436617</v>
      </c>
    </row>
    <row r="89" spans="1:29" s="47" customFormat="1" ht="12.75" customHeight="1">
      <c r="A89" s="47" t="s">
        <v>112</v>
      </c>
      <c r="C89" s="47" t="s">
        <v>76</v>
      </c>
      <c r="E89" s="44">
        <v>1016102</v>
      </c>
      <c r="F89" s="44"/>
      <c r="G89" s="44">
        <v>1592896</v>
      </c>
      <c r="H89" s="44"/>
      <c r="I89" s="44">
        <v>141867</v>
      </c>
      <c r="J89" s="44"/>
      <c r="K89" s="44">
        <f>975913+92038+92038</f>
        <v>1159989</v>
      </c>
      <c r="L89" s="44"/>
      <c r="M89" s="44">
        <v>7590310</v>
      </c>
      <c r="N89" s="44"/>
      <c r="O89" s="44">
        <v>0</v>
      </c>
      <c r="P89" s="44"/>
      <c r="Q89" s="44">
        <v>1247187</v>
      </c>
      <c r="R89" s="44"/>
      <c r="S89" s="44">
        <v>831562</v>
      </c>
      <c r="T89" s="44"/>
      <c r="U89" s="44">
        <v>532232</v>
      </c>
      <c r="V89" s="44"/>
      <c r="W89" s="44">
        <v>-1121832</v>
      </c>
      <c r="X89" s="44"/>
      <c r="Y89" s="44">
        <v>0</v>
      </c>
      <c r="Z89" s="44"/>
      <c r="AA89" s="44">
        <f t="shared" si="2"/>
        <v>10239448</v>
      </c>
      <c r="AB89" s="44"/>
      <c r="AC89" s="44">
        <f t="shared" si="3"/>
        <v>12990313</v>
      </c>
    </row>
    <row r="90" spans="1:29" s="47" customFormat="1" ht="12.75" customHeight="1">
      <c r="A90" s="47" t="s">
        <v>113</v>
      </c>
      <c r="C90" s="47" t="s">
        <v>43</v>
      </c>
      <c r="E90" s="44">
        <v>4794640</v>
      </c>
      <c r="F90" s="44"/>
      <c r="G90" s="44">
        <v>1857991</v>
      </c>
      <c r="H90" s="44"/>
      <c r="I90" s="44">
        <v>3808995</v>
      </c>
      <c r="J90" s="44"/>
      <c r="K90" s="44">
        <v>2028963</v>
      </c>
      <c r="L90" s="44"/>
      <c r="M90" s="44">
        <v>15124934</v>
      </c>
      <c r="N90" s="44"/>
      <c r="O90" s="44">
        <v>1945290</v>
      </c>
      <c r="P90" s="44"/>
      <c r="Q90" s="44">
        <v>2078691</v>
      </c>
      <c r="R90" s="44"/>
      <c r="S90" s="44">
        <v>3246695</v>
      </c>
      <c r="T90" s="44"/>
      <c r="U90" s="44">
        <v>738301</v>
      </c>
      <c r="V90" s="44"/>
      <c r="W90" s="44">
        <v>-50000</v>
      </c>
      <c r="X90" s="44"/>
      <c r="Y90" s="44">
        <v>0</v>
      </c>
      <c r="Z90" s="44"/>
      <c r="AA90" s="44">
        <f t="shared" si="2"/>
        <v>25112874</v>
      </c>
      <c r="AB90" s="44"/>
      <c r="AC90" s="44">
        <f t="shared" si="3"/>
        <v>35574500</v>
      </c>
    </row>
    <row r="91" spans="1:29" s="47" customFormat="1" ht="12.75" customHeight="1">
      <c r="A91" s="47" t="s">
        <v>493</v>
      </c>
      <c r="C91" s="47" t="s">
        <v>57</v>
      </c>
      <c r="E91" s="44">
        <v>1313863</v>
      </c>
      <c r="F91" s="44"/>
      <c r="G91" s="44">
        <v>1016825</v>
      </c>
      <c r="H91" s="44"/>
      <c r="I91" s="44">
        <v>186870</v>
      </c>
      <c r="J91" s="44"/>
      <c r="K91" s="44">
        <f>426874+78445</f>
        <v>505319</v>
      </c>
      <c r="L91" s="44"/>
      <c r="M91" s="44">
        <f>1792831+1699782+214009</f>
        <v>3706622</v>
      </c>
      <c r="N91" s="44"/>
      <c r="O91" s="44">
        <v>457085</v>
      </c>
      <c r="P91" s="44"/>
      <c r="Q91" s="44">
        <v>651223</v>
      </c>
      <c r="R91" s="44"/>
      <c r="S91" s="44">
        <v>315497</v>
      </c>
      <c r="T91" s="44"/>
      <c r="U91" s="44">
        <v>508739</v>
      </c>
      <c r="V91" s="44"/>
      <c r="W91" s="44">
        <v>-1009493</v>
      </c>
      <c r="X91" s="44"/>
      <c r="Y91" s="44">
        <v>0</v>
      </c>
      <c r="Z91" s="44"/>
      <c r="AA91" s="44">
        <f>SUM(K91:Y91)</f>
        <v>5134992</v>
      </c>
      <c r="AB91" s="44"/>
      <c r="AC91" s="44">
        <f>SUM(E91:Y91)</f>
        <v>7652550</v>
      </c>
    </row>
    <row r="92" spans="1:29" s="47" customFormat="1" ht="12.75" customHeight="1">
      <c r="A92" s="47" t="s">
        <v>114</v>
      </c>
      <c r="C92" s="47" t="s">
        <v>27</v>
      </c>
      <c r="E92" s="44">
        <v>3796603</v>
      </c>
      <c r="F92" s="44"/>
      <c r="G92" s="44">
        <v>1443012</v>
      </c>
      <c r="H92" s="44"/>
      <c r="I92" s="44">
        <v>302</v>
      </c>
      <c r="J92" s="44"/>
      <c r="K92" s="44">
        <f>6625914+814817+1518129+428850</f>
        <v>9387710</v>
      </c>
      <c r="L92" s="44"/>
      <c r="M92" s="44">
        <f>8010575+1403946+600422</f>
        <v>10014943</v>
      </c>
      <c r="N92" s="44"/>
      <c r="O92" s="44">
        <v>0</v>
      </c>
      <c r="P92" s="44"/>
      <c r="Q92" s="44">
        <v>3759291</v>
      </c>
      <c r="R92" s="44"/>
      <c r="S92" s="44">
        <v>28056</v>
      </c>
      <c r="T92" s="44"/>
      <c r="U92" s="44">
        <f>245453+18575+366609</f>
        <v>630637</v>
      </c>
      <c r="V92" s="44"/>
      <c r="W92" s="44">
        <v>0</v>
      </c>
      <c r="X92" s="44"/>
      <c r="Y92" s="44">
        <v>0</v>
      </c>
      <c r="Z92" s="44"/>
      <c r="AA92" s="44">
        <f>SUM(K92:Y92)</f>
        <v>23820637</v>
      </c>
      <c r="AB92" s="44"/>
      <c r="AC92" s="44">
        <f>SUM(E92:Y92)</f>
        <v>29060554</v>
      </c>
    </row>
    <row r="93" spans="1:29" s="47" customFormat="1" ht="12.75" customHeight="1">
      <c r="A93" s="47" t="s">
        <v>115</v>
      </c>
      <c r="C93" s="47" t="s">
        <v>19</v>
      </c>
      <c r="E93" s="44">
        <v>336988</v>
      </c>
      <c r="F93" s="44"/>
      <c r="G93" s="44">
        <v>530707</v>
      </c>
      <c r="H93" s="44"/>
      <c r="I93" s="44">
        <v>31046</v>
      </c>
      <c r="J93" s="44"/>
      <c r="K93" s="44">
        <v>523275</v>
      </c>
      <c r="L93" s="44"/>
      <c r="M93" s="44">
        <v>2341919</v>
      </c>
      <c r="N93" s="44"/>
      <c r="O93" s="44">
        <v>0</v>
      </c>
      <c r="P93" s="44"/>
      <c r="Q93" s="44">
        <v>990973</v>
      </c>
      <c r="R93" s="44"/>
      <c r="S93" s="44">
        <v>114411</v>
      </c>
      <c r="T93" s="44"/>
      <c r="U93" s="44">
        <v>97609</v>
      </c>
      <c r="V93" s="44"/>
      <c r="W93" s="44">
        <v>-42251</v>
      </c>
      <c r="X93" s="44"/>
      <c r="Y93" s="44">
        <v>0</v>
      </c>
      <c r="Z93" s="44"/>
      <c r="AA93" s="44">
        <f t="shared" si="2"/>
        <v>4025936</v>
      </c>
      <c r="AB93" s="44"/>
      <c r="AC93" s="44">
        <f t="shared" si="3"/>
        <v>4924677</v>
      </c>
    </row>
    <row r="94" spans="1:29" s="47" customFormat="1" ht="12.75" customHeight="1">
      <c r="A94" s="47" t="s">
        <v>116</v>
      </c>
      <c r="C94" s="47" t="s">
        <v>80</v>
      </c>
      <c r="E94" s="44">
        <v>1557415</v>
      </c>
      <c r="F94" s="44"/>
      <c r="G94" s="44">
        <v>1619145</v>
      </c>
      <c r="H94" s="44"/>
      <c r="I94" s="44">
        <v>305150</v>
      </c>
      <c r="J94" s="44"/>
      <c r="K94" s="44">
        <v>1058786</v>
      </c>
      <c r="L94" s="44"/>
      <c r="M94" s="44">
        <v>3429664</v>
      </c>
      <c r="N94" s="44"/>
      <c r="O94" s="44">
        <v>0</v>
      </c>
      <c r="P94" s="44"/>
      <c r="Q94" s="44">
        <v>473482</v>
      </c>
      <c r="R94" s="44"/>
      <c r="S94" s="44">
        <v>70952</v>
      </c>
      <c r="T94" s="44"/>
      <c r="U94" s="44">
        <v>312577</v>
      </c>
      <c r="V94" s="44"/>
      <c r="W94" s="44">
        <v>0</v>
      </c>
      <c r="X94" s="44"/>
      <c r="Y94" s="44">
        <v>0</v>
      </c>
      <c r="Z94" s="44"/>
      <c r="AA94" s="44">
        <f t="shared" si="2"/>
        <v>5345461</v>
      </c>
      <c r="AB94" s="44"/>
      <c r="AC94" s="44">
        <f t="shared" si="3"/>
        <v>8827171</v>
      </c>
    </row>
    <row r="95" spans="1:29" s="47" customFormat="1" ht="12.75" customHeight="1">
      <c r="A95" s="47" t="s">
        <v>117</v>
      </c>
      <c r="C95" s="47" t="s">
        <v>43</v>
      </c>
      <c r="E95" s="44">
        <v>1328119</v>
      </c>
      <c r="F95" s="44"/>
      <c r="G95" s="44">
        <v>374288</v>
      </c>
      <c r="H95" s="44"/>
      <c r="I95" s="44">
        <v>3418</v>
      </c>
      <c r="J95" s="44"/>
      <c r="K95" s="44">
        <f>1459747+123722</f>
        <v>1583469</v>
      </c>
      <c r="L95" s="44"/>
      <c r="M95" s="44">
        <v>5353771</v>
      </c>
      <c r="N95" s="44"/>
      <c r="O95" s="44">
        <v>0</v>
      </c>
      <c r="P95" s="44"/>
      <c r="Q95" s="44">
        <v>1020332</v>
      </c>
      <c r="R95" s="44"/>
      <c r="S95" s="44">
        <v>94179</v>
      </c>
      <c r="T95" s="44"/>
      <c r="U95" s="44">
        <f>215660+84853</f>
        <v>300513</v>
      </c>
      <c r="V95" s="44"/>
      <c r="W95" s="44">
        <v>0</v>
      </c>
      <c r="X95" s="44"/>
      <c r="Y95" s="44">
        <v>0</v>
      </c>
      <c r="Z95" s="44"/>
      <c r="AA95" s="44">
        <f t="shared" si="2"/>
        <v>8352264</v>
      </c>
      <c r="AB95" s="44"/>
      <c r="AC95" s="44">
        <f t="shared" si="3"/>
        <v>10058089</v>
      </c>
    </row>
    <row r="96" spans="1:29" s="47" customFormat="1" ht="12.75" customHeight="1">
      <c r="A96" s="47" t="s">
        <v>118</v>
      </c>
      <c r="C96" s="47" t="s">
        <v>13</v>
      </c>
      <c r="E96" s="44">
        <v>1373274</v>
      </c>
      <c r="F96" s="44"/>
      <c r="G96" s="44">
        <v>2435858</v>
      </c>
      <c r="H96" s="44"/>
      <c r="I96" s="44">
        <v>1714272</v>
      </c>
      <c r="J96" s="44"/>
      <c r="K96" s="44">
        <v>1920497</v>
      </c>
      <c r="L96" s="44"/>
      <c r="M96" s="44">
        <v>16630213</v>
      </c>
      <c r="N96" s="44"/>
      <c r="O96" s="44">
        <v>303151</v>
      </c>
      <c r="P96" s="44"/>
      <c r="Q96" s="44">
        <v>1880241</v>
      </c>
      <c r="R96" s="44"/>
      <c r="S96" s="44">
        <v>1607362</v>
      </c>
      <c r="T96" s="44"/>
      <c r="U96" s="44">
        <v>373827</v>
      </c>
      <c r="V96" s="44"/>
      <c r="W96" s="44">
        <v>0</v>
      </c>
      <c r="X96" s="44"/>
      <c r="Y96" s="44">
        <v>0</v>
      </c>
      <c r="Z96" s="44"/>
      <c r="AA96" s="44">
        <f t="shared" si="2"/>
        <v>22715291</v>
      </c>
      <c r="AB96" s="44"/>
      <c r="AC96" s="44">
        <f t="shared" si="3"/>
        <v>28238695</v>
      </c>
    </row>
    <row r="97" spans="1:29" s="47" customFormat="1" ht="12.75" customHeight="1">
      <c r="A97" s="47" t="s">
        <v>120</v>
      </c>
      <c r="C97" s="47" t="s">
        <v>121</v>
      </c>
      <c r="E97" s="44">
        <v>696561</v>
      </c>
      <c r="F97" s="44"/>
      <c r="G97" s="44">
        <v>3826023</v>
      </c>
      <c r="H97" s="44"/>
      <c r="I97" s="44">
        <v>415970</v>
      </c>
      <c r="J97" s="44"/>
      <c r="K97" s="44">
        <v>1741658</v>
      </c>
      <c r="L97" s="44"/>
      <c r="M97" s="44">
        <v>5769231</v>
      </c>
      <c r="N97" s="44"/>
      <c r="O97" s="44">
        <v>0</v>
      </c>
      <c r="P97" s="44"/>
      <c r="Q97" s="44">
        <v>957619</v>
      </c>
      <c r="R97" s="44"/>
      <c r="S97" s="44">
        <v>273651</v>
      </c>
      <c r="T97" s="44"/>
      <c r="U97" s="44">
        <v>148034</v>
      </c>
      <c r="V97" s="44"/>
      <c r="W97" s="44">
        <v>-24000</v>
      </c>
      <c r="X97" s="44"/>
      <c r="Y97" s="44">
        <v>0</v>
      </c>
      <c r="Z97" s="44"/>
      <c r="AA97" s="44">
        <f t="shared" si="2"/>
        <v>8866193</v>
      </c>
      <c r="AB97" s="44"/>
      <c r="AC97" s="44">
        <f t="shared" si="3"/>
        <v>13804747</v>
      </c>
    </row>
    <row r="98" spans="1:29" s="47" customFormat="1" ht="12.75" customHeight="1">
      <c r="A98" s="47" t="s">
        <v>122</v>
      </c>
      <c r="C98" s="47" t="s">
        <v>43</v>
      </c>
      <c r="E98" s="44">
        <v>2819256</v>
      </c>
      <c r="F98" s="44"/>
      <c r="G98" s="44">
        <v>1947050</v>
      </c>
      <c r="H98" s="44"/>
      <c r="I98" s="44">
        <v>11960441</v>
      </c>
      <c r="J98" s="44"/>
      <c r="K98" s="44">
        <v>2992446</v>
      </c>
      <c r="L98" s="44"/>
      <c r="M98" s="44">
        <v>16397634</v>
      </c>
      <c r="N98" s="44"/>
      <c r="O98" s="44">
        <v>4477659</v>
      </c>
      <c r="P98" s="44"/>
      <c r="Q98" s="44">
        <v>2293165</v>
      </c>
      <c r="R98" s="44"/>
      <c r="S98" s="44">
        <v>2166402</v>
      </c>
      <c r="T98" s="44"/>
      <c r="U98" s="44">
        <v>273432</v>
      </c>
      <c r="V98" s="44"/>
      <c r="W98" s="44">
        <v>108243</v>
      </c>
      <c r="X98" s="44"/>
      <c r="Y98" s="44">
        <v>0</v>
      </c>
      <c r="Z98" s="44"/>
      <c r="AA98" s="44">
        <f>SUM(K98:Y98)</f>
        <v>28708981</v>
      </c>
      <c r="AB98" s="44"/>
      <c r="AC98" s="44">
        <f t="shared" si="3"/>
        <v>45435728</v>
      </c>
    </row>
    <row r="99" spans="1:29" s="47" customFormat="1" ht="12.75" customHeight="1">
      <c r="A99" s="47" t="s">
        <v>45</v>
      </c>
      <c r="C99" s="47" t="s">
        <v>103</v>
      </c>
      <c r="E99" s="44">
        <v>13866073</v>
      </c>
      <c r="F99" s="44"/>
      <c r="G99" s="44">
        <v>6684403</v>
      </c>
      <c r="H99" s="44"/>
      <c r="I99" s="44">
        <v>2492177</v>
      </c>
      <c r="J99" s="44"/>
      <c r="K99" s="44">
        <v>9147564</v>
      </c>
      <c r="L99" s="44"/>
      <c r="M99" s="44">
        <v>23297050</v>
      </c>
      <c r="N99" s="44"/>
      <c r="O99" s="44">
        <v>0</v>
      </c>
      <c r="P99" s="44"/>
      <c r="Q99" s="44">
        <v>3999620</v>
      </c>
      <c r="R99" s="44"/>
      <c r="S99" s="44">
        <v>783876</v>
      </c>
      <c r="T99" s="44"/>
      <c r="U99" s="44">
        <v>2302469</v>
      </c>
      <c r="V99" s="44"/>
      <c r="W99" s="44">
        <v>0</v>
      </c>
      <c r="X99" s="44"/>
      <c r="Y99" s="44">
        <v>0</v>
      </c>
      <c r="Z99" s="44"/>
      <c r="AA99" s="44">
        <f t="shared" si="2"/>
        <v>39530579</v>
      </c>
      <c r="AB99" s="44"/>
      <c r="AC99" s="44">
        <f t="shared" si="3"/>
        <v>62573232</v>
      </c>
    </row>
    <row r="100" spans="1:29" s="47" customFormat="1" ht="12.75" customHeight="1">
      <c r="A100" s="47" t="s">
        <v>123</v>
      </c>
      <c r="C100" s="47" t="s">
        <v>45</v>
      </c>
      <c r="E100" s="44">
        <v>1117871</v>
      </c>
      <c r="F100" s="44"/>
      <c r="G100" s="44">
        <v>462771</v>
      </c>
      <c r="H100" s="44"/>
      <c r="I100" s="44">
        <v>436179</v>
      </c>
      <c r="J100" s="44"/>
      <c r="K100" s="44">
        <v>2421890</v>
      </c>
      <c r="L100" s="44"/>
      <c r="M100" s="44">
        <v>2951057</v>
      </c>
      <c r="N100" s="44"/>
      <c r="O100" s="44">
        <v>0</v>
      </c>
      <c r="P100" s="44"/>
      <c r="Q100" s="44">
        <v>655461</v>
      </c>
      <c r="R100" s="44"/>
      <c r="S100" s="44">
        <v>321019</v>
      </c>
      <c r="T100" s="44"/>
      <c r="U100" s="44">
        <v>107742</v>
      </c>
      <c r="V100" s="44"/>
      <c r="W100" s="44">
        <v>30153</v>
      </c>
      <c r="X100" s="44"/>
      <c r="Y100" s="44">
        <v>0</v>
      </c>
      <c r="Z100" s="44"/>
      <c r="AA100" s="44">
        <f t="shared" si="2"/>
        <v>6487322</v>
      </c>
      <c r="AB100" s="44"/>
      <c r="AC100" s="44">
        <f t="shared" si="3"/>
        <v>8504143</v>
      </c>
    </row>
    <row r="101" spans="1:29" s="47" customFormat="1" ht="12.75" customHeight="1">
      <c r="A101" s="47" t="s">
        <v>124</v>
      </c>
      <c r="C101" s="47" t="s">
        <v>125</v>
      </c>
      <c r="E101" s="44">
        <v>1174091</v>
      </c>
      <c r="F101" s="44"/>
      <c r="G101" s="44">
        <v>641109</v>
      </c>
      <c r="H101" s="44"/>
      <c r="I101" s="44">
        <v>5408548</v>
      </c>
      <c r="J101" s="44"/>
      <c r="K101" s="44">
        <v>1328913</v>
      </c>
      <c r="L101" s="44"/>
      <c r="M101" s="44">
        <v>5117840</v>
      </c>
      <c r="N101" s="44"/>
      <c r="O101" s="44">
        <v>12834</v>
      </c>
      <c r="P101" s="44"/>
      <c r="Q101" s="44">
        <v>845213</v>
      </c>
      <c r="R101" s="44"/>
      <c r="S101" s="44">
        <v>545309</v>
      </c>
      <c r="T101" s="44"/>
      <c r="U101" s="44">
        <v>41546</v>
      </c>
      <c r="V101" s="44"/>
      <c r="W101" s="44">
        <v>215450</v>
      </c>
      <c r="X101" s="44"/>
      <c r="Y101" s="44">
        <v>0</v>
      </c>
      <c r="Z101" s="44"/>
      <c r="AA101" s="44">
        <f t="shared" si="2"/>
        <v>8107105</v>
      </c>
      <c r="AB101" s="44"/>
      <c r="AC101" s="44">
        <f t="shared" si="3"/>
        <v>15330853</v>
      </c>
    </row>
    <row r="102" spans="1:29" s="47" customFormat="1" ht="12.75" customHeight="1">
      <c r="A102" s="47" t="s">
        <v>126</v>
      </c>
      <c r="C102" s="47" t="s">
        <v>27</v>
      </c>
      <c r="E102" s="44">
        <v>1236377</v>
      </c>
      <c r="F102" s="44"/>
      <c r="G102" s="44">
        <v>443806</v>
      </c>
      <c r="H102" s="44"/>
      <c r="I102" s="44">
        <v>0</v>
      </c>
      <c r="J102" s="44"/>
      <c r="K102" s="44">
        <v>1602215</v>
      </c>
      <c r="L102" s="44"/>
      <c r="M102" s="44">
        <v>10327178</v>
      </c>
      <c r="N102" s="44"/>
      <c r="O102" s="44">
        <v>55358</v>
      </c>
      <c r="P102" s="44"/>
      <c r="Q102" s="44">
        <v>543918</v>
      </c>
      <c r="R102" s="44"/>
      <c r="S102" s="44">
        <v>287420</v>
      </c>
      <c r="T102" s="44"/>
      <c r="U102" s="44">
        <v>146433</v>
      </c>
      <c r="V102" s="44"/>
      <c r="W102" s="44">
        <v>0</v>
      </c>
      <c r="X102" s="44"/>
      <c r="Y102" s="44">
        <v>0</v>
      </c>
      <c r="Z102" s="44"/>
      <c r="AA102" s="44">
        <f t="shared" si="2"/>
        <v>12962522</v>
      </c>
      <c r="AB102" s="44"/>
      <c r="AC102" s="44">
        <f t="shared" si="3"/>
        <v>14642705</v>
      </c>
    </row>
    <row r="103" spans="1:29" s="47" customFormat="1" ht="12.75" customHeight="1">
      <c r="A103" s="47" t="s">
        <v>127</v>
      </c>
      <c r="C103" s="47" t="s">
        <v>43</v>
      </c>
      <c r="E103" s="44">
        <v>4974016</v>
      </c>
      <c r="F103" s="44"/>
      <c r="G103" s="44">
        <v>1444572</v>
      </c>
      <c r="H103" s="44"/>
      <c r="I103" s="44">
        <v>6141117</v>
      </c>
      <c r="J103" s="44"/>
      <c r="K103" s="44">
        <v>1902363</v>
      </c>
      <c r="L103" s="44"/>
      <c r="M103" s="44">
        <v>13952897</v>
      </c>
      <c r="N103" s="44"/>
      <c r="O103" s="44">
        <v>2769280</v>
      </c>
      <c r="P103" s="44"/>
      <c r="Q103" s="44">
        <v>1413857</v>
      </c>
      <c r="R103" s="44"/>
      <c r="S103" s="44">
        <v>820603</v>
      </c>
      <c r="T103" s="44"/>
      <c r="U103" s="44">
        <v>522555</v>
      </c>
      <c r="V103" s="44"/>
      <c r="W103" s="44">
        <v>0</v>
      </c>
      <c r="X103" s="44"/>
      <c r="Y103" s="44">
        <v>0</v>
      </c>
      <c r="Z103" s="44"/>
      <c r="AA103" s="44">
        <f t="shared" si="2"/>
        <v>21381555</v>
      </c>
      <c r="AB103" s="44"/>
      <c r="AC103" s="44">
        <f t="shared" si="3"/>
        <v>33941260</v>
      </c>
    </row>
    <row r="104" spans="1:29" s="47" customFormat="1" ht="12.75" customHeight="1">
      <c r="A104" s="47" t="s">
        <v>128</v>
      </c>
      <c r="C104" s="47" t="s">
        <v>119</v>
      </c>
      <c r="E104" s="44">
        <v>950842</v>
      </c>
      <c r="F104" s="44"/>
      <c r="G104" s="44">
        <v>648006</v>
      </c>
      <c r="H104" s="44"/>
      <c r="I104" s="44">
        <v>0</v>
      </c>
      <c r="J104" s="44"/>
      <c r="K104" s="44">
        <f>249522+38864+119570+84242</f>
        <v>492198</v>
      </c>
      <c r="L104" s="44"/>
      <c r="M104" s="44">
        <v>3657764</v>
      </c>
      <c r="N104" s="44"/>
      <c r="O104" s="44">
        <v>0</v>
      </c>
      <c r="P104" s="44"/>
      <c r="Q104" s="44">
        <v>437212</v>
      </c>
      <c r="R104" s="44"/>
      <c r="S104" s="44">
        <v>143552</v>
      </c>
      <c r="T104" s="44"/>
      <c r="U104" s="44">
        <f>23350+262533</f>
        <v>285883</v>
      </c>
      <c r="V104" s="44"/>
      <c r="W104" s="44">
        <v>0</v>
      </c>
      <c r="X104" s="44"/>
      <c r="Y104" s="44">
        <v>0</v>
      </c>
      <c r="Z104" s="44"/>
      <c r="AA104" s="44">
        <f t="shared" si="2"/>
        <v>5016609</v>
      </c>
      <c r="AB104" s="44"/>
      <c r="AC104" s="44">
        <f t="shared" si="3"/>
        <v>6615457</v>
      </c>
    </row>
    <row r="105" spans="1:29" s="47" customFormat="1" ht="12.75" customHeight="1">
      <c r="A105" s="47" t="s">
        <v>129</v>
      </c>
      <c r="C105" s="47" t="s">
        <v>80</v>
      </c>
      <c r="E105" s="44">
        <v>56129</v>
      </c>
      <c r="F105" s="44"/>
      <c r="G105" s="44">
        <v>372242</v>
      </c>
      <c r="H105" s="44"/>
      <c r="I105" s="44">
        <v>266508</v>
      </c>
      <c r="J105" s="44"/>
      <c r="K105" s="44">
        <v>380488</v>
      </c>
      <c r="L105" s="44"/>
      <c r="M105" s="44">
        <v>2065938</v>
      </c>
      <c r="N105" s="44"/>
      <c r="O105" s="44">
        <v>0</v>
      </c>
      <c r="P105" s="44"/>
      <c r="Q105" s="44">
        <v>312153</v>
      </c>
      <c r="R105" s="44"/>
      <c r="S105" s="44">
        <v>343869</v>
      </c>
      <c r="T105" s="44"/>
      <c r="U105" s="44">
        <v>119972</v>
      </c>
      <c r="V105" s="44"/>
      <c r="W105" s="44">
        <v>0</v>
      </c>
      <c r="X105" s="44"/>
      <c r="Y105" s="44">
        <v>0</v>
      </c>
      <c r="Z105" s="44"/>
      <c r="AA105" s="44">
        <f t="shared" si="2"/>
        <v>3222420</v>
      </c>
      <c r="AB105" s="44"/>
      <c r="AC105" s="44">
        <f t="shared" si="3"/>
        <v>3917299</v>
      </c>
    </row>
    <row r="106" spans="1:29" s="47" customFormat="1" ht="12.75" customHeight="1">
      <c r="A106" s="47" t="s">
        <v>130</v>
      </c>
      <c r="C106" s="47" t="s">
        <v>66</v>
      </c>
      <c r="E106" s="44">
        <v>2066539</v>
      </c>
      <c r="F106" s="44"/>
      <c r="G106" s="44">
        <v>2436414</v>
      </c>
      <c r="H106" s="44"/>
      <c r="I106" s="44">
        <v>3084457</v>
      </c>
      <c r="J106" s="44"/>
      <c r="K106" s="44">
        <v>4233738</v>
      </c>
      <c r="L106" s="44"/>
      <c r="M106" s="44">
        <v>14696256</v>
      </c>
      <c r="N106" s="44"/>
      <c r="O106" s="44">
        <v>1436504</v>
      </c>
      <c r="P106" s="44"/>
      <c r="Q106" s="44">
        <v>1100180</v>
      </c>
      <c r="R106" s="44"/>
      <c r="S106" s="44">
        <v>1437877</v>
      </c>
      <c r="T106" s="44"/>
      <c r="U106" s="44">
        <v>378754</v>
      </c>
      <c r="V106" s="44"/>
      <c r="W106" s="44">
        <v>224585</v>
      </c>
      <c r="X106" s="44"/>
      <c r="Y106" s="44">
        <v>0</v>
      </c>
      <c r="Z106" s="44"/>
      <c r="AA106" s="44">
        <f t="shared" si="2"/>
        <v>23507894</v>
      </c>
      <c r="AB106" s="44"/>
      <c r="AC106" s="44">
        <f t="shared" si="3"/>
        <v>31095304</v>
      </c>
    </row>
    <row r="107" spans="1:29" s="47" customFormat="1" ht="12.75" customHeight="1">
      <c r="A107" s="47" t="s">
        <v>131</v>
      </c>
      <c r="C107" s="47" t="s">
        <v>13</v>
      </c>
      <c r="E107" s="44">
        <v>2116650</v>
      </c>
      <c r="F107" s="44"/>
      <c r="G107" s="44">
        <v>54353</v>
      </c>
      <c r="H107" s="44"/>
      <c r="I107" s="44">
        <v>0</v>
      </c>
      <c r="J107" s="44"/>
      <c r="K107" s="44">
        <v>4234569</v>
      </c>
      <c r="L107" s="44"/>
      <c r="M107" s="44">
        <v>17786361</v>
      </c>
      <c r="N107" s="44"/>
      <c r="O107" s="44">
        <v>0</v>
      </c>
      <c r="P107" s="44"/>
      <c r="Q107" s="44">
        <v>6548880</v>
      </c>
      <c r="R107" s="44"/>
      <c r="S107" s="44">
        <v>2353917</v>
      </c>
      <c r="T107" s="44"/>
      <c r="U107" s="44">
        <v>521883</v>
      </c>
      <c r="V107" s="44"/>
      <c r="W107" s="44">
        <v>-3225000</v>
      </c>
      <c r="X107" s="44"/>
      <c r="Y107" s="44">
        <v>0</v>
      </c>
      <c r="Z107" s="44"/>
      <c r="AA107" s="44">
        <f t="shared" si="2"/>
        <v>28220610</v>
      </c>
      <c r="AB107" s="44"/>
      <c r="AC107" s="44">
        <f t="shared" si="3"/>
        <v>30391613</v>
      </c>
    </row>
    <row r="108" spans="1:29" s="47" customFormat="1" ht="12.75" customHeight="1">
      <c r="A108" s="47" t="s">
        <v>38</v>
      </c>
      <c r="C108" s="47" t="s">
        <v>132</v>
      </c>
      <c r="E108" s="44">
        <v>2277309</v>
      </c>
      <c r="F108" s="44"/>
      <c r="G108" s="44">
        <v>812217</v>
      </c>
      <c r="H108" s="44"/>
      <c r="I108" s="44">
        <v>0</v>
      </c>
      <c r="J108" s="44"/>
      <c r="K108" s="44">
        <v>851669</v>
      </c>
      <c r="L108" s="44"/>
      <c r="M108" s="44">
        <v>2222819</v>
      </c>
      <c r="N108" s="44"/>
      <c r="O108" s="44">
        <v>171654</v>
      </c>
      <c r="P108" s="44"/>
      <c r="Q108" s="44">
        <v>309616</v>
      </c>
      <c r="R108" s="44"/>
      <c r="S108" s="44">
        <v>67410</v>
      </c>
      <c r="T108" s="44"/>
      <c r="U108" s="44">
        <v>8764</v>
      </c>
      <c r="V108" s="44"/>
      <c r="W108" s="44">
        <v>0</v>
      </c>
      <c r="X108" s="44"/>
      <c r="Y108" s="44">
        <v>0</v>
      </c>
      <c r="Z108" s="44"/>
      <c r="AA108" s="44">
        <f t="shared" si="2"/>
        <v>3631932</v>
      </c>
      <c r="AB108" s="44"/>
      <c r="AC108" s="44">
        <f t="shared" si="3"/>
        <v>6721458</v>
      </c>
    </row>
    <row r="109" spans="1:29" s="47" customFormat="1" ht="12.75" customHeight="1">
      <c r="A109" s="47" t="s">
        <v>133</v>
      </c>
      <c r="C109" s="47" t="s">
        <v>27</v>
      </c>
      <c r="E109" s="44">
        <v>1020688</v>
      </c>
      <c r="F109" s="44"/>
      <c r="G109" s="44">
        <v>594026</v>
      </c>
      <c r="H109" s="44"/>
      <c r="I109" s="44">
        <v>83024</v>
      </c>
      <c r="J109" s="44"/>
      <c r="K109" s="44">
        <v>2803545</v>
      </c>
      <c r="L109" s="44"/>
      <c r="M109" s="44">
        <v>23387075</v>
      </c>
      <c r="N109" s="44"/>
      <c r="O109" s="44">
        <v>0</v>
      </c>
      <c r="P109" s="44"/>
      <c r="Q109" s="44">
        <v>796657</v>
      </c>
      <c r="R109" s="44"/>
      <c r="S109" s="44">
        <v>861441</v>
      </c>
      <c r="T109" s="44"/>
      <c r="U109" s="44">
        <v>1582154</v>
      </c>
      <c r="V109" s="44"/>
      <c r="W109" s="44">
        <v>0</v>
      </c>
      <c r="X109" s="44"/>
      <c r="Y109" s="44">
        <v>0</v>
      </c>
      <c r="Z109" s="44"/>
      <c r="AA109" s="44">
        <f t="shared" si="2"/>
        <v>29430872</v>
      </c>
      <c r="AB109" s="44"/>
      <c r="AC109" s="44">
        <f t="shared" si="3"/>
        <v>31128610</v>
      </c>
    </row>
    <row r="110" spans="1:29" s="47" customFormat="1" ht="12.75" customHeight="1">
      <c r="A110" s="47" t="s">
        <v>484</v>
      </c>
      <c r="C110" s="47" t="s">
        <v>45</v>
      </c>
      <c r="E110" s="44">
        <v>353107</v>
      </c>
      <c r="F110" s="44"/>
      <c r="G110" s="44">
        <v>279199</v>
      </c>
      <c r="H110" s="44"/>
      <c r="I110" s="44">
        <v>1809090</v>
      </c>
      <c r="J110" s="44"/>
      <c r="K110" s="44">
        <v>822914</v>
      </c>
      <c r="L110" s="44"/>
      <c r="M110" s="44">
        <v>8475656</v>
      </c>
      <c r="N110" s="44"/>
      <c r="O110" s="44">
        <v>0</v>
      </c>
      <c r="P110" s="44"/>
      <c r="Q110" s="44">
        <v>9367484</v>
      </c>
      <c r="R110" s="44"/>
      <c r="S110" s="44">
        <v>929114</v>
      </c>
      <c r="T110" s="44"/>
      <c r="U110" s="44">
        <v>125962</v>
      </c>
      <c r="V110" s="44"/>
      <c r="W110" s="44">
        <v>0</v>
      </c>
      <c r="X110" s="44"/>
      <c r="Y110" s="44">
        <v>0</v>
      </c>
      <c r="Z110" s="44"/>
      <c r="AA110" s="44">
        <f t="shared" si="2"/>
        <v>19721130</v>
      </c>
      <c r="AB110" s="44"/>
      <c r="AC110" s="44">
        <f t="shared" si="3"/>
        <v>22162526</v>
      </c>
    </row>
    <row r="111" spans="1:29" s="47" customFormat="1" ht="12.75" customHeight="1">
      <c r="A111" s="47" t="s">
        <v>134</v>
      </c>
      <c r="C111" s="47" t="s">
        <v>135</v>
      </c>
      <c r="E111" s="44">
        <v>1644848</v>
      </c>
      <c r="F111" s="44"/>
      <c r="G111" s="44">
        <v>659777</v>
      </c>
      <c r="H111" s="44"/>
      <c r="I111" s="44">
        <v>330794</v>
      </c>
      <c r="J111" s="44"/>
      <c r="K111" s="44">
        <v>1016836</v>
      </c>
      <c r="L111" s="44"/>
      <c r="M111" s="44">
        <v>1739932</v>
      </c>
      <c r="N111" s="44"/>
      <c r="O111" s="44">
        <v>0</v>
      </c>
      <c r="P111" s="44"/>
      <c r="Q111" s="44">
        <v>771130</v>
      </c>
      <c r="R111" s="44"/>
      <c r="S111" s="44">
        <v>447180</v>
      </c>
      <c r="T111" s="44"/>
      <c r="U111" s="44">
        <v>31774</v>
      </c>
      <c r="V111" s="44"/>
      <c r="W111" s="44">
        <v>0</v>
      </c>
      <c r="X111" s="44"/>
      <c r="Y111" s="44">
        <v>0</v>
      </c>
      <c r="Z111" s="44"/>
      <c r="AA111" s="44">
        <f t="shared" si="2"/>
        <v>4006852</v>
      </c>
      <c r="AB111" s="44"/>
      <c r="AC111" s="44">
        <f t="shared" si="3"/>
        <v>6642271</v>
      </c>
    </row>
    <row r="112" spans="1:29" s="47" customFormat="1" ht="12.75" customHeight="1">
      <c r="A112" s="47" t="s">
        <v>136</v>
      </c>
      <c r="C112" s="47" t="s">
        <v>136</v>
      </c>
      <c r="E112" s="44">
        <v>489203</v>
      </c>
      <c r="F112" s="44"/>
      <c r="G112" s="44">
        <v>941679</v>
      </c>
      <c r="H112" s="44"/>
      <c r="I112" s="44">
        <v>0</v>
      </c>
      <c r="J112" s="44"/>
      <c r="K112" s="44">
        <v>695951</v>
      </c>
      <c r="L112" s="44"/>
      <c r="M112" s="44">
        <v>0</v>
      </c>
      <c r="N112" s="44"/>
      <c r="O112" s="44">
        <v>773771</v>
      </c>
      <c r="P112" s="44"/>
      <c r="Q112" s="44">
        <v>391917</v>
      </c>
      <c r="R112" s="44"/>
      <c r="S112" s="44">
        <v>901700</v>
      </c>
      <c r="T112" s="44"/>
      <c r="U112" s="44">
        <v>884655</v>
      </c>
      <c r="V112" s="44"/>
      <c r="W112" s="44">
        <v>0</v>
      </c>
      <c r="X112" s="44"/>
      <c r="Y112" s="44">
        <v>488144</v>
      </c>
      <c r="Z112" s="44"/>
      <c r="AA112" s="44">
        <f>SUM(K112:Y112)</f>
        <v>4136138</v>
      </c>
      <c r="AB112" s="44"/>
      <c r="AC112" s="44">
        <f>SUM(E112:Y112)</f>
        <v>5567020</v>
      </c>
    </row>
    <row r="113" spans="1:29" s="47" customFormat="1" ht="12.75" customHeight="1">
      <c r="A113" s="47" t="s">
        <v>137</v>
      </c>
      <c r="C113" s="47" t="s">
        <v>22</v>
      </c>
      <c r="E113" s="44">
        <v>2098505</v>
      </c>
      <c r="F113" s="44"/>
      <c r="G113" s="44">
        <v>1326617</v>
      </c>
      <c r="H113" s="44"/>
      <c r="I113" s="44">
        <v>991738</v>
      </c>
      <c r="J113" s="44"/>
      <c r="K113" s="44">
        <f>1672891+1580977</f>
        <v>3253868</v>
      </c>
      <c r="L113" s="44"/>
      <c r="M113" s="44">
        <v>10577734</v>
      </c>
      <c r="N113" s="44"/>
      <c r="O113" s="44">
        <v>0</v>
      </c>
      <c r="P113" s="44"/>
      <c r="Q113" s="44">
        <v>2653962</v>
      </c>
      <c r="R113" s="44"/>
      <c r="S113" s="44">
        <v>1158296</v>
      </c>
      <c r="T113" s="44"/>
      <c r="U113" s="44">
        <v>284815</v>
      </c>
      <c r="V113" s="44"/>
      <c r="W113" s="44">
        <v>0</v>
      </c>
      <c r="X113" s="44"/>
      <c r="Y113" s="44">
        <v>0</v>
      </c>
      <c r="Z113" s="44"/>
      <c r="AA113" s="44">
        <f t="shared" si="2"/>
        <v>17928675</v>
      </c>
      <c r="AB113" s="44"/>
      <c r="AC113" s="44">
        <f t="shared" si="3"/>
        <v>22345535</v>
      </c>
    </row>
    <row r="114" spans="1:29" s="47" customFormat="1" ht="12.75" hidden="1" customHeight="1">
      <c r="A114" s="47" t="s">
        <v>138</v>
      </c>
      <c r="C114" s="47" t="s">
        <v>139</v>
      </c>
      <c r="E114" s="44">
        <v>4102906</v>
      </c>
      <c r="F114" s="44"/>
      <c r="G114" s="44">
        <v>399777</v>
      </c>
      <c r="H114" s="44"/>
      <c r="I114" s="44">
        <v>422317</v>
      </c>
      <c r="J114" s="44"/>
      <c r="K114" s="44">
        <v>429717</v>
      </c>
      <c r="L114" s="44"/>
      <c r="M114" s="44">
        <v>2443618</v>
      </c>
      <c r="N114" s="44"/>
      <c r="O114" s="44">
        <v>0</v>
      </c>
      <c r="P114" s="44"/>
      <c r="Q114" s="44">
        <v>504074</v>
      </c>
      <c r="R114" s="44"/>
      <c r="S114" s="44">
        <v>143792</v>
      </c>
      <c r="T114" s="44"/>
      <c r="U114" s="44">
        <v>22175</v>
      </c>
      <c r="V114" s="44"/>
      <c r="W114" s="44">
        <v>0</v>
      </c>
      <c r="X114" s="44"/>
      <c r="Y114" s="44">
        <v>0</v>
      </c>
      <c r="Z114" s="44"/>
      <c r="AA114" s="44">
        <f t="shared" si="2"/>
        <v>3543376</v>
      </c>
      <c r="AB114" s="44"/>
      <c r="AC114" s="44">
        <f t="shared" si="3"/>
        <v>8468376</v>
      </c>
    </row>
    <row r="115" spans="1:29" s="47" customFormat="1" ht="12.75" customHeight="1">
      <c r="A115" s="47" t="s">
        <v>140</v>
      </c>
      <c r="C115" s="47" t="s">
        <v>66</v>
      </c>
      <c r="E115" s="44">
        <v>9974107</v>
      </c>
      <c r="F115" s="44"/>
      <c r="G115" s="44">
        <v>1225065</v>
      </c>
      <c r="H115" s="44"/>
      <c r="I115" s="44">
        <v>3588181</v>
      </c>
      <c r="J115" s="44"/>
      <c r="K115" s="44">
        <v>9343465</v>
      </c>
      <c r="L115" s="44"/>
      <c r="M115" s="44">
        <v>37037639</v>
      </c>
      <c r="N115" s="44"/>
      <c r="O115" s="44">
        <v>7849842</v>
      </c>
      <c r="P115" s="44"/>
      <c r="Q115" s="44">
        <v>0</v>
      </c>
      <c r="R115" s="44"/>
      <c r="S115" s="44">
        <v>2094842</v>
      </c>
      <c r="T115" s="44"/>
      <c r="U115" s="44">
        <v>1494684</v>
      </c>
      <c r="V115" s="44"/>
      <c r="W115" s="44">
        <v>0</v>
      </c>
      <c r="X115" s="44"/>
      <c r="Y115" s="44">
        <v>0</v>
      </c>
      <c r="Z115" s="44"/>
      <c r="AA115" s="44">
        <f t="shared" si="2"/>
        <v>57820472</v>
      </c>
      <c r="AB115" s="44"/>
      <c r="AC115" s="44">
        <f t="shared" si="3"/>
        <v>72607825</v>
      </c>
    </row>
    <row r="116" spans="1:29" s="47" customFormat="1" ht="12.75" customHeight="1">
      <c r="A116" s="47" t="s">
        <v>479</v>
      </c>
      <c r="C116" s="47" t="s">
        <v>92</v>
      </c>
      <c r="E116" s="44">
        <v>426480</v>
      </c>
      <c r="F116" s="44"/>
      <c r="G116" s="44">
        <v>557188</v>
      </c>
      <c r="H116" s="44"/>
      <c r="I116" s="44">
        <v>350382</v>
      </c>
      <c r="J116" s="44"/>
      <c r="K116" s="44">
        <v>1485453</v>
      </c>
      <c r="L116" s="44"/>
      <c r="M116" s="44">
        <v>2931172</v>
      </c>
      <c r="N116" s="44"/>
      <c r="O116" s="44">
        <v>0</v>
      </c>
      <c r="P116" s="44"/>
      <c r="Q116" s="44">
        <v>680137</v>
      </c>
      <c r="R116" s="44"/>
      <c r="S116" s="44">
        <v>111072</v>
      </c>
      <c r="T116" s="44"/>
      <c r="U116" s="44">
        <v>106577</v>
      </c>
      <c r="V116" s="44"/>
      <c r="W116" s="44">
        <v>0</v>
      </c>
      <c r="X116" s="44"/>
      <c r="Y116" s="44">
        <v>0</v>
      </c>
      <c r="Z116" s="44"/>
      <c r="AA116" s="44">
        <f t="shared" si="2"/>
        <v>5314411</v>
      </c>
      <c r="AB116" s="44"/>
      <c r="AC116" s="44">
        <f t="shared" si="3"/>
        <v>6648461</v>
      </c>
    </row>
    <row r="117" spans="1:29" s="47" customFormat="1" ht="12.75" customHeight="1">
      <c r="A117" s="47" t="s">
        <v>141</v>
      </c>
      <c r="C117" s="47" t="s">
        <v>27</v>
      </c>
      <c r="E117" s="44">
        <v>7039046</v>
      </c>
      <c r="F117" s="44"/>
      <c r="G117" s="44">
        <v>6715127</v>
      </c>
      <c r="H117" s="44"/>
      <c r="I117" s="44">
        <v>0</v>
      </c>
      <c r="J117" s="44"/>
      <c r="K117" s="44">
        <f>7676479+2911150+3079771</f>
        <v>13667400</v>
      </c>
      <c r="L117" s="44"/>
      <c r="M117" s="44">
        <v>18246523</v>
      </c>
      <c r="N117" s="44"/>
      <c r="O117" s="44">
        <v>368523</v>
      </c>
      <c r="P117" s="44"/>
      <c r="Q117" s="44">
        <v>6482563</v>
      </c>
      <c r="R117" s="44"/>
      <c r="S117" s="44">
        <v>1130083</v>
      </c>
      <c r="T117" s="44"/>
      <c r="U117" s="44">
        <v>295266</v>
      </c>
      <c r="V117" s="44"/>
      <c r="W117" s="44">
        <v>332842</v>
      </c>
      <c r="X117" s="44"/>
      <c r="Y117" s="44">
        <v>0</v>
      </c>
      <c r="Z117" s="44"/>
      <c r="AA117" s="44">
        <f t="shared" si="2"/>
        <v>40523200</v>
      </c>
      <c r="AB117" s="44"/>
      <c r="AC117" s="44">
        <f t="shared" si="3"/>
        <v>54277373</v>
      </c>
    </row>
    <row r="118" spans="1:29" s="47" customFormat="1" ht="12.75" customHeight="1">
      <c r="A118" s="47" t="s">
        <v>142</v>
      </c>
      <c r="C118" s="47" t="s">
        <v>102</v>
      </c>
      <c r="E118" s="44">
        <v>6034871</v>
      </c>
      <c r="F118" s="44"/>
      <c r="G118" s="44">
        <v>5641639</v>
      </c>
      <c r="H118" s="44"/>
      <c r="I118" s="44">
        <v>2965310</v>
      </c>
      <c r="J118" s="44"/>
      <c r="K118" s="44">
        <v>2468528</v>
      </c>
      <c r="L118" s="44"/>
      <c r="M118" s="44">
        <v>16129114</v>
      </c>
      <c r="N118" s="44"/>
      <c r="O118" s="44">
        <v>550548</v>
      </c>
      <c r="P118" s="44"/>
      <c r="Q118" s="44">
        <v>3048567</v>
      </c>
      <c r="R118" s="44"/>
      <c r="S118" s="44">
        <v>1352560</v>
      </c>
      <c r="T118" s="44"/>
      <c r="U118" s="44">
        <v>1117099</v>
      </c>
      <c r="V118" s="44"/>
      <c r="W118" s="44">
        <v>68000</v>
      </c>
      <c r="X118" s="44"/>
      <c r="Y118" s="44">
        <v>0</v>
      </c>
      <c r="Z118" s="44"/>
      <c r="AA118" s="44">
        <f t="shared" si="2"/>
        <v>24734416</v>
      </c>
      <c r="AB118" s="44"/>
      <c r="AC118" s="44">
        <f t="shared" si="3"/>
        <v>39376236</v>
      </c>
    </row>
    <row r="119" spans="1:29" s="47" customFormat="1" ht="12.75" customHeight="1">
      <c r="A119" s="47" t="s">
        <v>143</v>
      </c>
      <c r="C119" s="47" t="s">
        <v>111</v>
      </c>
      <c r="E119" s="44">
        <v>3045870</v>
      </c>
      <c r="F119" s="44"/>
      <c r="G119" s="44">
        <v>1342509</v>
      </c>
      <c r="H119" s="44"/>
      <c r="I119" s="44">
        <v>667331</v>
      </c>
      <c r="J119" s="44"/>
      <c r="K119" s="44">
        <v>3541818</v>
      </c>
      <c r="L119" s="44"/>
      <c r="M119" s="44">
        <v>5888391</v>
      </c>
      <c r="N119" s="44"/>
      <c r="O119" s="44">
        <v>2465442</v>
      </c>
      <c r="P119" s="44"/>
      <c r="Q119" s="44">
        <v>1082225</v>
      </c>
      <c r="R119" s="44"/>
      <c r="S119" s="44">
        <v>885942</v>
      </c>
      <c r="T119" s="44"/>
      <c r="U119" s="44">
        <v>451524</v>
      </c>
      <c r="V119" s="44"/>
      <c r="W119" s="44">
        <v>-478040</v>
      </c>
      <c r="X119" s="44"/>
      <c r="Y119" s="44">
        <v>-2411</v>
      </c>
      <c r="Z119" s="44"/>
      <c r="AA119" s="44">
        <f t="shared" si="2"/>
        <v>13834891</v>
      </c>
      <c r="AB119" s="44"/>
      <c r="AC119" s="44">
        <f t="shared" si="3"/>
        <v>18890601</v>
      </c>
    </row>
    <row r="120" spans="1:29" s="47" customFormat="1" ht="12.75" customHeight="1">
      <c r="A120" s="47" t="s">
        <v>144</v>
      </c>
      <c r="C120" s="47" t="s">
        <v>88</v>
      </c>
      <c r="E120" s="44">
        <v>6999361</v>
      </c>
      <c r="F120" s="44"/>
      <c r="G120" s="44">
        <v>2390610</v>
      </c>
      <c r="H120" s="44"/>
      <c r="I120" s="44">
        <v>6000196</v>
      </c>
      <c r="J120" s="44"/>
      <c r="K120" s="44">
        <v>1528122</v>
      </c>
      <c r="L120" s="44"/>
      <c r="M120" s="44">
        <v>15745829</v>
      </c>
      <c r="N120" s="44"/>
      <c r="O120" s="44">
        <v>106714</v>
      </c>
      <c r="P120" s="44"/>
      <c r="Q120" s="44">
        <v>0</v>
      </c>
      <c r="R120" s="44"/>
      <c r="S120" s="44">
        <v>1606077</v>
      </c>
      <c r="T120" s="44"/>
      <c r="U120" s="44">
        <v>4408790</v>
      </c>
      <c r="V120" s="44"/>
      <c r="W120" s="44">
        <v>0</v>
      </c>
      <c r="X120" s="44"/>
      <c r="Y120" s="44">
        <v>0</v>
      </c>
      <c r="Z120" s="44"/>
      <c r="AA120" s="44">
        <f t="shared" si="2"/>
        <v>23395532</v>
      </c>
      <c r="AB120" s="44"/>
      <c r="AC120" s="44">
        <f t="shared" si="3"/>
        <v>38785699</v>
      </c>
    </row>
    <row r="121" spans="1:29" s="47" customFormat="1" ht="12.75" customHeight="1">
      <c r="A121" s="47" t="s">
        <v>36</v>
      </c>
      <c r="C121" s="47" t="s">
        <v>145</v>
      </c>
      <c r="E121" s="44">
        <v>288545</v>
      </c>
      <c r="F121" s="44"/>
      <c r="G121" s="44">
        <v>530375</v>
      </c>
      <c r="H121" s="44"/>
      <c r="I121" s="44">
        <v>0</v>
      </c>
      <c r="J121" s="44"/>
      <c r="K121" s="44">
        <v>497421</v>
      </c>
      <c r="L121" s="44"/>
      <c r="M121" s="44">
        <v>2443239</v>
      </c>
      <c r="N121" s="44"/>
      <c r="O121" s="44">
        <v>0</v>
      </c>
      <c r="P121" s="44"/>
      <c r="Q121" s="44">
        <v>500547</v>
      </c>
      <c r="R121" s="44"/>
      <c r="S121" s="44">
        <v>120073</v>
      </c>
      <c r="T121" s="44"/>
      <c r="U121" s="44">
        <v>36463</v>
      </c>
      <c r="V121" s="44"/>
      <c r="W121" s="44">
        <v>0</v>
      </c>
      <c r="X121" s="44"/>
      <c r="Y121" s="44">
        <v>0</v>
      </c>
      <c r="Z121" s="44"/>
      <c r="AA121" s="44">
        <f t="shared" si="2"/>
        <v>3597743</v>
      </c>
      <c r="AB121" s="44"/>
      <c r="AC121" s="44">
        <f t="shared" si="3"/>
        <v>4416663</v>
      </c>
    </row>
    <row r="122" spans="1:29" s="47" customFormat="1" ht="12.75" customHeight="1">
      <c r="A122" s="47" t="s">
        <v>146</v>
      </c>
      <c r="C122" s="47" t="s">
        <v>147</v>
      </c>
      <c r="E122" s="44">
        <v>184529</v>
      </c>
      <c r="F122" s="44"/>
      <c r="G122" s="44">
        <v>460064</v>
      </c>
      <c r="H122" s="44"/>
      <c r="I122" s="44">
        <v>9229</v>
      </c>
      <c r="J122" s="44"/>
      <c r="K122" s="44">
        <v>1084378</v>
      </c>
      <c r="L122" s="44"/>
      <c r="M122" s="44">
        <v>2869909</v>
      </c>
      <c r="N122" s="44"/>
      <c r="O122" s="44">
        <v>0</v>
      </c>
      <c r="P122" s="44"/>
      <c r="Q122" s="44">
        <v>430426</v>
      </c>
      <c r="R122" s="44"/>
      <c r="S122" s="44">
        <v>273226</v>
      </c>
      <c r="T122" s="44"/>
      <c r="U122" s="44">
        <v>72948</v>
      </c>
      <c r="V122" s="44"/>
      <c r="W122" s="44">
        <v>-92008</v>
      </c>
      <c r="X122" s="44"/>
      <c r="Y122" s="44">
        <v>0</v>
      </c>
      <c r="Z122" s="44"/>
      <c r="AA122" s="44">
        <f t="shared" si="2"/>
        <v>4638879</v>
      </c>
      <c r="AB122" s="44"/>
      <c r="AC122" s="44">
        <f t="shared" si="3"/>
        <v>5292701</v>
      </c>
    </row>
    <row r="123" spans="1:29" s="47" customFormat="1" ht="12.75" customHeight="1">
      <c r="A123" s="47" t="s">
        <v>17</v>
      </c>
      <c r="C123" s="47" t="s">
        <v>17</v>
      </c>
      <c r="E123" s="44">
        <v>4642771</v>
      </c>
      <c r="F123" s="44"/>
      <c r="G123" s="44">
        <v>9212276</v>
      </c>
      <c r="H123" s="44"/>
      <c r="I123" s="44">
        <v>912005</v>
      </c>
      <c r="J123" s="44"/>
      <c r="K123" s="44">
        <f>3379848+310780+342860+1261137</f>
        <v>5294625</v>
      </c>
      <c r="L123" s="44"/>
      <c r="M123" s="44">
        <f>16308518+2296810</f>
        <v>18605328</v>
      </c>
      <c r="N123" s="44"/>
      <c r="O123" s="44">
        <v>0</v>
      </c>
      <c r="P123" s="44"/>
      <c r="Q123" s="44">
        <v>6083171</v>
      </c>
      <c r="R123" s="44"/>
      <c r="S123" s="44">
        <v>811699</v>
      </c>
      <c r="T123" s="44"/>
      <c r="U123" s="44">
        <v>435314</v>
      </c>
      <c r="V123" s="44"/>
      <c r="W123" s="44">
        <v>-2327231</v>
      </c>
      <c r="X123" s="44"/>
      <c r="Y123" s="44">
        <v>0</v>
      </c>
      <c r="Z123" s="44"/>
      <c r="AA123" s="44">
        <f t="shared" si="2"/>
        <v>28902906</v>
      </c>
      <c r="AB123" s="44"/>
      <c r="AC123" s="44">
        <f t="shared" si="3"/>
        <v>43669958</v>
      </c>
    </row>
    <row r="124" spans="1:29" s="47" customFormat="1" ht="12.75" customHeight="1">
      <c r="A124" s="47" t="s">
        <v>148</v>
      </c>
      <c r="C124" s="47" t="s">
        <v>15</v>
      </c>
      <c r="E124" s="44">
        <v>476944</v>
      </c>
      <c r="F124" s="44"/>
      <c r="G124" s="44">
        <v>846837</v>
      </c>
      <c r="H124" s="44"/>
      <c r="I124" s="44">
        <v>0</v>
      </c>
      <c r="J124" s="44"/>
      <c r="K124" s="44">
        <v>388416</v>
      </c>
      <c r="L124" s="44"/>
      <c r="M124" s="44">
        <v>2505101</v>
      </c>
      <c r="N124" s="44"/>
      <c r="O124" s="44">
        <v>0</v>
      </c>
      <c r="P124" s="44"/>
      <c r="Q124" s="44">
        <v>675554</v>
      </c>
      <c r="R124" s="44"/>
      <c r="S124" s="44">
        <v>80345</v>
      </c>
      <c r="T124" s="44"/>
      <c r="U124" s="44">
        <v>92090</v>
      </c>
      <c r="V124" s="44"/>
      <c r="W124" s="44">
        <v>0</v>
      </c>
      <c r="X124" s="44"/>
      <c r="Y124" s="44">
        <v>0</v>
      </c>
      <c r="Z124" s="44"/>
      <c r="AA124" s="44">
        <f t="shared" si="2"/>
        <v>3741506</v>
      </c>
      <c r="AB124" s="44"/>
      <c r="AC124" s="44">
        <f t="shared" si="3"/>
        <v>5065287</v>
      </c>
    </row>
    <row r="125" spans="1:29" s="47" customFormat="1" ht="12.75" customHeight="1">
      <c r="A125" s="47" t="s">
        <v>149</v>
      </c>
      <c r="C125" s="47" t="s">
        <v>45</v>
      </c>
      <c r="E125" s="44">
        <v>801376</v>
      </c>
      <c r="F125" s="44"/>
      <c r="G125" s="44">
        <v>668860</v>
      </c>
      <c r="H125" s="44"/>
      <c r="I125" s="44">
        <v>1132005</v>
      </c>
      <c r="J125" s="44"/>
      <c r="K125" s="44">
        <v>2985089</v>
      </c>
      <c r="L125" s="44"/>
      <c r="M125" s="44">
        <v>3097973</v>
      </c>
      <c r="N125" s="44"/>
      <c r="O125" s="44">
        <v>0</v>
      </c>
      <c r="P125" s="44"/>
      <c r="Q125" s="44">
        <v>882095</v>
      </c>
      <c r="R125" s="44"/>
      <c r="S125" s="44">
        <v>407997</v>
      </c>
      <c r="T125" s="44"/>
      <c r="U125" s="44">
        <v>368738</v>
      </c>
      <c r="V125" s="44"/>
      <c r="W125" s="44">
        <v>-294281</v>
      </c>
      <c r="X125" s="44"/>
      <c r="Y125" s="44">
        <v>0</v>
      </c>
      <c r="Z125" s="44"/>
      <c r="AA125" s="44">
        <f t="shared" si="2"/>
        <v>7447611</v>
      </c>
      <c r="AB125" s="44"/>
      <c r="AC125" s="44">
        <f t="shared" si="3"/>
        <v>10049852</v>
      </c>
    </row>
    <row r="126" spans="1:29" s="47" customFormat="1" ht="12.75" customHeight="1">
      <c r="A126" s="47" t="s">
        <v>150</v>
      </c>
      <c r="C126" s="47" t="s">
        <v>27</v>
      </c>
      <c r="E126" s="44">
        <v>2371612</v>
      </c>
      <c r="F126" s="44"/>
      <c r="G126" s="44">
        <v>1536672</v>
      </c>
      <c r="H126" s="44"/>
      <c r="I126" s="44">
        <v>342713</v>
      </c>
      <c r="J126" s="44"/>
      <c r="K126" s="44">
        <v>5157705</v>
      </c>
      <c r="L126" s="44"/>
      <c r="M126" s="44">
        <v>6378134</v>
      </c>
      <c r="N126" s="44"/>
      <c r="O126" s="44">
        <v>146411</v>
      </c>
      <c r="P126" s="44"/>
      <c r="Q126" s="44">
        <v>1889763</v>
      </c>
      <c r="R126" s="44"/>
      <c r="S126" s="44">
        <v>978957</v>
      </c>
      <c r="T126" s="44"/>
      <c r="U126" s="44">
        <v>96656</v>
      </c>
      <c r="V126" s="44"/>
      <c r="W126" s="44">
        <v>0</v>
      </c>
      <c r="X126" s="44"/>
      <c r="Y126" s="44">
        <v>0</v>
      </c>
      <c r="Z126" s="44"/>
      <c r="AA126" s="44">
        <f t="shared" si="2"/>
        <v>14647626</v>
      </c>
      <c r="AB126" s="44"/>
      <c r="AC126" s="44">
        <f t="shared" si="3"/>
        <v>18898623</v>
      </c>
    </row>
    <row r="127" spans="1:29" s="47" customFormat="1" ht="12.75" customHeight="1">
      <c r="A127" s="47" t="s">
        <v>151</v>
      </c>
      <c r="C127" s="47" t="s">
        <v>13</v>
      </c>
      <c r="E127" s="44">
        <v>2955208</v>
      </c>
      <c r="F127" s="44"/>
      <c r="G127" s="44">
        <v>930827</v>
      </c>
      <c r="H127" s="44"/>
      <c r="I127" s="44">
        <v>1709371</v>
      </c>
      <c r="J127" s="44"/>
      <c r="K127" s="44">
        <v>2221620</v>
      </c>
      <c r="L127" s="44"/>
      <c r="M127" s="44">
        <v>7759557</v>
      </c>
      <c r="N127" s="44"/>
      <c r="O127" s="44">
        <v>0</v>
      </c>
      <c r="P127" s="44"/>
      <c r="Q127" s="44">
        <v>964624</v>
      </c>
      <c r="R127" s="44"/>
      <c r="S127" s="44">
        <v>242721</v>
      </c>
      <c r="T127" s="44"/>
      <c r="U127" s="44">
        <v>138596</v>
      </c>
      <c r="V127" s="44"/>
      <c r="W127" s="44">
        <v>0</v>
      </c>
      <c r="X127" s="44"/>
      <c r="Y127" s="44">
        <v>23221</v>
      </c>
      <c r="Z127" s="44"/>
      <c r="AA127" s="44">
        <f t="shared" si="2"/>
        <v>11350339</v>
      </c>
      <c r="AB127" s="44"/>
      <c r="AC127" s="44">
        <f t="shared" si="3"/>
        <v>16945745</v>
      </c>
    </row>
    <row r="128" spans="1:29" s="47" customFormat="1" ht="12.75" customHeight="1">
      <c r="A128" s="47" t="s">
        <v>482</v>
      </c>
      <c r="C128" s="47" t="s">
        <v>45</v>
      </c>
      <c r="E128" s="44">
        <v>441226</v>
      </c>
      <c r="F128" s="44"/>
      <c r="G128" s="44">
        <v>496521</v>
      </c>
      <c r="H128" s="44"/>
      <c r="I128" s="44">
        <v>0</v>
      </c>
      <c r="J128" s="44"/>
      <c r="K128" s="44">
        <v>2041304</v>
      </c>
      <c r="L128" s="44"/>
      <c r="M128" s="44">
        <v>2389079</v>
      </c>
      <c r="N128" s="44"/>
      <c r="O128" s="44">
        <v>99803</v>
      </c>
      <c r="P128" s="44"/>
      <c r="Q128" s="44">
        <v>1224958</v>
      </c>
      <c r="R128" s="44"/>
      <c r="S128" s="44">
        <v>150733</v>
      </c>
      <c r="T128" s="44"/>
      <c r="U128" s="44">
        <v>0</v>
      </c>
      <c r="V128" s="44"/>
      <c r="W128" s="44">
        <v>0</v>
      </c>
      <c r="X128" s="44"/>
      <c r="Y128" s="44">
        <v>0</v>
      </c>
      <c r="Z128" s="44"/>
      <c r="AA128" s="44">
        <f t="shared" si="2"/>
        <v>5905877</v>
      </c>
      <c r="AB128" s="44"/>
      <c r="AC128" s="44">
        <f t="shared" si="3"/>
        <v>6843624</v>
      </c>
    </row>
    <row r="129" spans="1:31" s="47" customFormat="1" ht="12.75" customHeight="1">
      <c r="A129" s="47" t="s">
        <v>152</v>
      </c>
      <c r="C129" s="47" t="s">
        <v>153</v>
      </c>
      <c r="E129" s="44">
        <v>5556120</v>
      </c>
      <c r="F129" s="44"/>
      <c r="G129" s="44">
        <v>7041641</v>
      </c>
      <c r="H129" s="44"/>
      <c r="I129" s="44">
        <v>1060076</v>
      </c>
      <c r="J129" s="44"/>
      <c r="K129" s="44">
        <v>2611953</v>
      </c>
      <c r="L129" s="44"/>
      <c r="M129" s="44">
        <v>24369037</v>
      </c>
      <c r="N129" s="44"/>
      <c r="O129" s="44">
        <v>0</v>
      </c>
      <c r="P129" s="44"/>
      <c r="Q129" s="44">
        <v>8142051</v>
      </c>
      <c r="R129" s="44"/>
      <c r="S129" s="44">
        <v>2548036</v>
      </c>
      <c r="T129" s="44"/>
      <c r="U129" s="44">
        <v>51665</v>
      </c>
      <c r="V129" s="44"/>
      <c r="W129" s="44">
        <v>0</v>
      </c>
      <c r="X129" s="44"/>
      <c r="Y129" s="44">
        <v>0</v>
      </c>
      <c r="Z129" s="44"/>
      <c r="AA129" s="44">
        <f t="shared" si="2"/>
        <v>37722742</v>
      </c>
      <c r="AB129" s="44"/>
      <c r="AC129" s="44">
        <f t="shared" si="3"/>
        <v>51380579</v>
      </c>
      <c r="AE129" s="44"/>
    </row>
    <row r="130" spans="1:31" s="138" customFormat="1" ht="12.75" hidden="1" customHeight="1">
      <c r="A130" s="138" t="s">
        <v>154</v>
      </c>
      <c r="C130" s="138" t="s">
        <v>27</v>
      </c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>
        <f t="shared" si="2"/>
        <v>0</v>
      </c>
      <c r="AB130" s="137"/>
      <c r="AC130" s="137">
        <f t="shared" si="3"/>
        <v>0</v>
      </c>
    </row>
    <row r="131" spans="1:31" s="47" customFormat="1" ht="12.75" customHeight="1">
      <c r="A131" s="47" t="s">
        <v>155</v>
      </c>
      <c r="C131" s="47" t="s">
        <v>40</v>
      </c>
      <c r="E131" s="44">
        <v>2207039</v>
      </c>
      <c r="F131" s="44"/>
      <c r="G131" s="44">
        <v>4054461</v>
      </c>
      <c r="H131" s="44"/>
      <c r="I131" s="44">
        <v>251486</v>
      </c>
      <c r="J131" s="44"/>
      <c r="K131" s="44">
        <f>541228+16266</f>
        <v>557494</v>
      </c>
      <c r="L131" s="44"/>
      <c r="M131" s="44">
        <f>5927186+896364+896364+448181</f>
        <v>8168095</v>
      </c>
      <c r="N131" s="44"/>
      <c r="O131" s="44">
        <f>248297+201489</f>
        <v>449786</v>
      </c>
      <c r="P131" s="44"/>
      <c r="Q131" s="44">
        <v>1216309</v>
      </c>
      <c r="R131" s="44"/>
      <c r="S131" s="44">
        <v>505655</v>
      </c>
      <c r="T131" s="44"/>
      <c r="U131" s="44">
        <v>847381</v>
      </c>
      <c r="V131" s="44"/>
      <c r="W131" s="44">
        <v>0</v>
      </c>
      <c r="X131" s="44"/>
      <c r="Y131" s="44">
        <v>8841</v>
      </c>
      <c r="Z131" s="44"/>
      <c r="AA131" s="44">
        <f t="shared" si="2"/>
        <v>11753561</v>
      </c>
      <c r="AB131" s="44"/>
      <c r="AC131" s="44">
        <f t="shared" si="3"/>
        <v>18266547</v>
      </c>
    </row>
    <row r="132" spans="1:31" s="47" customFormat="1" ht="12.75" customHeight="1">
      <c r="A132" s="47" t="s">
        <v>156</v>
      </c>
      <c r="C132" s="47" t="s">
        <v>156</v>
      </c>
      <c r="E132" s="44">
        <v>3529746</v>
      </c>
      <c r="F132" s="44"/>
      <c r="G132" s="44">
        <v>3496511</v>
      </c>
      <c r="H132" s="44"/>
      <c r="I132" s="44">
        <v>641574</v>
      </c>
      <c r="J132" s="44"/>
      <c r="K132" s="44">
        <v>1352448</v>
      </c>
      <c r="L132" s="44"/>
      <c r="M132" s="44">
        <v>14570392</v>
      </c>
      <c r="N132" s="44"/>
      <c r="O132" s="44">
        <v>351886</v>
      </c>
      <c r="P132" s="44"/>
      <c r="Q132" s="44">
        <v>2101134</v>
      </c>
      <c r="R132" s="44"/>
      <c r="S132" s="44">
        <v>785396</v>
      </c>
      <c r="T132" s="44"/>
      <c r="U132" s="44">
        <v>445390</v>
      </c>
      <c r="V132" s="44"/>
      <c r="W132" s="44">
        <v>0</v>
      </c>
      <c r="X132" s="44"/>
      <c r="Y132" s="44">
        <v>0</v>
      </c>
      <c r="Z132" s="44"/>
      <c r="AA132" s="44">
        <f t="shared" si="2"/>
        <v>19606646</v>
      </c>
      <c r="AB132" s="44"/>
      <c r="AC132" s="44">
        <f t="shared" si="3"/>
        <v>27274477</v>
      </c>
    </row>
    <row r="133" spans="1:31" s="47" customFormat="1" ht="12.75" customHeight="1">
      <c r="A133" s="47" t="s">
        <v>157</v>
      </c>
      <c r="C133" s="47" t="s">
        <v>33</v>
      </c>
      <c r="E133" s="44">
        <v>749771</v>
      </c>
      <c r="F133" s="44"/>
      <c r="G133" s="44">
        <v>544370</v>
      </c>
      <c r="H133" s="44"/>
      <c r="I133" s="44">
        <v>13616</v>
      </c>
      <c r="J133" s="44"/>
      <c r="K133" s="44">
        <v>517428</v>
      </c>
      <c r="L133" s="44"/>
      <c r="M133" s="44">
        <v>1278022</v>
      </c>
      <c r="N133" s="44"/>
      <c r="O133" s="44">
        <v>0</v>
      </c>
      <c r="P133" s="44"/>
      <c r="Q133" s="44">
        <v>387966</v>
      </c>
      <c r="R133" s="44"/>
      <c r="S133" s="44">
        <v>116378</v>
      </c>
      <c r="T133" s="44"/>
      <c r="U133" s="44">
        <v>163136</v>
      </c>
      <c r="V133" s="44"/>
      <c r="W133" s="44">
        <v>-95346</v>
      </c>
      <c r="X133" s="44"/>
      <c r="Y133" s="44">
        <v>0</v>
      </c>
      <c r="Z133" s="44"/>
      <c r="AA133" s="44">
        <f t="shared" si="2"/>
        <v>2367584</v>
      </c>
      <c r="AB133" s="44"/>
      <c r="AC133" s="44">
        <f t="shared" si="3"/>
        <v>3675341</v>
      </c>
    </row>
    <row r="134" spans="1:31" s="47" customFormat="1" ht="12.75" customHeight="1">
      <c r="A134" s="47" t="s">
        <v>158</v>
      </c>
      <c r="C134" s="47" t="s">
        <v>159</v>
      </c>
      <c r="E134" s="44">
        <v>1998365</v>
      </c>
      <c r="F134" s="44"/>
      <c r="G134" s="44">
        <v>1082881</v>
      </c>
      <c r="H134" s="44"/>
      <c r="I134" s="44">
        <v>447806</v>
      </c>
      <c r="J134" s="44"/>
      <c r="K134" s="44">
        <v>2238058</v>
      </c>
      <c r="L134" s="44"/>
      <c r="M134" s="44">
        <v>8053835</v>
      </c>
      <c r="N134" s="44"/>
      <c r="O134" s="44">
        <v>104878</v>
      </c>
      <c r="P134" s="44"/>
      <c r="Q134" s="44">
        <v>588945</v>
      </c>
      <c r="R134" s="44"/>
      <c r="S134" s="44">
        <v>915825</v>
      </c>
      <c r="T134" s="44"/>
      <c r="U134" s="44">
        <v>279689</v>
      </c>
      <c r="V134" s="44"/>
      <c r="W134" s="44">
        <v>0</v>
      </c>
      <c r="X134" s="44"/>
      <c r="Y134" s="44">
        <v>0</v>
      </c>
      <c r="Z134" s="44"/>
      <c r="AA134" s="44">
        <f t="shared" si="2"/>
        <v>12181230</v>
      </c>
      <c r="AB134" s="44"/>
      <c r="AC134" s="44">
        <f t="shared" si="3"/>
        <v>15710282</v>
      </c>
    </row>
    <row r="135" spans="1:31" s="47" customFormat="1" ht="12.75" customHeight="1">
      <c r="A135" s="47" t="s">
        <v>472</v>
      </c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8" t="s">
        <v>485</v>
      </c>
    </row>
    <row r="136" spans="1:31" s="46" customFormat="1" ht="12.75" customHeight="1">
      <c r="A136" s="46" t="s">
        <v>160</v>
      </c>
      <c r="C136" s="46" t="s">
        <v>111</v>
      </c>
      <c r="E136" s="46">
        <v>4337199</v>
      </c>
      <c r="G136" s="46">
        <v>2567109</v>
      </c>
      <c r="I136" s="46">
        <v>3080139</v>
      </c>
      <c r="K136" s="46">
        <v>7097048</v>
      </c>
      <c r="M136" s="46">
        <v>20514861</v>
      </c>
      <c r="O136" s="46">
        <v>0</v>
      </c>
      <c r="Q136" s="46">
        <v>3103589</v>
      </c>
      <c r="S136" s="46">
        <v>2725268</v>
      </c>
      <c r="U136" s="46">
        <v>820723</v>
      </c>
      <c r="W136" s="46">
        <v>-1287036</v>
      </c>
      <c r="Y136" s="46">
        <v>0</v>
      </c>
      <c r="AA136" s="46">
        <f t="shared" si="2"/>
        <v>32974453</v>
      </c>
      <c r="AC136" s="46">
        <f t="shared" si="3"/>
        <v>42958900</v>
      </c>
    </row>
    <row r="137" spans="1:31" s="47" customFormat="1" ht="12.75" customHeight="1">
      <c r="A137" s="47" t="s">
        <v>161</v>
      </c>
      <c r="C137" s="47" t="s">
        <v>15</v>
      </c>
      <c r="E137" s="44">
        <v>3733000</v>
      </c>
      <c r="F137" s="44"/>
      <c r="G137" s="44">
        <v>3743719</v>
      </c>
      <c r="H137" s="44"/>
      <c r="I137" s="44">
        <v>826301</v>
      </c>
      <c r="J137" s="44"/>
      <c r="K137" s="44">
        <v>2573130</v>
      </c>
      <c r="L137" s="44"/>
      <c r="M137" s="44">
        <v>12774960</v>
      </c>
      <c r="N137" s="44"/>
      <c r="O137" s="44">
        <v>0</v>
      </c>
      <c r="P137" s="44"/>
      <c r="Q137" s="44">
        <v>1267005</v>
      </c>
      <c r="R137" s="44"/>
      <c r="S137" s="44">
        <v>454885</v>
      </c>
      <c r="T137" s="44"/>
      <c r="U137" s="44">
        <v>823536</v>
      </c>
      <c r="V137" s="44"/>
      <c r="W137" s="44">
        <v>0</v>
      </c>
      <c r="X137" s="44"/>
      <c r="Y137" s="44">
        <v>0</v>
      </c>
      <c r="Z137" s="44"/>
      <c r="AA137" s="44">
        <f t="shared" si="2"/>
        <v>17893516</v>
      </c>
      <c r="AB137" s="44"/>
      <c r="AC137" s="44">
        <f t="shared" si="3"/>
        <v>26196536</v>
      </c>
    </row>
    <row r="138" spans="1:31" s="47" customFormat="1" ht="12.75" customHeight="1">
      <c r="A138" s="47" t="s">
        <v>162</v>
      </c>
      <c r="C138" s="47" t="s">
        <v>163</v>
      </c>
      <c r="E138" s="44">
        <v>3487555</v>
      </c>
      <c r="F138" s="44"/>
      <c r="G138" s="44">
        <v>1497173</v>
      </c>
      <c r="H138" s="44"/>
      <c r="I138" s="44">
        <v>0</v>
      </c>
      <c r="J138" s="44"/>
      <c r="K138" s="44">
        <v>3621148</v>
      </c>
      <c r="L138" s="44"/>
      <c r="M138" s="44">
        <v>15842248</v>
      </c>
      <c r="N138" s="44"/>
      <c r="O138" s="44">
        <v>0</v>
      </c>
      <c r="P138" s="44"/>
      <c r="Q138" s="44">
        <v>1776184</v>
      </c>
      <c r="R138" s="44"/>
      <c r="S138" s="44">
        <v>2070882</v>
      </c>
      <c r="T138" s="44"/>
      <c r="U138" s="44">
        <v>396965</v>
      </c>
      <c r="V138" s="44"/>
      <c r="W138" s="44">
        <v>22000</v>
      </c>
      <c r="X138" s="44"/>
      <c r="Y138" s="44">
        <v>0</v>
      </c>
      <c r="Z138" s="44"/>
      <c r="AA138" s="44">
        <f t="shared" si="2"/>
        <v>23729427</v>
      </c>
      <c r="AB138" s="44"/>
      <c r="AC138" s="44">
        <f t="shared" si="3"/>
        <v>28714155</v>
      </c>
    </row>
    <row r="139" spans="1:31" s="47" customFormat="1" ht="12.75" customHeight="1">
      <c r="A139" s="47" t="s">
        <v>164</v>
      </c>
      <c r="C139" s="47" t="s">
        <v>27</v>
      </c>
      <c r="E139" s="44">
        <v>1874156</v>
      </c>
      <c r="F139" s="44"/>
      <c r="G139" s="44">
        <v>802743</v>
      </c>
      <c r="H139" s="44"/>
      <c r="I139" s="44">
        <v>1547692</v>
      </c>
      <c r="J139" s="44"/>
      <c r="K139" s="44">
        <v>5361034</v>
      </c>
      <c r="L139" s="44"/>
      <c r="M139" s="44">
        <v>11602135</v>
      </c>
      <c r="N139" s="44"/>
      <c r="O139" s="44">
        <v>134349</v>
      </c>
      <c r="P139" s="44"/>
      <c r="Q139" s="44">
        <v>3385575</v>
      </c>
      <c r="R139" s="44"/>
      <c r="S139" s="44">
        <v>1041367</v>
      </c>
      <c r="T139" s="44"/>
      <c r="U139" s="44">
        <v>137473</v>
      </c>
      <c r="V139" s="44"/>
      <c r="W139" s="44">
        <v>0</v>
      </c>
      <c r="X139" s="44"/>
      <c r="Y139" s="44">
        <v>0</v>
      </c>
      <c r="Z139" s="44"/>
      <c r="AA139" s="44">
        <f t="shared" si="2"/>
        <v>21661933</v>
      </c>
      <c r="AB139" s="44"/>
      <c r="AC139" s="44">
        <f t="shared" si="3"/>
        <v>25886524</v>
      </c>
    </row>
    <row r="140" spans="1:31" s="47" customFormat="1" ht="12.75" customHeight="1">
      <c r="A140" s="47" t="s">
        <v>53</v>
      </c>
      <c r="C140" s="47" t="s">
        <v>53</v>
      </c>
      <c r="E140" s="44">
        <v>3130749</v>
      </c>
      <c r="F140" s="44"/>
      <c r="G140" s="44">
        <v>1928098</v>
      </c>
      <c r="H140" s="44"/>
      <c r="I140" s="44">
        <v>156727</v>
      </c>
      <c r="J140" s="44"/>
      <c r="K140" s="44">
        <v>2682385</v>
      </c>
      <c r="L140" s="44"/>
      <c r="M140" s="44">
        <v>12426833</v>
      </c>
      <c r="N140" s="44"/>
      <c r="O140" s="44">
        <v>0</v>
      </c>
      <c r="P140" s="44"/>
      <c r="Q140" s="44">
        <v>1917496</v>
      </c>
      <c r="R140" s="44"/>
      <c r="S140" s="44">
        <v>1499030</v>
      </c>
      <c r="T140" s="44"/>
      <c r="U140" s="44">
        <v>49067</v>
      </c>
      <c r="V140" s="44"/>
      <c r="W140" s="44">
        <v>0</v>
      </c>
      <c r="X140" s="44"/>
      <c r="Y140" s="44">
        <v>0</v>
      </c>
      <c r="Z140" s="44"/>
      <c r="AA140" s="44">
        <f t="shared" si="2"/>
        <v>18574811</v>
      </c>
      <c r="AB140" s="44"/>
      <c r="AC140" s="44">
        <f t="shared" si="3"/>
        <v>23790385</v>
      </c>
    </row>
    <row r="141" spans="1:31" s="47" customFormat="1" ht="12.75" customHeight="1">
      <c r="A141" s="47" t="s">
        <v>165</v>
      </c>
      <c r="C141" s="47" t="s">
        <v>92</v>
      </c>
      <c r="E141" s="44">
        <v>9269921</v>
      </c>
      <c r="F141" s="44"/>
      <c r="G141" s="44">
        <v>942586</v>
      </c>
      <c r="H141" s="44"/>
      <c r="I141" s="44">
        <v>769887</v>
      </c>
      <c r="J141" s="44"/>
      <c r="K141" s="44">
        <v>6086882</v>
      </c>
      <c r="L141" s="44"/>
      <c r="M141" s="44">
        <v>32267383</v>
      </c>
      <c r="N141" s="44"/>
      <c r="O141" s="44">
        <v>786290</v>
      </c>
      <c r="P141" s="44"/>
      <c r="Q141" s="44">
        <v>163737</v>
      </c>
      <c r="R141" s="44"/>
      <c r="S141" s="44">
        <v>1124560</v>
      </c>
      <c r="T141" s="44"/>
      <c r="U141" s="44">
        <v>8837274</v>
      </c>
      <c r="V141" s="44"/>
      <c r="W141" s="44">
        <v>0</v>
      </c>
      <c r="X141" s="44"/>
      <c r="Y141" s="44">
        <v>0</v>
      </c>
      <c r="Z141" s="44"/>
      <c r="AA141" s="44">
        <f t="shared" si="2"/>
        <v>49266126</v>
      </c>
      <c r="AB141" s="44"/>
      <c r="AC141" s="44">
        <f t="shared" si="3"/>
        <v>60248520</v>
      </c>
    </row>
    <row r="142" spans="1:31" s="47" customFormat="1" ht="12.75" customHeight="1">
      <c r="A142" s="47" t="s">
        <v>166</v>
      </c>
      <c r="C142" s="47" t="s">
        <v>92</v>
      </c>
      <c r="E142" s="44">
        <v>641535</v>
      </c>
      <c r="F142" s="44"/>
      <c r="G142" s="44">
        <v>312999</v>
      </c>
      <c r="H142" s="44"/>
      <c r="I142" s="44">
        <v>252681</v>
      </c>
      <c r="J142" s="44"/>
      <c r="K142" s="44">
        <v>1737472</v>
      </c>
      <c r="L142" s="44"/>
      <c r="M142" s="44">
        <v>781779</v>
      </c>
      <c r="N142" s="44"/>
      <c r="O142" s="44">
        <v>0</v>
      </c>
      <c r="P142" s="44"/>
      <c r="Q142" s="44">
        <v>865788</v>
      </c>
      <c r="R142" s="44"/>
      <c r="S142" s="44">
        <v>48693</v>
      </c>
      <c r="T142" s="44"/>
      <c r="U142" s="44">
        <v>56152</v>
      </c>
      <c r="V142" s="44"/>
      <c r="W142" s="44">
        <v>0</v>
      </c>
      <c r="X142" s="44"/>
      <c r="Y142" s="44">
        <v>0</v>
      </c>
      <c r="Z142" s="44"/>
      <c r="AA142" s="44">
        <f t="shared" si="2"/>
        <v>3489884</v>
      </c>
      <c r="AB142" s="44"/>
      <c r="AC142" s="44">
        <f t="shared" si="3"/>
        <v>4697099</v>
      </c>
    </row>
    <row r="143" spans="1:31" s="47" customFormat="1" ht="12.75" customHeight="1">
      <c r="A143" s="47" t="s">
        <v>167</v>
      </c>
      <c r="C143" s="47" t="s">
        <v>66</v>
      </c>
      <c r="E143" s="44">
        <v>3991449</v>
      </c>
      <c r="F143" s="44"/>
      <c r="G143" s="44">
        <v>1340540</v>
      </c>
      <c r="H143" s="44"/>
      <c r="I143" s="44">
        <v>1615357</v>
      </c>
      <c r="J143" s="44"/>
      <c r="K143" s="44">
        <f>1732272+60729+813187+277525</f>
        <v>2883713</v>
      </c>
      <c r="L143" s="44"/>
      <c r="M143" s="44">
        <f>6909874+2180161</f>
        <v>9090035</v>
      </c>
      <c r="N143" s="44"/>
      <c r="O143" s="44">
        <v>0</v>
      </c>
      <c r="P143" s="44"/>
      <c r="Q143" s="44">
        <v>1156369</v>
      </c>
      <c r="R143" s="44"/>
      <c r="S143" s="44">
        <v>1083796</v>
      </c>
      <c r="T143" s="44"/>
      <c r="U143" s="44">
        <v>607466</v>
      </c>
      <c r="V143" s="44"/>
      <c r="W143" s="44">
        <v>-250000</v>
      </c>
      <c r="X143" s="44"/>
      <c r="Y143" s="44">
        <v>0</v>
      </c>
      <c r="Z143" s="44"/>
      <c r="AA143" s="44">
        <f t="shared" si="2"/>
        <v>14571379</v>
      </c>
      <c r="AB143" s="44"/>
      <c r="AC143" s="44">
        <f t="shared" si="3"/>
        <v>21518725</v>
      </c>
    </row>
    <row r="144" spans="1:31" s="47" customFormat="1" ht="12.75" customHeight="1">
      <c r="A144" s="44" t="s">
        <v>168</v>
      </c>
      <c r="C144" s="44" t="s">
        <v>27</v>
      </c>
      <c r="D144" s="44"/>
      <c r="E144" s="44">
        <v>2802399</v>
      </c>
      <c r="F144" s="44"/>
      <c r="G144" s="44">
        <v>862363</v>
      </c>
      <c r="H144" s="44"/>
      <c r="I144" s="44">
        <v>184981</v>
      </c>
      <c r="J144" s="44"/>
      <c r="K144" s="44">
        <v>3073740</v>
      </c>
      <c r="L144" s="44"/>
      <c r="M144" s="44">
        <v>15652200</v>
      </c>
      <c r="N144" s="44"/>
      <c r="O144" s="44">
        <v>0</v>
      </c>
      <c r="P144" s="44"/>
      <c r="Q144" s="44">
        <v>1268580</v>
      </c>
      <c r="R144" s="44"/>
      <c r="S144" s="44">
        <v>537883</v>
      </c>
      <c r="T144" s="44"/>
      <c r="U144" s="44">
        <v>356597</v>
      </c>
      <c r="V144" s="44"/>
      <c r="W144" s="44">
        <v>0</v>
      </c>
      <c r="X144" s="44"/>
      <c r="Y144" s="44">
        <v>0</v>
      </c>
      <c r="Z144" s="44"/>
      <c r="AA144" s="44">
        <f t="shared" si="2"/>
        <v>20889000</v>
      </c>
      <c r="AB144" s="44"/>
      <c r="AC144" s="44">
        <f t="shared" si="3"/>
        <v>24738743</v>
      </c>
    </row>
    <row r="145" spans="1:29" s="47" customFormat="1" ht="12.75" customHeight="1">
      <c r="A145" s="47" t="s">
        <v>169</v>
      </c>
      <c r="C145" s="47" t="s">
        <v>103</v>
      </c>
      <c r="E145" s="44">
        <v>7011241</v>
      </c>
      <c r="F145" s="44"/>
      <c r="G145" s="44">
        <v>11332167</v>
      </c>
      <c r="H145" s="44"/>
      <c r="I145" s="44">
        <v>2404859</v>
      </c>
      <c r="J145" s="44"/>
      <c r="K145" s="44">
        <v>5643510</v>
      </c>
      <c r="L145" s="44"/>
      <c r="M145" s="44">
        <v>17920891</v>
      </c>
      <c r="N145" s="44"/>
      <c r="O145" s="44">
        <v>3694147</v>
      </c>
      <c r="P145" s="44"/>
      <c r="Q145" s="44">
        <v>1014106</v>
      </c>
      <c r="R145" s="44"/>
      <c r="S145" s="44">
        <v>2326782</v>
      </c>
      <c r="T145" s="44"/>
      <c r="U145" s="44">
        <v>1241140</v>
      </c>
      <c r="V145" s="44"/>
      <c r="W145" s="44">
        <v>0</v>
      </c>
      <c r="X145" s="44"/>
      <c r="Y145" s="44">
        <v>0</v>
      </c>
      <c r="Z145" s="44"/>
      <c r="AA145" s="44">
        <f t="shared" si="2"/>
        <v>31840576</v>
      </c>
      <c r="AB145" s="44"/>
      <c r="AC145" s="44">
        <f t="shared" si="3"/>
        <v>52588843</v>
      </c>
    </row>
    <row r="146" spans="1:29" s="47" customFormat="1" ht="12.75" customHeight="1">
      <c r="A146" s="47" t="s">
        <v>170</v>
      </c>
      <c r="C146" s="47" t="s">
        <v>171</v>
      </c>
      <c r="E146" s="44">
        <v>345204</v>
      </c>
      <c r="F146" s="44"/>
      <c r="G146" s="44">
        <v>399330</v>
      </c>
      <c r="H146" s="44"/>
      <c r="I146" s="44">
        <v>0</v>
      </c>
      <c r="J146" s="44"/>
      <c r="K146" s="44">
        <v>2067594</v>
      </c>
      <c r="L146" s="44"/>
      <c r="M146" s="44">
        <v>2541689</v>
      </c>
      <c r="N146" s="44"/>
      <c r="O146" s="44">
        <v>1181137</v>
      </c>
      <c r="P146" s="44"/>
      <c r="Q146" s="44">
        <v>859203</v>
      </c>
      <c r="R146" s="44"/>
      <c r="S146" s="44">
        <v>94975</v>
      </c>
      <c r="T146" s="44"/>
      <c r="U146" s="44">
        <v>324999</v>
      </c>
      <c r="V146" s="44"/>
      <c r="W146" s="44">
        <v>188654</v>
      </c>
      <c r="X146" s="44"/>
      <c r="Y146" s="44">
        <v>0</v>
      </c>
      <c r="Z146" s="44"/>
      <c r="AA146" s="44">
        <f t="shared" si="2"/>
        <v>7258251</v>
      </c>
      <c r="AB146" s="44"/>
      <c r="AC146" s="44">
        <f t="shared" si="3"/>
        <v>8002785</v>
      </c>
    </row>
    <row r="147" spans="1:29" s="47" customFormat="1" ht="12.75" customHeight="1">
      <c r="A147" s="47" t="s">
        <v>172</v>
      </c>
      <c r="C147" s="47" t="s">
        <v>103</v>
      </c>
      <c r="E147" s="44">
        <v>1498283</v>
      </c>
      <c r="F147" s="44"/>
      <c r="G147" s="44">
        <v>752164</v>
      </c>
      <c r="H147" s="44"/>
      <c r="I147" s="44">
        <v>805223</v>
      </c>
      <c r="J147" s="44"/>
      <c r="K147" s="44">
        <v>2185091</v>
      </c>
      <c r="L147" s="44"/>
      <c r="M147" s="44">
        <v>5235563</v>
      </c>
      <c r="N147" s="44"/>
      <c r="O147" s="44">
        <v>1106724</v>
      </c>
      <c r="P147" s="44"/>
      <c r="Q147" s="44">
        <v>829847</v>
      </c>
      <c r="R147" s="44"/>
      <c r="S147" s="44">
        <v>674503</v>
      </c>
      <c r="T147" s="44"/>
      <c r="U147" s="44">
        <v>100218</v>
      </c>
      <c r="V147" s="44"/>
      <c r="W147" s="44">
        <v>22500</v>
      </c>
      <c r="X147" s="44"/>
      <c r="Y147" s="44">
        <v>0</v>
      </c>
      <c r="Z147" s="44"/>
      <c r="AA147" s="44">
        <f t="shared" si="2"/>
        <v>10154446</v>
      </c>
      <c r="AB147" s="44"/>
      <c r="AC147" s="44">
        <f t="shared" si="3"/>
        <v>13210116</v>
      </c>
    </row>
    <row r="148" spans="1:29" s="47" customFormat="1" ht="12.75" customHeight="1">
      <c r="A148" s="47" t="s">
        <v>66</v>
      </c>
      <c r="C148" s="47" t="s">
        <v>45</v>
      </c>
      <c r="E148" s="44">
        <v>926166</v>
      </c>
      <c r="F148" s="44"/>
      <c r="G148" s="44">
        <v>528796</v>
      </c>
      <c r="H148" s="44"/>
      <c r="I148" s="44">
        <v>0</v>
      </c>
      <c r="J148" s="44"/>
      <c r="K148" s="44">
        <v>4675342</v>
      </c>
      <c r="L148" s="44"/>
      <c r="M148" s="44">
        <v>6744149</v>
      </c>
      <c r="N148" s="44"/>
      <c r="O148" s="44">
        <v>614607</v>
      </c>
      <c r="P148" s="44"/>
      <c r="Q148" s="44">
        <v>0</v>
      </c>
      <c r="R148" s="44"/>
      <c r="S148" s="44">
        <v>1350943</v>
      </c>
      <c r="T148" s="44"/>
      <c r="U148" s="44">
        <v>1101530</v>
      </c>
      <c r="V148" s="44"/>
      <c r="W148" s="44">
        <v>0</v>
      </c>
      <c r="X148" s="44"/>
      <c r="Y148" s="44">
        <v>0</v>
      </c>
      <c r="Z148" s="44"/>
      <c r="AA148" s="44">
        <f>SUM(K148:Y148)</f>
        <v>14486571</v>
      </c>
      <c r="AB148" s="44"/>
      <c r="AC148" s="44">
        <f t="shared" si="3"/>
        <v>15941533</v>
      </c>
    </row>
    <row r="149" spans="1:29" s="47" customFormat="1" ht="12.75" customHeight="1">
      <c r="A149" s="47" t="s">
        <v>173</v>
      </c>
      <c r="C149" s="47" t="s">
        <v>66</v>
      </c>
      <c r="E149" s="44">
        <v>1216247</v>
      </c>
      <c r="F149" s="44"/>
      <c r="G149" s="44">
        <v>382115</v>
      </c>
      <c r="H149" s="44"/>
      <c r="I149" s="44">
        <v>808618</v>
      </c>
      <c r="J149" s="44"/>
      <c r="K149" s="44">
        <v>759409</v>
      </c>
      <c r="L149" s="44"/>
      <c r="M149" s="44">
        <v>19617652</v>
      </c>
      <c r="N149" s="44"/>
      <c r="O149" s="44">
        <v>81527</v>
      </c>
      <c r="P149" s="44"/>
      <c r="Q149" s="44">
        <v>870654</v>
      </c>
      <c r="R149" s="44"/>
      <c r="S149" s="44">
        <v>1220862</v>
      </c>
      <c r="T149" s="44"/>
      <c r="U149" s="44">
        <v>233467</v>
      </c>
      <c r="V149" s="44"/>
      <c r="W149" s="44">
        <v>0</v>
      </c>
      <c r="X149" s="44"/>
      <c r="Y149" s="44">
        <v>67200</v>
      </c>
      <c r="Z149" s="44"/>
      <c r="AA149" s="44">
        <f t="shared" ref="AA149:AA215" si="4">SUM(K149:Y149)</f>
        <v>22850771</v>
      </c>
      <c r="AB149" s="44"/>
      <c r="AC149" s="44">
        <f t="shared" ref="AC149:AC215" si="5">SUM(E149:Y149)</f>
        <v>25257751</v>
      </c>
    </row>
    <row r="150" spans="1:29" s="47" customFormat="1" ht="12.75" customHeight="1">
      <c r="A150" s="47" t="s">
        <v>174</v>
      </c>
      <c r="C150" s="47" t="s">
        <v>45</v>
      </c>
      <c r="E150" s="44">
        <v>670831</v>
      </c>
      <c r="F150" s="44"/>
      <c r="G150" s="44">
        <v>311210</v>
      </c>
      <c r="H150" s="44"/>
      <c r="I150" s="44">
        <v>82112</v>
      </c>
      <c r="J150" s="44"/>
      <c r="K150" s="44">
        <v>903762</v>
      </c>
      <c r="L150" s="44"/>
      <c r="M150" s="44">
        <v>1488640</v>
      </c>
      <c r="N150" s="44"/>
      <c r="O150" s="44">
        <v>60150</v>
      </c>
      <c r="P150" s="44"/>
      <c r="Q150" s="44">
        <v>325889</v>
      </c>
      <c r="R150" s="44"/>
      <c r="S150" s="44">
        <v>26033</v>
      </c>
      <c r="T150" s="44"/>
      <c r="U150" s="44">
        <v>117925</v>
      </c>
      <c r="V150" s="44"/>
      <c r="W150" s="44">
        <v>0</v>
      </c>
      <c r="X150" s="44"/>
      <c r="Y150" s="44">
        <v>0</v>
      </c>
      <c r="Z150" s="44"/>
      <c r="AA150" s="44">
        <f t="shared" si="4"/>
        <v>2922399</v>
      </c>
      <c r="AB150" s="44"/>
      <c r="AC150" s="44">
        <f t="shared" si="5"/>
        <v>3986552</v>
      </c>
    </row>
    <row r="151" spans="1:29" s="47" customFormat="1" ht="12.75" customHeight="1">
      <c r="A151" s="47" t="s">
        <v>175</v>
      </c>
      <c r="C151" s="47" t="s">
        <v>176</v>
      </c>
      <c r="E151" s="44">
        <v>2188774</v>
      </c>
      <c r="F151" s="44"/>
      <c r="G151" s="44">
        <v>871919</v>
      </c>
      <c r="H151" s="44"/>
      <c r="I151" s="44">
        <v>1508148</v>
      </c>
      <c r="J151" s="44"/>
      <c r="K151" s="44">
        <v>1977356</v>
      </c>
      <c r="L151" s="44"/>
      <c r="M151" s="44">
        <v>9260355</v>
      </c>
      <c r="N151" s="44"/>
      <c r="O151" s="44">
        <v>106968</v>
      </c>
      <c r="P151" s="44"/>
      <c r="Q151" s="44">
        <v>1057943</v>
      </c>
      <c r="R151" s="44"/>
      <c r="S151" s="44">
        <v>675429</v>
      </c>
      <c r="T151" s="44"/>
      <c r="U151" s="44">
        <v>177197</v>
      </c>
      <c r="V151" s="44"/>
      <c r="W151" s="44">
        <v>0</v>
      </c>
      <c r="X151" s="44"/>
      <c r="Y151" s="44">
        <v>0</v>
      </c>
      <c r="Z151" s="44"/>
      <c r="AA151" s="44">
        <f t="shared" si="4"/>
        <v>13255248</v>
      </c>
      <c r="AB151" s="44"/>
      <c r="AC151" s="44">
        <f t="shared" si="5"/>
        <v>17824089</v>
      </c>
    </row>
    <row r="152" spans="1:29" s="47" customFormat="1" ht="12.75" customHeight="1">
      <c r="A152" s="47" t="s">
        <v>177</v>
      </c>
      <c r="C152" s="47" t="s">
        <v>13</v>
      </c>
      <c r="E152" s="44">
        <v>159313</v>
      </c>
      <c r="F152" s="44"/>
      <c r="G152" s="44">
        <v>284502</v>
      </c>
      <c r="H152" s="44"/>
      <c r="I152" s="44">
        <v>0</v>
      </c>
      <c r="J152" s="44"/>
      <c r="K152" s="44">
        <v>775780</v>
      </c>
      <c r="L152" s="44"/>
      <c r="M152" s="44">
        <v>1206572</v>
      </c>
      <c r="N152" s="44"/>
      <c r="O152" s="44">
        <v>0</v>
      </c>
      <c r="P152" s="44"/>
      <c r="Q152" s="44">
        <v>502935</v>
      </c>
      <c r="R152" s="44"/>
      <c r="S152" s="44">
        <v>292467</v>
      </c>
      <c r="T152" s="44"/>
      <c r="U152" s="44">
        <v>51167</v>
      </c>
      <c r="V152" s="44"/>
      <c r="W152" s="44">
        <v>0</v>
      </c>
      <c r="X152" s="44"/>
      <c r="Y152" s="44">
        <v>0</v>
      </c>
      <c r="Z152" s="44"/>
      <c r="AA152" s="44">
        <f t="shared" si="4"/>
        <v>2828921</v>
      </c>
      <c r="AB152" s="44"/>
      <c r="AC152" s="44">
        <f t="shared" si="5"/>
        <v>3272736</v>
      </c>
    </row>
    <row r="153" spans="1:29" s="47" customFormat="1" ht="12.75" customHeight="1">
      <c r="A153" s="47" t="s">
        <v>178</v>
      </c>
      <c r="C153" s="47" t="s">
        <v>179</v>
      </c>
      <c r="E153" s="44">
        <v>1492936</v>
      </c>
      <c r="F153" s="44"/>
      <c r="G153" s="44">
        <v>1067046</v>
      </c>
      <c r="H153" s="44"/>
      <c r="I153" s="44">
        <v>258787</v>
      </c>
      <c r="J153" s="44"/>
      <c r="K153" s="44">
        <v>662906</v>
      </c>
      <c r="L153" s="44"/>
      <c r="M153" s="44">
        <v>2503814</v>
      </c>
      <c r="N153" s="44"/>
      <c r="O153" s="44">
        <v>555353</v>
      </c>
      <c r="P153" s="44"/>
      <c r="Q153" s="44">
        <v>208113</v>
      </c>
      <c r="R153" s="44"/>
      <c r="S153" s="44">
        <v>598440</v>
      </c>
      <c r="T153" s="44"/>
      <c r="U153" s="44">
        <v>459416</v>
      </c>
      <c r="V153" s="44"/>
      <c r="W153" s="44">
        <v>220000</v>
      </c>
      <c r="X153" s="44"/>
      <c r="Y153" s="44">
        <v>0</v>
      </c>
      <c r="Z153" s="44"/>
      <c r="AA153" s="44">
        <f t="shared" si="4"/>
        <v>5208042</v>
      </c>
      <c r="AB153" s="44"/>
      <c r="AC153" s="44">
        <f t="shared" si="5"/>
        <v>8026811</v>
      </c>
    </row>
    <row r="154" spans="1:29" s="138" customFormat="1" ht="12.75" hidden="1" customHeight="1">
      <c r="A154" s="138" t="s">
        <v>180</v>
      </c>
      <c r="C154" s="138" t="s">
        <v>20</v>
      </c>
      <c r="E154" s="137">
        <v>0</v>
      </c>
      <c r="F154" s="137"/>
      <c r="G154" s="137">
        <v>0</v>
      </c>
      <c r="H154" s="137"/>
      <c r="I154" s="137">
        <v>0</v>
      </c>
      <c r="J154" s="137"/>
      <c r="K154" s="137">
        <v>0</v>
      </c>
      <c r="L154" s="137"/>
      <c r="M154" s="137">
        <v>0</v>
      </c>
      <c r="N154" s="137"/>
      <c r="O154" s="137">
        <v>0</v>
      </c>
      <c r="P154" s="137"/>
      <c r="Q154" s="137">
        <v>0</v>
      </c>
      <c r="R154" s="137"/>
      <c r="S154" s="137">
        <v>0</v>
      </c>
      <c r="T154" s="137"/>
      <c r="U154" s="137">
        <v>0</v>
      </c>
      <c r="V154" s="137"/>
      <c r="W154" s="137">
        <v>0</v>
      </c>
      <c r="X154" s="137"/>
      <c r="Y154" s="137">
        <v>0</v>
      </c>
      <c r="Z154" s="137"/>
      <c r="AA154" s="137">
        <f t="shared" si="4"/>
        <v>0</v>
      </c>
      <c r="AB154" s="137"/>
      <c r="AC154" s="137">
        <f t="shared" si="5"/>
        <v>0</v>
      </c>
    </row>
    <row r="155" spans="1:29" s="47" customFormat="1" ht="12.75" customHeight="1">
      <c r="A155" s="47" t="s">
        <v>182</v>
      </c>
      <c r="C155" s="47" t="s">
        <v>183</v>
      </c>
      <c r="E155" s="44">
        <v>732656</v>
      </c>
      <c r="F155" s="44"/>
      <c r="G155" s="44">
        <v>383856</v>
      </c>
      <c r="H155" s="44"/>
      <c r="I155" s="44">
        <v>63423</v>
      </c>
      <c r="J155" s="44"/>
      <c r="K155" s="44">
        <v>612984</v>
      </c>
      <c r="L155" s="44"/>
      <c r="M155" s="44">
        <v>995153</v>
      </c>
      <c r="N155" s="44"/>
      <c r="O155" s="44">
        <v>49844</v>
      </c>
      <c r="P155" s="44"/>
      <c r="Q155" s="44">
        <v>96073</v>
      </c>
      <c r="R155" s="44"/>
      <c r="S155" s="44">
        <v>0</v>
      </c>
      <c r="T155" s="44"/>
      <c r="U155" s="44">
        <v>50730</v>
      </c>
      <c r="V155" s="44"/>
      <c r="W155" s="44">
        <v>-73279</v>
      </c>
      <c r="X155" s="44"/>
      <c r="Y155" s="44">
        <v>0</v>
      </c>
      <c r="Z155" s="44"/>
      <c r="AA155" s="44">
        <f t="shared" si="4"/>
        <v>1731505</v>
      </c>
      <c r="AB155" s="44"/>
      <c r="AC155" s="44">
        <f t="shared" si="5"/>
        <v>2911440</v>
      </c>
    </row>
    <row r="156" spans="1:29" s="47" customFormat="1" ht="12.75" customHeight="1">
      <c r="A156" s="47" t="s">
        <v>491</v>
      </c>
      <c r="C156" s="47" t="s">
        <v>13</v>
      </c>
      <c r="E156" s="44">
        <v>407231</v>
      </c>
      <c r="F156" s="44"/>
      <c r="G156" s="44">
        <v>1112178</v>
      </c>
      <c r="H156" s="44"/>
      <c r="I156" s="44">
        <v>0</v>
      </c>
      <c r="J156" s="44"/>
      <c r="K156" s="44">
        <v>2813334</v>
      </c>
      <c r="L156" s="44"/>
      <c r="M156" s="44">
        <v>877115</v>
      </c>
      <c r="N156" s="44"/>
      <c r="O156" s="44">
        <v>0</v>
      </c>
      <c r="P156" s="44"/>
      <c r="Q156" s="44">
        <v>1329213</v>
      </c>
      <c r="R156" s="44"/>
      <c r="S156" s="44">
        <v>131461</v>
      </c>
      <c r="T156" s="44"/>
      <c r="U156" s="44">
        <v>18038</v>
      </c>
      <c r="V156" s="44"/>
      <c r="W156" s="44">
        <v>0</v>
      </c>
      <c r="X156" s="44"/>
      <c r="Y156" s="44">
        <v>800</v>
      </c>
      <c r="Z156" s="44"/>
      <c r="AA156" s="44">
        <f>SUM(K156:Y156)</f>
        <v>5169961</v>
      </c>
      <c r="AB156" s="44"/>
      <c r="AC156" s="44">
        <f>SUM(E156:Y156)</f>
        <v>6689370</v>
      </c>
    </row>
    <row r="157" spans="1:29" s="47" customFormat="1" ht="12.75" customHeight="1">
      <c r="A157" s="47" t="s">
        <v>184</v>
      </c>
      <c r="C157" s="47" t="s">
        <v>89</v>
      </c>
      <c r="E157" s="44">
        <v>2991186</v>
      </c>
      <c r="F157" s="44"/>
      <c r="G157" s="44">
        <v>960168</v>
      </c>
      <c r="H157" s="44"/>
      <c r="I157" s="44">
        <v>2293940</v>
      </c>
      <c r="J157" s="44"/>
      <c r="K157" s="44">
        <v>1814322</v>
      </c>
      <c r="L157" s="44"/>
      <c r="M157" s="44">
        <v>6637993</v>
      </c>
      <c r="N157" s="44"/>
      <c r="O157" s="44">
        <v>0</v>
      </c>
      <c r="P157" s="44"/>
      <c r="Q157" s="44">
        <v>1365994</v>
      </c>
      <c r="R157" s="44"/>
      <c r="S157" s="44">
        <v>378341</v>
      </c>
      <c r="T157" s="44"/>
      <c r="U157" s="44">
        <v>141372</v>
      </c>
      <c r="V157" s="44"/>
      <c r="W157" s="44">
        <v>-728500</v>
      </c>
      <c r="X157" s="44"/>
      <c r="Y157" s="44">
        <v>0</v>
      </c>
      <c r="Z157" s="44"/>
      <c r="AA157" s="44">
        <f t="shared" si="4"/>
        <v>9609522</v>
      </c>
      <c r="AB157" s="44"/>
      <c r="AC157" s="44">
        <f t="shared" si="5"/>
        <v>15854816</v>
      </c>
    </row>
    <row r="158" spans="1:29" s="47" customFormat="1" ht="12.75" customHeight="1">
      <c r="A158" s="47" t="s">
        <v>181</v>
      </c>
      <c r="C158" s="47" t="s">
        <v>125</v>
      </c>
      <c r="E158" s="44">
        <v>5098038</v>
      </c>
      <c r="F158" s="44"/>
      <c r="G158" s="44">
        <v>6773027</v>
      </c>
      <c r="H158" s="44"/>
      <c r="I158" s="44">
        <v>490142</v>
      </c>
      <c r="J158" s="44"/>
      <c r="K158" s="44">
        <v>3048521</v>
      </c>
      <c r="L158" s="44"/>
      <c r="M158" s="44">
        <v>20312181</v>
      </c>
      <c r="N158" s="44"/>
      <c r="O158" s="44">
        <v>433007</v>
      </c>
      <c r="P158" s="44"/>
      <c r="Q158" s="44">
        <v>3794607</v>
      </c>
      <c r="R158" s="44"/>
      <c r="S158" s="44">
        <v>1077750</v>
      </c>
      <c r="T158" s="44"/>
      <c r="U158" s="44">
        <v>751758</v>
      </c>
      <c r="V158" s="44"/>
      <c r="W158" s="44">
        <v>834314</v>
      </c>
      <c r="X158" s="44"/>
      <c r="Y158" s="44">
        <v>0</v>
      </c>
      <c r="Z158" s="44"/>
      <c r="AA158" s="44">
        <f t="shared" si="4"/>
        <v>30252138</v>
      </c>
      <c r="AB158" s="44"/>
      <c r="AC158" s="44">
        <f t="shared" si="5"/>
        <v>42613345</v>
      </c>
    </row>
    <row r="159" spans="1:29" s="47" customFormat="1" ht="12.75" customHeight="1">
      <c r="A159" s="47" t="s">
        <v>185</v>
      </c>
      <c r="C159" s="47" t="s">
        <v>80</v>
      </c>
      <c r="E159" s="44">
        <v>1897395</v>
      </c>
      <c r="F159" s="44"/>
      <c r="G159" s="44">
        <v>2229605</v>
      </c>
      <c r="H159" s="44"/>
      <c r="I159" s="44">
        <v>310629</v>
      </c>
      <c r="J159" s="44"/>
      <c r="K159" s="44">
        <v>6044045</v>
      </c>
      <c r="L159" s="44"/>
      <c r="M159" s="44">
        <v>2155652</v>
      </c>
      <c r="N159" s="44"/>
      <c r="O159" s="44">
        <v>0</v>
      </c>
      <c r="P159" s="44"/>
      <c r="Q159" s="44">
        <v>906819</v>
      </c>
      <c r="R159" s="44"/>
      <c r="S159" s="44">
        <v>1462724</v>
      </c>
      <c r="T159" s="44"/>
      <c r="U159" s="44">
        <v>311238</v>
      </c>
      <c r="V159" s="44"/>
      <c r="W159" s="44">
        <v>-64738</v>
      </c>
      <c r="X159" s="44"/>
      <c r="Y159" s="44">
        <v>0</v>
      </c>
      <c r="Z159" s="44"/>
      <c r="AA159" s="44">
        <f t="shared" si="4"/>
        <v>10815740</v>
      </c>
      <c r="AB159" s="44"/>
      <c r="AC159" s="44">
        <f t="shared" si="5"/>
        <v>15253369</v>
      </c>
    </row>
    <row r="160" spans="1:29" s="47" customFormat="1" ht="12.75" customHeight="1">
      <c r="A160" s="47" t="s">
        <v>186</v>
      </c>
      <c r="C160" s="47" t="s">
        <v>15</v>
      </c>
      <c r="E160" s="44">
        <v>1061440</v>
      </c>
      <c r="F160" s="44"/>
      <c r="G160" s="44">
        <v>819115</v>
      </c>
      <c r="H160" s="44"/>
      <c r="I160" s="44">
        <v>1220785</v>
      </c>
      <c r="J160" s="44"/>
      <c r="K160" s="44">
        <v>1791123</v>
      </c>
      <c r="L160" s="44"/>
      <c r="M160" s="44">
        <v>5845710</v>
      </c>
      <c r="N160" s="44"/>
      <c r="O160" s="44">
        <v>0</v>
      </c>
      <c r="P160" s="44"/>
      <c r="Q160" s="44">
        <v>2199383</v>
      </c>
      <c r="R160" s="44"/>
      <c r="S160" s="44">
        <v>606217</v>
      </c>
      <c r="T160" s="44"/>
      <c r="U160" s="44">
        <v>33134</v>
      </c>
      <c r="V160" s="44"/>
      <c r="W160" s="44">
        <v>38634</v>
      </c>
      <c r="X160" s="44"/>
      <c r="Y160" s="44">
        <v>82873</v>
      </c>
      <c r="Z160" s="44"/>
      <c r="AA160" s="44">
        <f t="shared" si="4"/>
        <v>10597074</v>
      </c>
      <c r="AB160" s="44"/>
      <c r="AC160" s="44">
        <f t="shared" si="5"/>
        <v>13698414</v>
      </c>
    </row>
    <row r="161" spans="1:30" s="44" customFormat="1" ht="12.75" customHeight="1">
      <c r="A161" s="44" t="s">
        <v>187</v>
      </c>
      <c r="C161" s="44" t="s">
        <v>27</v>
      </c>
      <c r="E161" s="44">
        <v>3723093</v>
      </c>
      <c r="G161" s="44">
        <v>1966707</v>
      </c>
      <c r="I161" s="44">
        <v>1198671</v>
      </c>
      <c r="K161" s="44">
        <v>11396531</v>
      </c>
      <c r="M161" s="44">
        <v>13014677</v>
      </c>
      <c r="O161" s="44">
        <v>0</v>
      </c>
      <c r="Q161" s="44">
        <v>3492684</v>
      </c>
      <c r="S161" s="44">
        <v>1029342</v>
      </c>
      <c r="U161" s="44">
        <v>95844</v>
      </c>
      <c r="W161" s="44">
        <v>-328082</v>
      </c>
      <c r="Y161" s="44">
        <v>0</v>
      </c>
      <c r="AA161" s="44">
        <f t="shared" si="4"/>
        <v>28700996</v>
      </c>
      <c r="AC161" s="44">
        <f t="shared" si="5"/>
        <v>35589467</v>
      </c>
    </row>
    <row r="162" spans="1:30" s="47" customFormat="1" ht="12.75" customHeight="1">
      <c r="A162" s="47" t="s">
        <v>189</v>
      </c>
      <c r="C162" s="47" t="s">
        <v>17</v>
      </c>
      <c r="E162" s="44">
        <v>4331285</v>
      </c>
      <c r="F162" s="44"/>
      <c r="G162" s="44">
        <v>2741773</v>
      </c>
      <c r="H162" s="44"/>
      <c r="I162" s="44">
        <v>5512773</v>
      </c>
      <c r="J162" s="44"/>
      <c r="K162" s="44">
        <v>5428764</v>
      </c>
      <c r="L162" s="44"/>
      <c r="M162" s="44">
        <v>7414000</v>
      </c>
      <c r="N162" s="44"/>
      <c r="O162" s="44">
        <v>0</v>
      </c>
      <c r="P162" s="44"/>
      <c r="Q162" s="44">
        <v>1370833</v>
      </c>
      <c r="R162" s="44"/>
      <c r="S162" s="44">
        <v>606740</v>
      </c>
      <c r="T162" s="44"/>
      <c r="U162" s="44">
        <v>271058</v>
      </c>
      <c r="V162" s="44"/>
      <c r="W162" s="44">
        <v>0</v>
      </c>
      <c r="X162" s="44"/>
      <c r="Y162" s="44">
        <v>0</v>
      </c>
      <c r="Z162" s="44"/>
      <c r="AA162" s="44">
        <f t="shared" si="4"/>
        <v>15091395</v>
      </c>
      <c r="AB162" s="44"/>
      <c r="AC162" s="44">
        <f t="shared" si="5"/>
        <v>27677226</v>
      </c>
    </row>
    <row r="163" spans="1:30" s="47" customFormat="1" ht="12.75" customHeight="1">
      <c r="A163" s="47" t="s">
        <v>188</v>
      </c>
      <c r="C163" s="47" t="s">
        <v>27</v>
      </c>
      <c r="E163" s="44">
        <v>3015627</v>
      </c>
      <c r="F163" s="44"/>
      <c r="G163" s="44">
        <v>2536279</v>
      </c>
      <c r="H163" s="44"/>
      <c r="I163" s="44">
        <v>6341535</v>
      </c>
      <c r="J163" s="44"/>
      <c r="K163" s="44">
        <v>5223532</v>
      </c>
      <c r="L163" s="44"/>
      <c r="M163" s="44">
        <v>11838916</v>
      </c>
      <c r="N163" s="44"/>
      <c r="O163" s="44">
        <v>4568</v>
      </c>
      <c r="P163" s="44"/>
      <c r="Q163" s="44">
        <v>1450616</v>
      </c>
      <c r="R163" s="44"/>
      <c r="S163" s="44">
        <v>964886</v>
      </c>
      <c r="T163" s="44"/>
      <c r="U163" s="44">
        <v>577384</v>
      </c>
      <c r="V163" s="44"/>
      <c r="W163" s="44">
        <v>25500</v>
      </c>
      <c r="X163" s="44"/>
      <c r="Y163" s="44">
        <v>-318472</v>
      </c>
      <c r="Z163" s="44"/>
      <c r="AA163" s="44">
        <f t="shared" si="4"/>
        <v>19766930</v>
      </c>
      <c r="AB163" s="44"/>
      <c r="AC163" s="44">
        <f>SUM(E163:Y163)</f>
        <v>31660371</v>
      </c>
    </row>
    <row r="164" spans="1:30" s="47" customFormat="1" ht="12.75" customHeight="1">
      <c r="A164" s="47" t="s">
        <v>190</v>
      </c>
      <c r="C164" s="47" t="s">
        <v>47</v>
      </c>
      <c r="E164" s="44">
        <v>1186809</v>
      </c>
      <c r="F164" s="44"/>
      <c r="G164" s="44">
        <v>810546</v>
      </c>
      <c r="H164" s="44"/>
      <c r="I164" s="44">
        <v>96445</v>
      </c>
      <c r="J164" s="44"/>
      <c r="K164" s="44">
        <v>349006</v>
      </c>
      <c r="L164" s="44"/>
      <c r="M164" s="44">
        <v>4378660</v>
      </c>
      <c r="N164" s="44"/>
      <c r="O164" s="44">
        <v>61285</v>
      </c>
      <c r="P164" s="44"/>
      <c r="Q164" s="44">
        <v>1156122</v>
      </c>
      <c r="R164" s="44"/>
      <c r="S164" s="44">
        <v>217168</v>
      </c>
      <c r="T164" s="44"/>
      <c r="U164" s="44">
        <v>68091</v>
      </c>
      <c r="V164" s="44"/>
      <c r="W164" s="44">
        <v>0</v>
      </c>
      <c r="X164" s="44"/>
      <c r="Y164" s="44">
        <v>0</v>
      </c>
      <c r="Z164" s="44"/>
      <c r="AA164" s="44">
        <f t="shared" si="4"/>
        <v>6230332</v>
      </c>
      <c r="AB164" s="44"/>
      <c r="AC164" s="44">
        <f t="shared" si="5"/>
        <v>8324132</v>
      </c>
    </row>
    <row r="165" spans="1:30" s="47" customFormat="1" ht="12.75" customHeight="1">
      <c r="A165" s="47" t="s">
        <v>191</v>
      </c>
      <c r="C165" s="47" t="s">
        <v>13</v>
      </c>
      <c r="E165" s="44">
        <v>1001453</v>
      </c>
      <c r="F165" s="44"/>
      <c r="G165" s="44">
        <v>1156709</v>
      </c>
      <c r="H165" s="44"/>
      <c r="I165" s="44">
        <v>186548</v>
      </c>
      <c r="J165" s="44"/>
      <c r="K165" s="44">
        <v>1254294</v>
      </c>
      <c r="L165" s="44"/>
      <c r="M165" s="44">
        <v>3713719</v>
      </c>
      <c r="N165" s="44"/>
      <c r="O165" s="44">
        <v>0</v>
      </c>
      <c r="P165" s="44"/>
      <c r="Q165" s="44">
        <v>953675</v>
      </c>
      <c r="R165" s="44"/>
      <c r="S165" s="44">
        <v>282650</v>
      </c>
      <c r="T165" s="44"/>
      <c r="U165" s="44">
        <v>3113877</v>
      </c>
      <c r="V165" s="44"/>
      <c r="W165" s="44">
        <v>0</v>
      </c>
      <c r="X165" s="44"/>
      <c r="Y165" s="44">
        <v>0</v>
      </c>
      <c r="Z165" s="44"/>
      <c r="AA165" s="44">
        <f t="shared" si="4"/>
        <v>9318215</v>
      </c>
      <c r="AB165" s="44"/>
      <c r="AC165" s="44">
        <f t="shared" si="5"/>
        <v>11662925</v>
      </c>
    </row>
    <row r="166" spans="1:30" s="47" customFormat="1" ht="12.75" customHeight="1">
      <c r="A166" s="47" t="s">
        <v>192</v>
      </c>
      <c r="C166" s="47" t="s">
        <v>38</v>
      </c>
      <c r="E166" s="44">
        <v>2022489</v>
      </c>
      <c r="F166" s="44"/>
      <c r="G166" s="44">
        <v>745291</v>
      </c>
      <c r="H166" s="44"/>
      <c r="I166" s="44">
        <v>201107</v>
      </c>
      <c r="J166" s="44"/>
      <c r="K166" s="44">
        <v>1572829</v>
      </c>
      <c r="L166" s="44"/>
      <c r="M166" s="44">
        <v>5377081</v>
      </c>
      <c r="N166" s="44"/>
      <c r="O166" s="44">
        <v>0</v>
      </c>
      <c r="P166" s="44"/>
      <c r="Q166" s="44">
        <v>1952760</v>
      </c>
      <c r="R166" s="44"/>
      <c r="S166" s="44">
        <v>884490</v>
      </c>
      <c r="T166" s="44"/>
      <c r="U166" s="44">
        <v>107130</v>
      </c>
      <c r="V166" s="44"/>
      <c r="W166" s="44">
        <v>0</v>
      </c>
      <c r="X166" s="44"/>
      <c r="Y166" s="44">
        <v>0</v>
      </c>
      <c r="Z166" s="44"/>
      <c r="AA166" s="44">
        <f t="shared" si="4"/>
        <v>9894290</v>
      </c>
      <c r="AB166" s="44"/>
      <c r="AC166" s="44">
        <f t="shared" si="5"/>
        <v>12863177</v>
      </c>
    </row>
    <row r="167" spans="1:30" s="138" customFormat="1" ht="12.75" hidden="1" customHeight="1">
      <c r="A167" s="138" t="s">
        <v>193</v>
      </c>
      <c r="C167" s="138" t="s">
        <v>45</v>
      </c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>
        <f t="shared" si="4"/>
        <v>0</v>
      </c>
      <c r="AB167" s="137"/>
      <c r="AC167" s="137">
        <f t="shared" si="5"/>
        <v>0</v>
      </c>
      <c r="AD167" s="137"/>
    </row>
    <row r="168" spans="1:30" s="47" customFormat="1" ht="12.75" customHeight="1">
      <c r="A168" s="47" t="s">
        <v>194</v>
      </c>
      <c r="C168" s="47" t="s">
        <v>66</v>
      </c>
      <c r="E168" s="44">
        <v>1386797</v>
      </c>
      <c r="F168" s="44"/>
      <c r="G168" s="44">
        <v>53829</v>
      </c>
      <c r="H168" s="44"/>
      <c r="I168" s="44">
        <v>150000</v>
      </c>
      <c r="J168" s="44"/>
      <c r="K168" s="44">
        <v>1891090</v>
      </c>
      <c r="L168" s="44"/>
      <c r="M168" s="44">
        <v>5631264</v>
      </c>
      <c r="N168" s="44"/>
      <c r="O168" s="44">
        <v>0</v>
      </c>
      <c r="P168" s="44"/>
      <c r="Q168" s="44">
        <v>11087402</v>
      </c>
      <c r="R168" s="44"/>
      <c r="S168" s="44">
        <v>1370750</v>
      </c>
      <c r="T168" s="44"/>
      <c r="U168" s="44">
        <v>282986</v>
      </c>
      <c r="V168" s="44"/>
      <c r="W168" s="44">
        <v>0</v>
      </c>
      <c r="X168" s="44"/>
      <c r="Y168" s="44">
        <v>0</v>
      </c>
      <c r="Z168" s="44"/>
      <c r="AA168" s="44">
        <f t="shared" si="4"/>
        <v>20263492</v>
      </c>
      <c r="AB168" s="44"/>
      <c r="AC168" s="44">
        <f t="shared" si="5"/>
        <v>21854118</v>
      </c>
    </row>
    <row r="169" spans="1:30" s="47" customFormat="1" ht="12.75" customHeight="1">
      <c r="A169" s="47" t="s">
        <v>195</v>
      </c>
      <c r="C169" s="47" t="s">
        <v>17</v>
      </c>
      <c r="E169" s="44">
        <v>1497523</v>
      </c>
      <c r="F169" s="44"/>
      <c r="G169" s="44">
        <v>1104836</v>
      </c>
      <c r="H169" s="44"/>
      <c r="I169" s="44">
        <v>30623</v>
      </c>
      <c r="J169" s="44"/>
      <c r="K169" s="44">
        <v>835652</v>
      </c>
      <c r="L169" s="44"/>
      <c r="M169" s="44">
        <v>4965833</v>
      </c>
      <c r="N169" s="44"/>
      <c r="O169" s="44">
        <v>0</v>
      </c>
      <c r="P169" s="44"/>
      <c r="Q169" s="44">
        <v>1356608</v>
      </c>
      <c r="R169" s="44"/>
      <c r="S169" s="44">
        <v>1248161</v>
      </c>
      <c r="T169" s="44"/>
      <c r="U169" s="44">
        <v>912299</v>
      </c>
      <c r="V169" s="44"/>
      <c r="W169" s="44">
        <v>106368</v>
      </c>
      <c r="X169" s="44"/>
      <c r="Y169" s="44">
        <v>0</v>
      </c>
      <c r="Z169" s="44"/>
      <c r="AA169" s="44">
        <f t="shared" si="4"/>
        <v>9424921</v>
      </c>
      <c r="AB169" s="44"/>
      <c r="AC169" s="44">
        <f>SUM(E169:Y169)</f>
        <v>12057903</v>
      </c>
    </row>
    <row r="170" spans="1:30" s="138" customFormat="1" ht="12.75" hidden="1" customHeight="1">
      <c r="A170" s="137" t="s">
        <v>196</v>
      </c>
      <c r="C170" s="137" t="s">
        <v>27</v>
      </c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>
        <f t="shared" si="4"/>
        <v>0</v>
      </c>
      <c r="AB170" s="137"/>
      <c r="AC170" s="137">
        <f t="shared" si="5"/>
        <v>0</v>
      </c>
    </row>
    <row r="171" spans="1:30" s="138" customFormat="1" ht="12.75" hidden="1" customHeight="1">
      <c r="A171" s="137" t="s">
        <v>402</v>
      </c>
      <c r="C171" s="137" t="s">
        <v>153</v>
      </c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>
        <f t="shared" si="4"/>
        <v>0</v>
      </c>
      <c r="AB171" s="137"/>
      <c r="AC171" s="137">
        <f t="shared" si="5"/>
        <v>0</v>
      </c>
    </row>
    <row r="172" spans="1:30" s="47" customFormat="1" ht="12.75" customHeight="1">
      <c r="A172" s="47" t="s">
        <v>197</v>
      </c>
      <c r="C172" s="47" t="s">
        <v>163</v>
      </c>
      <c r="E172" s="44">
        <v>2537251</v>
      </c>
      <c r="F172" s="44"/>
      <c r="G172" s="44">
        <v>1700169</v>
      </c>
      <c r="H172" s="44"/>
      <c r="I172" s="44">
        <v>1652633</v>
      </c>
      <c r="J172" s="44"/>
      <c r="K172" s="44">
        <v>1636769</v>
      </c>
      <c r="L172" s="44"/>
      <c r="M172" s="44">
        <v>17949153</v>
      </c>
      <c r="N172" s="44"/>
      <c r="O172" s="44">
        <v>0</v>
      </c>
      <c r="P172" s="44"/>
      <c r="Q172" s="44">
        <v>2987149</v>
      </c>
      <c r="R172" s="44"/>
      <c r="S172" s="44">
        <v>1589541</v>
      </c>
      <c r="T172" s="44"/>
      <c r="U172" s="44">
        <v>365890</v>
      </c>
      <c r="V172" s="44"/>
      <c r="W172" s="44">
        <v>1117603</v>
      </c>
      <c r="X172" s="44"/>
      <c r="Y172" s="44">
        <v>0</v>
      </c>
      <c r="Z172" s="44"/>
      <c r="AA172" s="44">
        <f>SUM(K172:Y172)</f>
        <v>25646105</v>
      </c>
      <c r="AB172" s="44"/>
      <c r="AC172" s="44">
        <f>SUM(E172:Y172)</f>
        <v>31536158</v>
      </c>
    </row>
    <row r="173" spans="1:30" s="47" customFormat="1" ht="12.75" customHeight="1">
      <c r="A173" s="47" t="s">
        <v>198</v>
      </c>
      <c r="C173" s="47" t="s">
        <v>199</v>
      </c>
      <c r="E173" s="44">
        <v>699547</v>
      </c>
      <c r="F173" s="44"/>
      <c r="G173" s="44">
        <v>673322</v>
      </c>
      <c r="H173" s="44"/>
      <c r="I173" s="44">
        <v>850713</v>
      </c>
      <c r="J173" s="44"/>
      <c r="K173" s="44">
        <v>485053</v>
      </c>
      <c r="L173" s="44"/>
      <c r="M173" s="44">
        <v>4680654</v>
      </c>
      <c r="N173" s="44"/>
      <c r="O173" s="44">
        <v>897363</v>
      </c>
      <c r="P173" s="44"/>
      <c r="Q173" s="44">
        <v>514543</v>
      </c>
      <c r="R173" s="44"/>
      <c r="S173" s="44">
        <v>236379</v>
      </c>
      <c r="T173" s="44"/>
      <c r="U173" s="44">
        <v>88388</v>
      </c>
      <c r="V173" s="44"/>
      <c r="W173" s="44">
        <v>-897363</v>
      </c>
      <c r="X173" s="44"/>
      <c r="Y173" s="44">
        <v>0</v>
      </c>
      <c r="Z173" s="44"/>
      <c r="AA173" s="44">
        <f t="shared" si="4"/>
        <v>6005017</v>
      </c>
      <c r="AB173" s="44"/>
      <c r="AC173" s="44">
        <f>SUM(E173:Y173)</f>
        <v>8228599</v>
      </c>
    </row>
    <row r="174" spans="1:30" s="47" customFormat="1" ht="12.75" customHeight="1">
      <c r="A174" s="47" t="s">
        <v>200</v>
      </c>
      <c r="C174" s="47" t="s">
        <v>103</v>
      </c>
      <c r="E174" s="44">
        <v>1891774</v>
      </c>
      <c r="F174" s="44"/>
      <c r="G174" s="44">
        <v>821813</v>
      </c>
      <c r="H174" s="44"/>
      <c r="I174" s="44">
        <v>2854914</v>
      </c>
      <c r="J174" s="44"/>
      <c r="K174" s="44">
        <v>1159315</v>
      </c>
      <c r="L174" s="44"/>
      <c r="M174" s="44">
        <v>6786737</v>
      </c>
      <c r="N174" s="44"/>
      <c r="O174" s="44">
        <v>0</v>
      </c>
      <c r="P174" s="44"/>
      <c r="Q174" s="44">
        <v>1255664</v>
      </c>
      <c r="R174" s="44"/>
      <c r="S174" s="44">
        <v>799987</v>
      </c>
      <c r="T174" s="44"/>
      <c r="U174" s="44">
        <v>73570</v>
      </c>
      <c r="V174" s="44"/>
      <c r="W174" s="44">
        <v>-86500</v>
      </c>
      <c r="X174" s="44"/>
      <c r="Y174" s="44">
        <v>0</v>
      </c>
      <c r="Z174" s="44"/>
      <c r="AA174" s="44">
        <f t="shared" si="4"/>
        <v>9988773</v>
      </c>
      <c r="AB174" s="44"/>
      <c r="AC174" s="44">
        <f t="shared" si="5"/>
        <v>15557274</v>
      </c>
    </row>
    <row r="175" spans="1:30" s="47" customFormat="1" ht="12.75" customHeight="1">
      <c r="A175" s="47" t="s">
        <v>201</v>
      </c>
      <c r="C175" s="47" t="s">
        <v>92</v>
      </c>
      <c r="E175" s="44">
        <v>2517650</v>
      </c>
      <c r="F175" s="44"/>
      <c r="G175" s="44">
        <v>876146</v>
      </c>
      <c r="H175" s="44"/>
      <c r="I175" s="44">
        <v>2856316</v>
      </c>
      <c r="J175" s="44"/>
      <c r="K175" s="44">
        <v>896215</v>
      </c>
      <c r="L175" s="44"/>
      <c r="M175" s="44">
        <v>7962098</v>
      </c>
      <c r="N175" s="44"/>
      <c r="O175" s="44">
        <v>8056</v>
      </c>
      <c r="P175" s="44"/>
      <c r="Q175" s="44">
        <v>1802287</v>
      </c>
      <c r="R175" s="44"/>
      <c r="S175" s="44">
        <v>1943609</v>
      </c>
      <c r="T175" s="44"/>
      <c r="U175" s="44">
        <v>811248</v>
      </c>
      <c r="V175" s="44"/>
      <c r="W175" s="44">
        <v>743005</v>
      </c>
      <c r="X175" s="44"/>
      <c r="Y175" s="44">
        <v>0</v>
      </c>
      <c r="Z175" s="44"/>
      <c r="AA175" s="44">
        <f t="shared" si="4"/>
        <v>14166518</v>
      </c>
      <c r="AB175" s="44"/>
      <c r="AC175" s="44">
        <f t="shared" si="5"/>
        <v>20416630</v>
      </c>
    </row>
    <row r="176" spans="1:30" s="47" customFormat="1" ht="12.75" customHeight="1">
      <c r="A176" s="47" t="s">
        <v>202</v>
      </c>
      <c r="C176" s="47" t="s">
        <v>27</v>
      </c>
      <c r="E176" s="44">
        <v>7044330</v>
      </c>
      <c r="F176" s="44"/>
      <c r="G176" s="44">
        <v>10863310</v>
      </c>
      <c r="H176" s="44"/>
      <c r="I176" s="44">
        <v>2395000</v>
      </c>
      <c r="J176" s="44"/>
      <c r="K176" s="44">
        <v>10753002</v>
      </c>
      <c r="L176" s="44"/>
      <c r="M176" s="44">
        <v>35118380</v>
      </c>
      <c r="N176" s="44"/>
      <c r="O176" s="44">
        <v>0</v>
      </c>
      <c r="P176" s="44"/>
      <c r="Q176" s="44">
        <v>8027169</v>
      </c>
      <c r="R176" s="44"/>
      <c r="S176" s="44">
        <v>1215915</v>
      </c>
      <c r="T176" s="44"/>
      <c r="U176" s="44">
        <v>1173422</v>
      </c>
      <c r="V176" s="44"/>
      <c r="W176" s="44">
        <v>0</v>
      </c>
      <c r="X176" s="44"/>
      <c r="Y176" s="44">
        <v>0</v>
      </c>
      <c r="Z176" s="44"/>
      <c r="AA176" s="44">
        <f t="shared" si="4"/>
        <v>56287888</v>
      </c>
      <c r="AB176" s="44"/>
      <c r="AC176" s="44">
        <f t="shared" si="5"/>
        <v>76590528</v>
      </c>
    </row>
    <row r="177" spans="1:29" s="47" customFormat="1" ht="12.75" customHeight="1">
      <c r="A177" s="47" t="s">
        <v>203</v>
      </c>
      <c r="C177" s="47" t="s">
        <v>27</v>
      </c>
      <c r="E177" s="44">
        <v>7044330</v>
      </c>
      <c r="F177" s="44"/>
      <c r="G177" s="44">
        <v>10863310</v>
      </c>
      <c r="H177" s="44"/>
      <c r="I177" s="44">
        <v>2395000</v>
      </c>
      <c r="J177" s="44"/>
      <c r="K177" s="44">
        <v>10753002</v>
      </c>
      <c r="L177" s="44"/>
      <c r="M177" s="44">
        <v>35118380</v>
      </c>
      <c r="N177" s="44"/>
      <c r="O177" s="44">
        <v>0</v>
      </c>
      <c r="P177" s="44"/>
      <c r="Q177" s="44">
        <v>8027169</v>
      </c>
      <c r="R177" s="44"/>
      <c r="S177" s="44">
        <v>1215915</v>
      </c>
      <c r="T177" s="44"/>
      <c r="U177" s="44">
        <v>1173422</v>
      </c>
      <c r="V177" s="44"/>
      <c r="W177" s="44">
        <v>0</v>
      </c>
      <c r="X177" s="44"/>
      <c r="Y177" s="44">
        <v>0</v>
      </c>
      <c r="Z177" s="44"/>
      <c r="AA177" s="44">
        <f t="shared" si="4"/>
        <v>56287888</v>
      </c>
      <c r="AB177" s="44"/>
      <c r="AC177" s="44">
        <f t="shared" si="5"/>
        <v>76590528</v>
      </c>
    </row>
    <row r="178" spans="1:29" s="47" customFormat="1" ht="12.75" customHeight="1">
      <c r="A178" s="47" t="s">
        <v>204</v>
      </c>
      <c r="C178" s="47" t="s">
        <v>125</v>
      </c>
      <c r="E178" s="44">
        <v>573083</v>
      </c>
      <c r="F178" s="44"/>
      <c r="G178" s="44">
        <v>1045407</v>
      </c>
      <c r="H178" s="44"/>
      <c r="I178" s="44">
        <v>268038</v>
      </c>
      <c r="J178" s="44"/>
      <c r="K178" s="44">
        <v>2139892</v>
      </c>
      <c r="L178" s="44"/>
      <c r="M178" s="44">
        <v>0</v>
      </c>
      <c r="N178" s="44"/>
      <c r="O178" s="44">
        <v>0</v>
      </c>
      <c r="P178" s="44"/>
      <c r="Q178" s="44">
        <v>455723</v>
      </c>
      <c r="R178" s="44"/>
      <c r="S178" s="44">
        <v>114274</v>
      </c>
      <c r="T178" s="44"/>
      <c r="U178" s="44">
        <v>175770</v>
      </c>
      <c r="V178" s="44"/>
      <c r="W178" s="44">
        <v>0</v>
      </c>
      <c r="X178" s="44"/>
      <c r="Y178" s="44">
        <v>0</v>
      </c>
      <c r="Z178" s="44"/>
      <c r="AA178" s="44">
        <f t="shared" si="4"/>
        <v>2885659</v>
      </c>
      <c r="AB178" s="44"/>
      <c r="AC178" s="44">
        <f t="shared" si="5"/>
        <v>4772187</v>
      </c>
    </row>
    <row r="179" spans="1:29" s="47" customFormat="1" ht="12.75" customHeight="1">
      <c r="A179" s="47" t="s">
        <v>205</v>
      </c>
      <c r="C179" s="47" t="s">
        <v>27</v>
      </c>
      <c r="E179" s="44">
        <v>472373</v>
      </c>
      <c r="F179" s="44"/>
      <c r="G179" s="44">
        <v>343822</v>
      </c>
      <c r="H179" s="44"/>
      <c r="I179" s="44">
        <v>78426</v>
      </c>
      <c r="J179" s="44"/>
      <c r="K179" s="44">
        <v>3628608</v>
      </c>
      <c r="L179" s="44"/>
      <c r="M179" s="44">
        <v>4147619</v>
      </c>
      <c r="N179" s="44"/>
      <c r="O179" s="44">
        <v>2643985</v>
      </c>
      <c r="P179" s="44"/>
      <c r="Q179" s="44">
        <v>565844</v>
      </c>
      <c r="R179" s="44"/>
      <c r="S179" s="44">
        <v>667345</v>
      </c>
      <c r="T179" s="44"/>
      <c r="U179" s="44">
        <v>142824</v>
      </c>
      <c r="V179" s="44"/>
      <c r="W179" s="44">
        <v>0</v>
      </c>
      <c r="X179" s="44"/>
      <c r="Y179" s="44">
        <v>0</v>
      </c>
      <c r="Z179" s="44"/>
      <c r="AA179" s="44">
        <f t="shared" si="4"/>
        <v>11796225</v>
      </c>
      <c r="AB179" s="44"/>
      <c r="AC179" s="44">
        <f>SUM(E179:Y179)</f>
        <v>12690846</v>
      </c>
    </row>
    <row r="180" spans="1:29" s="47" customFormat="1" ht="12.75" customHeight="1">
      <c r="A180" s="47" t="s">
        <v>206</v>
      </c>
      <c r="C180" s="47" t="s">
        <v>47</v>
      </c>
      <c r="E180" s="44">
        <v>1791412</v>
      </c>
      <c r="F180" s="44"/>
      <c r="G180" s="44">
        <v>1376161</v>
      </c>
      <c r="H180" s="44"/>
      <c r="I180" s="44">
        <v>85656</v>
      </c>
      <c r="J180" s="44"/>
      <c r="K180" s="44">
        <v>3025581</v>
      </c>
      <c r="L180" s="44"/>
      <c r="M180" s="44">
        <v>13348762</v>
      </c>
      <c r="N180" s="44"/>
      <c r="O180" s="44">
        <v>0</v>
      </c>
      <c r="P180" s="44"/>
      <c r="Q180" s="44">
        <v>1247470</v>
      </c>
      <c r="R180" s="44"/>
      <c r="S180" s="44">
        <v>155418</v>
      </c>
      <c r="T180" s="44"/>
      <c r="U180" s="44">
        <v>54396</v>
      </c>
      <c r="V180" s="44"/>
      <c r="W180" s="44">
        <v>-181038</v>
      </c>
      <c r="X180" s="44"/>
      <c r="Y180" s="44">
        <v>0</v>
      </c>
      <c r="Z180" s="44"/>
      <c r="AA180" s="44">
        <f t="shared" si="4"/>
        <v>17650589</v>
      </c>
      <c r="AB180" s="44"/>
      <c r="AC180" s="44">
        <f t="shared" si="5"/>
        <v>20903818</v>
      </c>
    </row>
    <row r="181" spans="1:29" s="47" customFormat="1" ht="12.75" customHeight="1">
      <c r="A181" s="47" t="s">
        <v>207</v>
      </c>
      <c r="C181" s="47" t="s">
        <v>102</v>
      </c>
      <c r="E181" s="44">
        <v>1192731</v>
      </c>
      <c r="F181" s="44"/>
      <c r="G181" s="44">
        <v>851458</v>
      </c>
      <c r="H181" s="44"/>
      <c r="I181" s="44">
        <v>542128</v>
      </c>
      <c r="J181" s="44"/>
      <c r="K181" s="44">
        <v>2280741</v>
      </c>
      <c r="L181" s="44"/>
      <c r="M181" s="44">
        <v>4156569</v>
      </c>
      <c r="N181" s="44"/>
      <c r="O181" s="44">
        <v>1312341</v>
      </c>
      <c r="P181" s="44"/>
      <c r="Q181" s="44">
        <v>551593</v>
      </c>
      <c r="R181" s="44"/>
      <c r="S181" s="44">
        <v>455624</v>
      </c>
      <c r="T181" s="44"/>
      <c r="U181" s="44">
        <v>137500</v>
      </c>
      <c r="V181" s="44"/>
      <c r="W181" s="44">
        <v>0</v>
      </c>
      <c r="X181" s="44"/>
      <c r="Y181" s="44">
        <v>0</v>
      </c>
      <c r="Z181" s="44"/>
      <c r="AA181" s="44">
        <f t="shared" si="4"/>
        <v>8894368</v>
      </c>
      <c r="AB181" s="44"/>
      <c r="AC181" s="44">
        <f t="shared" si="5"/>
        <v>11480685</v>
      </c>
    </row>
    <row r="182" spans="1:29" s="47" customFormat="1" ht="12.75" customHeight="1">
      <c r="A182" s="47" t="s">
        <v>208</v>
      </c>
      <c r="C182" s="47" t="s">
        <v>209</v>
      </c>
      <c r="E182" s="44">
        <v>1449072</v>
      </c>
      <c r="F182" s="44"/>
      <c r="G182" s="44">
        <v>2301314</v>
      </c>
      <c r="H182" s="44"/>
      <c r="I182" s="44">
        <v>3978896</v>
      </c>
      <c r="J182" s="44"/>
      <c r="K182" s="44">
        <v>1466214</v>
      </c>
      <c r="L182" s="44"/>
      <c r="M182" s="44">
        <v>8351952</v>
      </c>
      <c r="N182" s="44"/>
      <c r="O182" s="44">
        <v>3813396</v>
      </c>
      <c r="P182" s="44"/>
      <c r="Q182" s="44">
        <v>0</v>
      </c>
      <c r="R182" s="44"/>
      <c r="S182" s="44">
        <v>661171</v>
      </c>
      <c r="T182" s="44"/>
      <c r="U182" s="44">
        <v>18468</v>
      </c>
      <c r="V182" s="44"/>
      <c r="W182" s="44">
        <v>-199931</v>
      </c>
      <c r="X182" s="44"/>
      <c r="Y182" s="44">
        <v>0</v>
      </c>
      <c r="Z182" s="44"/>
      <c r="AA182" s="44">
        <f t="shared" si="4"/>
        <v>14111270</v>
      </c>
      <c r="AB182" s="44"/>
      <c r="AC182" s="44">
        <f t="shared" si="5"/>
        <v>21840552</v>
      </c>
    </row>
    <row r="183" spans="1:29" s="47" customFormat="1" ht="12.75" customHeight="1">
      <c r="A183" s="47" t="s">
        <v>210</v>
      </c>
      <c r="C183" s="47" t="s">
        <v>211</v>
      </c>
      <c r="E183" s="44">
        <v>267333</v>
      </c>
      <c r="F183" s="44"/>
      <c r="G183" s="44">
        <v>577210</v>
      </c>
      <c r="H183" s="44"/>
      <c r="I183" s="44">
        <v>0</v>
      </c>
      <c r="J183" s="44"/>
      <c r="K183" s="44">
        <v>435111</v>
      </c>
      <c r="L183" s="44"/>
      <c r="M183" s="44">
        <v>2182541</v>
      </c>
      <c r="N183" s="44"/>
      <c r="O183" s="44">
        <v>123142</v>
      </c>
      <c r="P183" s="44"/>
      <c r="Q183" s="44">
        <v>743030</v>
      </c>
      <c r="R183" s="44"/>
      <c r="S183" s="44">
        <v>172097</v>
      </c>
      <c r="T183" s="44"/>
      <c r="U183" s="44">
        <v>110799</v>
      </c>
      <c r="V183" s="44"/>
      <c r="W183" s="44">
        <v>112090</v>
      </c>
      <c r="X183" s="44"/>
      <c r="Y183" s="44">
        <v>0</v>
      </c>
      <c r="Z183" s="44"/>
      <c r="AA183" s="44">
        <f>SUM(K183:Y183)</f>
        <v>3878810</v>
      </c>
      <c r="AB183" s="44"/>
      <c r="AC183" s="44">
        <f>SUM(E183:Y183)</f>
        <v>4723353</v>
      </c>
    </row>
    <row r="184" spans="1:29" s="47" customFormat="1" ht="12.75" customHeight="1">
      <c r="A184" s="47" t="s">
        <v>212</v>
      </c>
      <c r="C184" s="47" t="s">
        <v>213</v>
      </c>
      <c r="E184" s="44">
        <v>2216037</v>
      </c>
      <c r="F184" s="44"/>
      <c r="G184" s="44">
        <v>3388057</v>
      </c>
      <c r="H184" s="44"/>
      <c r="I184" s="44">
        <v>0</v>
      </c>
      <c r="J184" s="44"/>
      <c r="K184" s="44">
        <v>2238460</v>
      </c>
      <c r="L184" s="44"/>
      <c r="M184" s="44">
        <v>6349696</v>
      </c>
      <c r="N184" s="44"/>
      <c r="O184" s="44">
        <v>266330</v>
      </c>
      <c r="P184" s="44"/>
      <c r="Q184" s="44">
        <v>2037424</v>
      </c>
      <c r="R184" s="44"/>
      <c r="S184" s="44">
        <v>341030</v>
      </c>
      <c r="T184" s="44"/>
      <c r="U184" s="44">
        <v>204325</v>
      </c>
      <c r="V184" s="44"/>
      <c r="W184" s="44">
        <v>-150000</v>
      </c>
      <c r="X184" s="44"/>
      <c r="Y184" s="44">
        <v>0</v>
      </c>
      <c r="Z184" s="44"/>
      <c r="AA184" s="44">
        <f>SUM(K184:Y184)</f>
        <v>11287265</v>
      </c>
      <c r="AB184" s="44"/>
      <c r="AC184" s="44">
        <f>SUM(E184:Y184)</f>
        <v>16891359</v>
      </c>
    </row>
    <row r="185" spans="1:29" s="47" customFormat="1" ht="12.75" customHeight="1">
      <c r="A185" s="47" t="s">
        <v>214</v>
      </c>
      <c r="C185" s="47" t="s">
        <v>86</v>
      </c>
      <c r="E185" s="44">
        <v>1967966</v>
      </c>
      <c r="F185" s="44"/>
      <c r="G185" s="44">
        <v>211786</v>
      </c>
      <c r="H185" s="44"/>
      <c r="I185" s="44">
        <v>805595</v>
      </c>
      <c r="J185" s="44"/>
      <c r="K185" s="44">
        <v>1532329</v>
      </c>
      <c r="L185" s="44"/>
      <c r="M185" s="44">
        <v>3480691</v>
      </c>
      <c r="N185" s="44"/>
      <c r="O185" s="44">
        <v>42485</v>
      </c>
      <c r="P185" s="44"/>
      <c r="Q185" s="44">
        <v>730945</v>
      </c>
      <c r="R185" s="44"/>
      <c r="S185" s="44">
        <v>527353</v>
      </c>
      <c r="T185" s="44"/>
      <c r="U185" s="44">
        <v>198835</v>
      </c>
      <c r="V185" s="44"/>
      <c r="W185" s="44">
        <v>0</v>
      </c>
      <c r="X185" s="44"/>
      <c r="Y185" s="44">
        <v>0</v>
      </c>
      <c r="Z185" s="44"/>
      <c r="AA185" s="44">
        <f t="shared" si="4"/>
        <v>6512638</v>
      </c>
      <c r="AB185" s="44"/>
      <c r="AC185" s="44">
        <f t="shared" si="5"/>
        <v>9497985</v>
      </c>
    </row>
    <row r="186" spans="1:29" s="47" customFormat="1" ht="12.75" customHeight="1">
      <c r="A186" s="47" t="s">
        <v>215</v>
      </c>
      <c r="C186" s="47" t="s">
        <v>22</v>
      </c>
      <c r="E186" s="44">
        <v>1584863</v>
      </c>
      <c r="F186" s="44"/>
      <c r="G186" s="44">
        <v>1069645</v>
      </c>
      <c r="H186" s="44"/>
      <c r="I186" s="44">
        <v>147457</v>
      </c>
      <c r="J186" s="44"/>
      <c r="K186" s="44">
        <v>771490</v>
      </c>
      <c r="L186" s="44"/>
      <c r="M186" s="44">
        <v>7342058</v>
      </c>
      <c r="N186" s="44"/>
      <c r="O186" s="44">
        <v>0</v>
      </c>
      <c r="P186" s="44"/>
      <c r="Q186" s="44">
        <v>1529291</v>
      </c>
      <c r="R186" s="44"/>
      <c r="S186" s="44">
        <v>551057</v>
      </c>
      <c r="T186" s="44"/>
      <c r="U186" s="44">
        <v>171109</v>
      </c>
      <c r="V186" s="44"/>
      <c r="W186" s="44">
        <v>-816782</v>
      </c>
      <c r="X186" s="44"/>
      <c r="Y186" s="44">
        <v>48326</v>
      </c>
      <c r="Z186" s="44"/>
      <c r="AA186" s="44">
        <f t="shared" si="4"/>
        <v>9596549</v>
      </c>
      <c r="AB186" s="44"/>
      <c r="AC186" s="44">
        <f t="shared" si="5"/>
        <v>12398514</v>
      </c>
    </row>
    <row r="187" spans="1:29" s="47" customFormat="1" ht="12.75" customHeight="1">
      <c r="A187" s="47" t="s">
        <v>216</v>
      </c>
      <c r="C187" s="47" t="s">
        <v>45</v>
      </c>
      <c r="E187" s="44">
        <v>1240778</v>
      </c>
      <c r="F187" s="44"/>
      <c r="G187" s="44">
        <v>951630</v>
      </c>
      <c r="H187" s="44"/>
      <c r="I187" s="44">
        <v>730854</v>
      </c>
      <c r="J187" s="44"/>
      <c r="K187" s="44">
        <v>297941</v>
      </c>
      <c r="L187" s="44"/>
      <c r="M187" s="44">
        <v>7119920</v>
      </c>
      <c r="N187" s="44"/>
      <c r="O187" s="44">
        <v>0</v>
      </c>
      <c r="P187" s="44"/>
      <c r="Q187" s="44">
        <v>522496</v>
      </c>
      <c r="R187" s="44"/>
      <c r="S187" s="44">
        <v>198487</v>
      </c>
      <c r="T187" s="44"/>
      <c r="U187" s="44">
        <v>213563</v>
      </c>
      <c r="V187" s="44"/>
      <c r="W187" s="44">
        <v>0</v>
      </c>
      <c r="X187" s="44"/>
      <c r="Y187" s="44">
        <v>0</v>
      </c>
      <c r="Z187" s="44"/>
      <c r="AA187" s="44">
        <f t="shared" si="4"/>
        <v>8352407</v>
      </c>
      <c r="AB187" s="44"/>
      <c r="AC187" s="44">
        <f t="shared" si="5"/>
        <v>11275669</v>
      </c>
    </row>
    <row r="188" spans="1:29" s="47" customFormat="1" ht="12.75" customHeight="1">
      <c r="A188" s="47" t="s">
        <v>217</v>
      </c>
      <c r="C188" s="47" t="s">
        <v>43</v>
      </c>
      <c r="E188" s="44">
        <v>1512061</v>
      </c>
      <c r="F188" s="44"/>
      <c r="G188" s="44">
        <v>1797593</v>
      </c>
      <c r="H188" s="44"/>
      <c r="I188" s="44">
        <v>1683442</v>
      </c>
      <c r="J188" s="44"/>
      <c r="K188" s="44">
        <v>1762630</v>
      </c>
      <c r="L188" s="44"/>
      <c r="M188" s="44">
        <v>9272146</v>
      </c>
      <c r="N188" s="44"/>
      <c r="O188" s="44">
        <v>455794</v>
      </c>
      <c r="P188" s="44"/>
      <c r="Q188" s="44">
        <v>1905440</v>
      </c>
      <c r="R188" s="44"/>
      <c r="S188" s="44">
        <v>1380242</v>
      </c>
      <c r="T188" s="44"/>
      <c r="U188" s="44">
        <v>189313</v>
      </c>
      <c r="V188" s="44"/>
      <c r="W188" s="44">
        <v>0</v>
      </c>
      <c r="X188" s="44"/>
      <c r="Y188" s="44">
        <v>0</v>
      </c>
      <c r="Z188" s="44"/>
      <c r="AA188" s="44">
        <f t="shared" si="4"/>
        <v>14965565</v>
      </c>
      <c r="AB188" s="44"/>
      <c r="AC188" s="44">
        <f t="shared" si="5"/>
        <v>19958661</v>
      </c>
    </row>
    <row r="189" spans="1:29" s="47" customFormat="1" ht="12.75" hidden="1" customHeight="1">
      <c r="A189" s="47" t="s">
        <v>218</v>
      </c>
      <c r="C189" s="47" t="s">
        <v>27</v>
      </c>
      <c r="E189" s="44">
        <v>1082120</v>
      </c>
      <c r="F189" s="44"/>
      <c r="G189" s="44">
        <v>49166</v>
      </c>
      <c r="H189" s="44"/>
      <c r="I189" s="44">
        <v>0</v>
      </c>
      <c r="J189" s="44"/>
      <c r="K189" s="44">
        <v>6475592</v>
      </c>
      <c r="L189" s="44"/>
      <c r="M189" s="44">
        <v>4598338</v>
      </c>
      <c r="N189" s="44"/>
      <c r="O189" s="44">
        <v>0</v>
      </c>
      <c r="P189" s="44"/>
      <c r="Q189" s="44">
        <v>2019560</v>
      </c>
      <c r="R189" s="44"/>
      <c r="S189" s="44">
        <v>158550</v>
      </c>
      <c r="T189" s="44"/>
      <c r="U189" s="44">
        <v>214858</v>
      </c>
      <c r="V189" s="44"/>
      <c r="W189" s="44">
        <v>0</v>
      </c>
      <c r="X189" s="44"/>
      <c r="Y189" s="44">
        <v>0</v>
      </c>
      <c r="Z189" s="44"/>
      <c r="AA189" s="44">
        <f>SUM(K189:Y189)</f>
        <v>13466898</v>
      </c>
      <c r="AB189" s="44"/>
      <c r="AC189" s="44">
        <f t="shared" si="5"/>
        <v>14598184</v>
      </c>
    </row>
    <row r="190" spans="1:29" s="47" customFormat="1" ht="12.75" customHeight="1">
      <c r="A190" s="47" t="s">
        <v>219</v>
      </c>
      <c r="C190" s="47" t="s">
        <v>199</v>
      </c>
      <c r="E190" s="44">
        <v>1073882</v>
      </c>
      <c r="F190" s="44"/>
      <c r="G190" s="44">
        <v>634999</v>
      </c>
      <c r="H190" s="44"/>
      <c r="I190" s="44">
        <v>1500</v>
      </c>
      <c r="J190" s="44"/>
      <c r="K190" s="44">
        <v>692368</v>
      </c>
      <c r="L190" s="44"/>
      <c r="M190" s="44">
        <v>1005133</v>
      </c>
      <c r="N190" s="44"/>
      <c r="O190" s="44">
        <v>0</v>
      </c>
      <c r="P190" s="44"/>
      <c r="Q190" s="44">
        <v>555353</v>
      </c>
      <c r="R190" s="44"/>
      <c r="S190" s="44">
        <v>193290</v>
      </c>
      <c r="T190" s="44"/>
      <c r="U190" s="44">
        <v>95288</v>
      </c>
      <c r="V190" s="44"/>
      <c r="W190" s="44">
        <v>0</v>
      </c>
      <c r="X190" s="44"/>
      <c r="Y190" s="44">
        <v>0</v>
      </c>
      <c r="Z190" s="44"/>
      <c r="AA190" s="44">
        <f t="shared" si="4"/>
        <v>2541432</v>
      </c>
      <c r="AB190" s="44"/>
      <c r="AC190" s="44">
        <f t="shared" si="5"/>
        <v>4251813</v>
      </c>
    </row>
    <row r="191" spans="1:29" s="47" customFormat="1" ht="12.75" customHeight="1">
      <c r="A191" s="47" t="s">
        <v>220</v>
      </c>
      <c r="C191" s="47" t="s">
        <v>66</v>
      </c>
      <c r="E191" s="44">
        <v>2011070</v>
      </c>
      <c r="F191" s="44"/>
      <c r="G191" s="44">
        <v>1405124</v>
      </c>
      <c r="H191" s="44"/>
      <c r="I191" s="44">
        <v>1287898</v>
      </c>
      <c r="J191" s="44"/>
      <c r="K191" s="44">
        <v>2358177</v>
      </c>
      <c r="L191" s="44"/>
      <c r="M191" s="44">
        <v>5776774</v>
      </c>
      <c r="N191" s="44"/>
      <c r="O191" s="44">
        <v>253860</v>
      </c>
      <c r="P191" s="44"/>
      <c r="Q191" s="44">
        <v>713044</v>
      </c>
      <c r="R191" s="44"/>
      <c r="S191" s="44">
        <v>381022</v>
      </c>
      <c r="T191" s="44"/>
      <c r="U191" s="44">
        <v>97069</v>
      </c>
      <c r="V191" s="44"/>
      <c r="W191" s="44">
        <v>0</v>
      </c>
      <c r="X191" s="44"/>
      <c r="Y191" s="44">
        <v>0</v>
      </c>
      <c r="Z191" s="44"/>
      <c r="AA191" s="44">
        <f>SUM(K191:Y191)</f>
        <v>9579946</v>
      </c>
      <c r="AB191" s="44"/>
      <c r="AC191" s="44">
        <f>SUM(E191:Y191)</f>
        <v>14284038</v>
      </c>
    </row>
    <row r="192" spans="1:29" s="47" customFormat="1" ht="12.75" customHeight="1">
      <c r="A192" s="47" t="s">
        <v>221</v>
      </c>
      <c r="C192" s="47" t="s">
        <v>27</v>
      </c>
      <c r="E192" s="44">
        <v>5418461</v>
      </c>
      <c r="F192" s="44"/>
      <c r="G192" s="44">
        <v>764968</v>
      </c>
      <c r="H192" s="44"/>
      <c r="I192" s="44">
        <v>938200</v>
      </c>
      <c r="J192" s="44"/>
      <c r="K192" s="44">
        <v>7901382</v>
      </c>
      <c r="L192" s="44"/>
      <c r="M192" s="44">
        <v>9084152</v>
      </c>
      <c r="N192" s="44"/>
      <c r="O192" s="44">
        <v>0</v>
      </c>
      <c r="P192" s="44"/>
      <c r="Q192" s="44">
        <v>3045253</v>
      </c>
      <c r="R192" s="44"/>
      <c r="S192" s="44">
        <v>1110881</v>
      </c>
      <c r="T192" s="44"/>
      <c r="U192" s="44">
        <v>407662</v>
      </c>
      <c r="V192" s="44"/>
      <c r="W192" s="44">
        <v>0</v>
      </c>
      <c r="X192" s="44"/>
      <c r="Y192" s="44">
        <v>0</v>
      </c>
      <c r="Z192" s="44"/>
      <c r="AA192" s="44">
        <f>SUM(K192:Y192)</f>
        <v>21549330</v>
      </c>
      <c r="AB192" s="44"/>
      <c r="AC192" s="44">
        <f>SUM(E192:Y192)</f>
        <v>28670959</v>
      </c>
    </row>
    <row r="193" spans="1:29" s="47" customFormat="1" ht="12.75" customHeight="1">
      <c r="A193" s="47" t="s">
        <v>222</v>
      </c>
      <c r="C193" s="47" t="s">
        <v>47</v>
      </c>
      <c r="E193" s="44">
        <v>584326</v>
      </c>
      <c r="F193" s="44"/>
      <c r="G193" s="44">
        <v>347339</v>
      </c>
      <c r="H193" s="44"/>
      <c r="I193" s="44">
        <v>0</v>
      </c>
      <c r="J193" s="44"/>
      <c r="K193" s="44">
        <v>1628799</v>
      </c>
      <c r="L193" s="44"/>
      <c r="M193" s="44">
        <v>2717337</v>
      </c>
      <c r="N193" s="44"/>
      <c r="O193" s="44">
        <v>242835</v>
      </c>
      <c r="P193" s="44"/>
      <c r="Q193" s="44">
        <v>873410</v>
      </c>
      <c r="R193" s="44"/>
      <c r="S193" s="44">
        <v>264433</v>
      </c>
      <c r="T193" s="44"/>
      <c r="U193" s="44">
        <v>1738</v>
      </c>
      <c r="V193" s="44"/>
      <c r="W193" s="44">
        <v>-133000</v>
      </c>
      <c r="X193" s="44"/>
      <c r="Y193" s="44">
        <v>0</v>
      </c>
      <c r="Z193" s="44"/>
      <c r="AA193" s="44">
        <f t="shared" si="4"/>
        <v>5595552</v>
      </c>
      <c r="AB193" s="44"/>
      <c r="AC193" s="44">
        <f t="shared" si="5"/>
        <v>6527217</v>
      </c>
    </row>
    <row r="194" spans="1:29" s="47" customFormat="1" ht="12.75" customHeight="1">
      <c r="A194" s="47" t="s">
        <v>223</v>
      </c>
      <c r="C194" s="47" t="s">
        <v>94</v>
      </c>
      <c r="E194" s="44">
        <v>177900</v>
      </c>
      <c r="F194" s="44"/>
      <c r="G194" s="44">
        <v>746100</v>
      </c>
      <c r="H194" s="44"/>
      <c r="I194" s="44">
        <v>0</v>
      </c>
      <c r="J194" s="44"/>
      <c r="K194" s="44">
        <v>1233259</v>
      </c>
      <c r="L194" s="44"/>
      <c r="M194" s="44">
        <v>4005682</v>
      </c>
      <c r="N194" s="44"/>
      <c r="O194" s="44">
        <v>66338</v>
      </c>
      <c r="P194" s="44"/>
      <c r="Q194" s="44">
        <v>508737</v>
      </c>
      <c r="R194" s="44"/>
      <c r="S194" s="44">
        <v>829319</v>
      </c>
      <c r="T194" s="44"/>
      <c r="U194" s="44">
        <v>109586</v>
      </c>
      <c r="V194" s="44"/>
      <c r="W194" s="44">
        <v>-915036</v>
      </c>
      <c r="X194" s="44"/>
      <c r="Y194" s="44">
        <v>0</v>
      </c>
      <c r="Z194" s="44"/>
      <c r="AA194" s="44">
        <f t="shared" si="4"/>
        <v>5837885</v>
      </c>
      <c r="AB194" s="44"/>
      <c r="AC194" s="44">
        <f t="shared" si="5"/>
        <v>6761885</v>
      </c>
    </row>
    <row r="195" spans="1:29" s="47" customFormat="1" ht="12.75" customHeight="1">
      <c r="A195" s="47" t="s">
        <v>76</v>
      </c>
      <c r="C195" s="47" t="s">
        <v>132</v>
      </c>
      <c r="E195" s="44">
        <v>4920363</v>
      </c>
      <c r="F195" s="44"/>
      <c r="G195" s="44">
        <v>3541296</v>
      </c>
      <c r="H195" s="44"/>
      <c r="I195" s="44">
        <v>624767</v>
      </c>
      <c r="J195" s="44"/>
      <c r="K195" s="44">
        <v>2524299</v>
      </c>
      <c r="L195" s="44"/>
      <c r="M195" s="44">
        <v>6891325</v>
      </c>
      <c r="N195" s="44"/>
      <c r="O195" s="44">
        <v>4015569</v>
      </c>
      <c r="P195" s="44"/>
      <c r="Q195" s="44">
        <v>1958323</v>
      </c>
      <c r="R195" s="44"/>
      <c r="S195" s="44">
        <v>1541216</v>
      </c>
      <c r="T195" s="44"/>
      <c r="U195" s="44">
        <v>556074</v>
      </c>
      <c r="V195" s="44"/>
      <c r="W195" s="44">
        <v>506240</v>
      </c>
      <c r="X195" s="44"/>
      <c r="Y195" s="44">
        <v>0</v>
      </c>
      <c r="Z195" s="44"/>
      <c r="AA195" s="44">
        <f t="shared" si="4"/>
        <v>17993046</v>
      </c>
      <c r="AB195" s="44"/>
      <c r="AC195" s="44">
        <f t="shared" si="5"/>
        <v>27079472</v>
      </c>
    </row>
    <row r="196" spans="1:29" s="47" customFormat="1" ht="12.75" customHeight="1">
      <c r="A196" s="47" t="s">
        <v>224</v>
      </c>
      <c r="C196" s="47" t="s">
        <v>27</v>
      </c>
      <c r="E196" s="44">
        <v>1515117</v>
      </c>
      <c r="F196" s="44"/>
      <c r="G196" s="44">
        <v>7724</v>
      </c>
      <c r="H196" s="44"/>
      <c r="I196" s="44">
        <v>98815</v>
      </c>
      <c r="J196" s="44"/>
      <c r="K196" s="44">
        <v>3363528</v>
      </c>
      <c r="L196" s="44"/>
      <c r="M196" s="44">
        <v>4946649</v>
      </c>
      <c r="N196" s="44"/>
      <c r="O196" s="44">
        <v>0</v>
      </c>
      <c r="P196" s="44"/>
      <c r="Q196" s="44">
        <v>2247449</v>
      </c>
      <c r="R196" s="44"/>
      <c r="S196" s="44">
        <v>574946</v>
      </c>
      <c r="T196" s="44"/>
      <c r="U196" s="44">
        <v>0</v>
      </c>
      <c r="V196" s="44"/>
      <c r="W196" s="44">
        <v>0</v>
      </c>
      <c r="X196" s="44"/>
      <c r="Y196" s="44">
        <v>0</v>
      </c>
      <c r="Z196" s="44"/>
      <c r="AA196" s="44">
        <f t="shared" si="4"/>
        <v>11132572</v>
      </c>
      <c r="AB196" s="44"/>
      <c r="AC196" s="44">
        <f t="shared" si="5"/>
        <v>12754228</v>
      </c>
    </row>
    <row r="197" spans="1:29" s="47" customFormat="1" ht="12.75" customHeight="1">
      <c r="A197" s="47" t="s">
        <v>225</v>
      </c>
      <c r="C197" s="47" t="s">
        <v>27</v>
      </c>
      <c r="E197" s="44">
        <v>8782377</v>
      </c>
      <c r="F197" s="44"/>
      <c r="G197" s="44">
        <v>2362337</v>
      </c>
      <c r="H197" s="44"/>
      <c r="I197" s="44">
        <v>629110</v>
      </c>
      <c r="J197" s="44"/>
      <c r="K197" s="44">
        <f>8076866+521066+368332</f>
        <v>8966264</v>
      </c>
      <c r="L197" s="44"/>
      <c r="M197" s="44">
        <v>23020332</v>
      </c>
      <c r="N197" s="44"/>
      <c r="O197" s="44">
        <v>224344</v>
      </c>
      <c r="P197" s="44"/>
      <c r="Q197" s="44">
        <v>7752673</v>
      </c>
      <c r="R197" s="44"/>
      <c r="S197" s="44">
        <v>1963517</v>
      </c>
      <c r="T197" s="44"/>
      <c r="U197" s="44">
        <v>218240</v>
      </c>
      <c r="V197" s="44"/>
      <c r="W197" s="44">
        <v>0</v>
      </c>
      <c r="X197" s="44"/>
      <c r="Y197" s="44">
        <v>-1731108</v>
      </c>
      <c r="Z197" s="44"/>
      <c r="AA197" s="44">
        <f t="shared" si="4"/>
        <v>40414262</v>
      </c>
      <c r="AB197" s="44"/>
      <c r="AC197" s="44">
        <f t="shared" si="5"/>
        <v>52188086</v>
      </c>
    </row>
    <row r="198" spans="1:29" s="47" customFormat="1" ht="12.75" customHeight="1">
      <c r="A198" s="47" t="s">
        <v>226</v>
      </c>
      <c r="C198" s="47" t="s">
        <v>45</v>
      </c>
      <c r="E198" s="44">
        <v>1515949</v>
      </c>
      <c r="F198" s="44"/>
      <c r="G198" s="44">
        <v>1989130</v>
      </c>
      <c r="H198" s="44"/>
      <c r="I198" s="44">
        <v>130725</v>
      </c>
      <c r="J198" s="44"/>
      <c r="K198" s="44">
        <v>0</v>
      </c>
      <c r="L198" s="44"/>
      <c r="M198" s="44">
        <v>20141422</v>
      </c>
      <c r="N198" s="44"/>
      <c r="O198" s="44">
        <v>0</v>
      </c>
      <c r="P198" s="44"/>
      <c r="Q198" s="44">
        <v>1478133</v>
      </c>
      <c r="R198" s="44"/>
      <c r="S198" s="44">
        <v>727051</v>
      </c>
      <c r="T198" s="44"/>
      <c r="U198" s="44">
        <v>291470</v>
      </c>
      <c r="V198" s="44"/>
      <c r="W198" s="44">
        <v>0</v>
      </c>
      <c r="X198" s="44"/>
      <c r="Y198" s="44">
        <v>0</v>
      </c>
      <c r="Z198" s="44"/>
      <c r="AA198" s="44">
        <f t="shared" si="4"/>
        <v>22638076</v>
      </c>
      <c r="AB198" s="44"/>
      <c r="AC198" s="44">
        <f t="shared" si="5"/>
        <v>26273880</v>
      </c>
    </row>
    <row r="199" spans="1:29" s="47" customFormat="1" ht="12.75" customHeight="1">
      <c r="A199" s="47" t="s">
        <v>472</v>
      </c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8" t="s">
        <v>485</v>
      </c>
    </row>
    <row r="200" spans="1:29" s="46" customFormat="1" ht="12.75" customHeight="1">
      <c r="A200" s="46" t="s">
        <v>227</v>
      </c>
      <c r="C200" s="46" t="s">
        <v>17</v>
      </c>
      <c r="E200" s="46">
        <v>1108759</v>
      </c>
      <c r="G200" s="46">
        <v>80235</v>
      </c>
      <c r="I200" s="46">
        <v>536393</v>
      </c>
      <c r="K200" s="46">
        <v>1453681</v>
      </c>
      <c r="M200" s="46">
        <v>2746892</v>
      </c>
      <c r="O200" s="46">
        <v>0</v>
      </c>
      <c r="Q200" s="46">
        <v>1165151</v>
      </c>
      <c r="S200" s="46">
        <v>76331</v>
      </c>
      <c r="U200" s="46">
        <v>27928</v>
      </c>
      <c r="W200" s="46">
        <v>0</v>
      </c>
      <c r="Y200" s="46">
        <v>0</v>
      </c>
      <c r="AA200" s="46">
        <f t="shared" si="4"/>
        <v>5469983</v>
      </c>
      <c r="AC200" s="46">
        <f t="shared" si="5"/>
        <v>7195370</v>
      </c>
    </row>
    <row r="201" spans="1:29" s="47" customFormat="1" ht="12.75" customHeight="1">
      <c r="A201" s="47" t="s">
        <v>228</v>
      </c>
      <c r="C201" s="47" t="s">
        <v>153</v>
      </c>
      <c r="E201" s="44">
        <v>804969</v>
      </c>
      <c r="F201" s="44"/>
      <c r="G201" s="44">
        <v>2161976</v>
      </c>
      <c r="H201" s="44"/>
      <c r="I201" s="44">
        <v>174470</v>
      </c>
      <c r="J201" s="44"/>
      <c r="K201" s="44">
        <v>1185179</v>
      </c>
      <c r="L201" s="44"/>
      <c r="M201" s="44">
        <v>2763532</v>
      </c>
      <c r="N201" s="44"/>
      <c r="O201" s="44">
        <v>0</v>
      </c>
      <c r="P201" s="44"/>
      <c r="Q201" s="44">
        <v>946470</v>
      </c>
      <c r="R201" s="44"/>
      <c r="S201" s="44">
        <v>454395</v>
      </c>
      <c r="T201" s="44"/>
      <c r="U201" s="44">
        <v>86520</v>
      </c>
      <c r="V201" s="44"/>
      <c r="W201" s="44">
        <v>-265941</v>
      </c>
      <c r="X201" s="44"/>
      <c r="Y201" s="44">
        <v>160651</v>
      </c>
      <c r="Z201" s="44"/>
      <c r="AA201" s="44">
        <f t="shared" si="4"/>
        <v>5330806</v>
      </c>
      <c r="AB201" s="44"/>
      <c r="AC201" s="44">
        <f t="shared" si="5"/>
        <v>8472221</v>
      </c>
    </row>
    <row r="202" spans="1:29" s="47" customFormat="1" ht="12.75" customHeight="1">
      <c r="A202" s="47" t="s">
        <v>229</v>
      </c>
      <c r="C202" s="47" t="s">
        <v>228</v>
      </c>
      <c r="E202" s="44">
        <v>2369925</v>
      </c>
      <c r="F202" s="44"/>
      <c r="G202" s="44">
        <v>1379325</v>
      </c>
      <c r="H202" s="44"/>
      <c r="I202" s="44">
        <v>1657404</v>
      </c>
      <c r="J202" s="44"/>
      <c r="K202" s="44">
        <v>1481916</v>
      </c>
      <c r="L202" s="44"/>
      <c r="M202" s="44">
        <v>13417106</v>
      </c>
      <c r="N202" s="44"/>
      <c r="O202" s="44">
        <v>819030</v>
      </c>
      <c r="P202" s="44"/>
      <c r="Q202" s="44">
        <v>1251338</v>
      </c>
      <c r="R202" s="44"/>
      <c r="S202" s="44">
        <v>894963</v>
      </c>
      <c r="T202" s="44"/>
      <c r="U202" s="44">
        <v>573924</v>
      </c>
      <c r="V202" s="44"/>
      <c r="W202" s="44">
        <v>-555572</v>
      </c>
      <c r="X202" s="44"/>
      <c r="Y202" s="44">
        <v>74328</v>
      </c>
      <c r="Z202" s="44"/>
      <c r="AA202" s="44">
        <f t="shared" si="4"/>
        <v>17957033</v>
      </c>
      <c r="AB202" s="44"/>
      <c r="AC202" s="44">
        <f t="shared" si="5"/>
        <v>23363687</v>
      </c>
    </row>
    <row r="203" spans="1:29" s="47" customFormat="1" ht="12.75" customHeight="1">
      <c r="A203" s="47" t="s">
        <v>230</v>
      </c>
      <c r="C203" s="47" t="s">
        <v>45</v>
      </c>
      <c r="E203" s="44">
        <v>341804</v>
      </c>
      <c r="F203" s="44"/>
      <c r="G203" s="44">
        <v>256878</v>
      </c>
      <c r="H203" s="44"/>
      <c r="I203" s="44">
        <v>90000</v>
      </c>
      <c r="J203" s="44"/>
      <c r="K203" s="44">
        <v>623116</v>
      </c>
      <c r="L203" s="44"/>
      <c r="M203" s="44">
        <v>1687365</v>
      </c>
      <c r="N203" s="44"/>
      <c r="O203" s="44">
        <v>0</v>
      </c>
      <c r="P203" s="44"/>
      <c r="Q203" s="44">
        <v>500164</v>
      </c>
      <c r="R203" s="44"/>
      <c r="S203" s="44">
        <v>95354</v>
      </c>
      <c r="T203" s="44"/>
      <c r="U203" s="44">
        <v>129015</v>
      </c>
      <c r="V203" s="44"/>
      <c r="W203" s="44">
        <v>0</v>
      </c>
      <c r="X203" s="44"/>
      <c r="Y203" s="44">
        <v>0</v>
      </c>
      <c r="Z203" s="44"/>
      <c r="AA203" s="44">
        <f t="shared" si="4"/>
        <v>3035014</v>
      </c>
      <c r="AB203" s="44"/>
      <c r="AC203" s="44">
        <f t="shared" si="5"/>
        <v>3723696</v>
      </c>
    </row>
    <row r="204" spans="1:29" s="47" customFormat="1" ht="12.75" customHeight="1">
      <c r="A204" s="47" t="s">
        <v>231</v>
      </c>
      <c r="C204" s="47" t="s">
        <v>27</v>
      </c>
      <c r="E204" s="44">
        <v>5071075</v>
      </c>
      <c r="F204" s="44"/>
      <c r="G204" s="44">
        <v>1259666</v>
      </c>
      <c r="H204" s="44"/>
      <c r="I204" s="44">
        <v>663457</v>
      </c>
      <c r="J204" s="44"/>
      <c r="K204" s="44">
        <v>5175366</v>
      </c>
      <c r="L204" s="44"/>
      <c r="M204" s="44">
        <v>40325559</v>
      </c>
      <c r="N204" s="44"/>
      <c r="O204" s="44">
        <v>0</v>
      </c>
      <c r="P204" s="44"/>
      <c r="Q204" s="44">
        <v>1941816</v>
      </c>
      <c r="R204" s="44"/>
      <c r="S204" s="44">
        <v>3242148</v>
      </c>
      <c r="T204" s="44"/>
      <c r="U204" s="44">
        <v>397834</v>
      </c>
      <c r="V204" s="44"/>
      <c r="W204" s="44">
        <v>-920379</v>
      </c>
      <c r="X204" s="44"/>
      <c r="Y204" s="44">
        <v>0</v>
      </c>
      <c r="Z204" s="44"/>
      <c r="AA204" s="44">
        <f t="shared" si="4"/>
        <v>50162344</v>
      </c>
      <c r="AB204" s="44"/>
      <c r="AC204" s="44">
        <f t="shared" si="5"/>
        <v>57156542</v>
      </c>
    </row>
    <row r="205" spans="1:29" s="47" customFormat="1" ht="12.75" customHeight="1">
      <c r="A205" s="47" t="s">
        <v>232</v>
      </c>
      <c r="C205" s="47" t="s">
        <v>27</v>
      </c>
      <c r="E205" s="44">
        <v>5199865</v>
      </c>
      <c r="F205" s="44"/>
      <c r="G205" s="44">
        <v>910810</v>
      </c>
      <c r="H205" s="44"/>
      <c r="I205" s="44">
        <v>613703</v>
      </c>
      <c r="J205" s="44"/>
      <c r="K205" s="44">
        <v>5572775</v>
      </c>
      <c r="L205" s="44"/>
      <c r="M205" s="44">
        <v>9203692</v>
      </c>
      <c r="N205" s="44"/>
      <c r="O205" s="44">
        <v>0</v>
      </c>
      <c r="P205" s="44"/>
      <c r="Q205" s="44">
        <v>2288499</v>
      </c>
      <c r="R205" s="44"/>
      <c r="S205" s="44">
        <v>1014924</v>
      </c>
      <c r="T205" s="44"/>
      <c r="U205" s="44">
        <v>220916</v>
      </c>
      <c r="V205" s="44"/>
      <c r="W205" s="44">
        <v>0</v>
      </c>
      <c r="X205" s="44"/>
      <c r="Y205" s="44">
        <v>0</v>
      </c>
      <c r="Z205" s="44"/>
      <c r="AA205" s="44">
        <f t="shared" si="4"/>
        <v>18300806</v>
      </c>
      <c r="AB205" s="44"/>
      <c r="AC205" s="44">
        <f t="shared" si="5"/>
        <v>25025184</v>
      </c>
    </row>
    <row r="206" spans="1:29" s="47" customFormat="1" ht="12.75" customHeight="1">
      <c r="A206" s="47" t="s">
        <v>233</v>
      </c>
      <c r="C206" s="47" t="s">
        <v>111</v>
      </c>
      <c r="E206" s="44">
        <v>1543909</v>
      </c>
      <c r="F206" s="44"/>
      <c r="G206" s="44">
        <v>950410</v>
      </c>
      <c r="H206" s="44"/>
      <c r="I206" s="44">
        <v>587717</v>
      </c>
      <c r="J206" s="44"/>
      <c r="K206" s="44">
        <v>763912</v>
      </c>
      <c r="L206" s="44"/>
      <c r="M206" s="44">
        <v>9654160</v>
      </c>
      <c r="N206" s="44"/>
      <c r="O206" s="44">
        <v>471821</v>
      </c>
      <c r="P206" s="44"/>
      <c r="Q206" s="44">
        <v>564359</v>
      </c>
      <c r="R206" s="44"/>
      <c r="S206" s="44">
        <v>770851</v>
      </c>
      <c r="T206" s="44"/>
      <c r="U206" s="44">
        <v>795047</v>
      </c>
      <c r="V206" s="44"/>
      <c r="W206" s="44">
        <v>-3011900</v>
      </c>
      <c r="X206" s="44"/>
      <c r="Y206" s="44">
        <v>0</v>
      </c>
      <c r="Z206" s="44"/>
      <c r="AA206" s="44">
        <f t="shared" si="4"/>
        <v>10008250</v>
      </c>
      <c r="AB206" s="44"/>
      <c r="AC206" s="44">
        <f t="shared" si="5"/>
        <v>13090286</v>
      </c>
    </row>
    <row r="207" spans="1:29" s="47" customFormat="1" ht="12.75" customHeight="1">
      <c r="A207" s="47" t="s">
        <v>234</v>
      </c>
      <c r="C207" s="47" t="s">
        <v>45</v>
      </c>
      <c r="E207" s="44">
        <v>1233235</v>
      </c>
      <c r="F207" s="44"/>
      <c r="G207" s="44">
        <v>57160</v>
      </c>
      <c r="H207" s="44"/>
      <c r="I207" s="44">
        <v>3045416</v>
      </c>
      <c r="J207" s="44"/>
      <c r="K207" s="44">
        <v>1763277</v>
      </c>
      <c r="L207" s="44"/>
      <c r="M207" s="44">
        <v>14911874</v>
      </c>
      <c r="N207" s="44"/>
      <c r="O207" s="44">
        <v>822556</v>
      </c>
      <c r="P207" s="44"/>
      <c r="Q207" s="44">
        <v>2547912</v>
      </c>
      <c r="R207" s="44"/>
      <c r="S207" s="44">
        <v>531424</v>
      </c>
      <c r="T207" s="44"/>
      <c r="U207" s="44">
        <v>252762</v>
      </c>
      <c r="V207" s="44"/>
      <c r="W207" s="44">
        <v>0</v>
      </c>
      <c r="X207" s="44"/>
      <c r="Y207" s="44">
        <v>293925</v>
      </c>
      <c r="Z207" s="44"/>
      <c r="AA207" s="44">
        <f>SUM(K207:Y207)</f>
        <v>21123730</v>
      </c>
      <c r="AB207" s="44"/>
      <c r="AC207" s="44">
        <f>SUM(E207:Y207)</f>
        <v>25459541</v>
      </c>
    </row>
    <row r="208" spans="1:29" s="47" customFormat="1" ht="12.75" customHeight="1">
      <c r="A208" s="47" t="s">
        <v>235</v>
      </c>
      <c r="C208" s="47" t="s">
        <v>183</v>
      </c>
      <c r="E208" s="44">
        <v>8570211</v>
      </c>
      <c r="F208" s="44"/>
      <c r="G208" s="44">
        <v>6229484</v>
      </c>
      <c r="H208" s="44"/>
      <c r="I208" s="44">
        <v>8956713</v>
      </c>
      <c r="J208" s="44"/>
      <c r="K208" s="44">
        <v>2764717</v>
      </c>
      <c r="L208" s="44"/>
      <c r="M208" s="44">
        <v>28684405</v>
      </c>
      <c r="N208" s="44"/>
      <c r="O208" s="44">
        <v>9224167</v>
      </c>
      <c r="P208" s="44"/>
      <c r="Q208" s="44">
        <v>2300691</v>
      </c>
      <c r="R208" s="44"/>
      <c r="S208" s="44">
        <v>1100681</v>
      </c>
      <c r="T208" s="44"/>
      <c r="U208" s="44">
        <v>1581255</v>
      </c>
      <c r="V208" s="44"/>
      <c r="W208" s="44">
        <v>596050</v>
      </c>
      <c r="X208" s="44"/>
      <c r="Y208" s="44">
        <v>0</v>
      </c>
      <c r="Z208" s="44"/>
      <c r="AA208" s="44">
        <f t="shared" si="4"/>
        <v>46251966</v>
      </c>
      <c r="AB208" s="44"/>
      <c r="AC208" s="44">
        <f t="shared" si="5"/>
        <v>70008374</v>
      </c>
    </row>
    <row r="209" spans="1:29" s="47" customFormat="1" ht="12.75" customHeight="1">
      <c r="A209" s="47" t="s">
        <v>236</v>
      </c>
      <c r="C209" s="47" t="s">
        <v>45</v>
      </c>
      <c r="E209" s="44">
        <v>402747</v>
      </c>
      <c r="F209" s="44"/>
      <c r="G209" s="44">
        <v>258163</v>
      </c>
      <c r="H209" s="44"/>
      <c r="I209" s="44">
        <v>612469</v>
      </c>
      <c r="J209" s="44"/>
      <c r="K209" s="44">
        <v>10501920</v>
      </c>
      <c r="L209" s="44"/>
      <c r="M209" s="44">
        <v>0</v>
      </c>
      <c r="N209" s="44"/>
      <c r="O209" s="44">
        <v>0</v>
      </c>
      <c r="P209" s="44"/>
      <c r="Q209" s="44">
        <v>863145</v>
      </c>
      <c r="R209" s="44"/>
      <c r="S209" s="44">
        <v>358919</v>
      </c>
      <c r="T209" s="44"/>
      <c r="U209" s="44">
        <v>141875</v>
      </c>
      <c r="V209" s="44"/>
      <c r="W209" s="44">
        <v>0</v>
      </c>
      <c r="X209" s="44"/>
      <c r="Y209" s="44">
        <v>0</v>
      </c>
      <c r="Z209" s="44"/>
      <c r="AA209" s="44">
        <f t="shared" si="4"/>
        <v>11865859</v>
      </c>
      <c r="AB209" s="44"/>
      <c r="AC209" s="44">
        <f>SUM(E209:Y209)</f>
        <v>13139238</v>
      </c>
    </row>
    <row r="210" spans="1:29" s="47" customFormat="1" ht="12.75" customHeight="1">
      <c r="A210" s="47" t="s">
        <v>237</v>
      </c>
      <c r="C210" s="47" t="s">
        <v>33</v>
      </c>
      <c r="E210" s="44">
        <v>252308</v>
      </c>
      <c r="F210" s="44"/>
      <c r="G210" s="44">
        <v>634168</v>
      </c>
      <c r="H210" s="44"/>
      <c r="I210" s="44">
        <v>0</v>
      </c>
      <c r="J210" s="44"/>
      <c r="K210" s="44">
        <v>1156303</v>
      </c>
      <c r="L210" s="44"/>
      <c r="M210" s="44">
        <v>0</v>
      </c>
      <c r="N210" s="44"/>
      <c r="O210" s="44">
        <v>0</v>
      </c>
      <c r="P210" s="44"/>
      <c r="Q210" s="44">
        <v>837889</v>
      </c>
      <c r="R210" s="44"/>
      <c r="S210" s="44">
        <v>350283</v>
      </c>
      <c r="T210" s="44"/>
      <c r="U210" s="44">
        <v>77182</v>
      </c>
      <c r="V210" s="44"/>
      <c r="W210" s="44">
        <v>0</v>
      </c>
      <c r="X210" s="44"/>
      <c r="Y210" s="44">
        <v>0</v>
      </c>
      <c r="Z210" s="44"/>
      <c r="AA210" s="44">
        <f t="shared" si="4"/>
        <v>2421657</v>
      </c>
      <c r="AB210" s="44"/>
      <c r="AC210" s="44">
        <f>SUM(E210:Y210)</f>
        <v>3308133</v>
      </c>
    </row>
    <row r="211" spans="1:29" s="47" customFormat="1" ht="12.75" customHeight="1">
      <c r="A211" s="47" t="s">
        <v>238</v>
      </c>
      <c r="C211" s="47" t="s">
        <v>239</v>
      </c>
      <c r="E211" s="44">
        <v>899043</v>
      </c>
      <c r="F211" s="44"/>
      <c r="G211" s="44">
        <v>426573</v>
      </c>
      <c r="H211" s="44"/>
      <c r="I211" s="44">
        <v>246333</v>
      </c>
      <c r="J211" s="44"/>
      <c r="K211" s="44">
        <v>1281237</v>
      </c>
      <c r="L211" s="44"/>
      <c r="M211" s="44">
        <v>4429184</v>
      </c>
      <c r="N211" s="44"/>
      <c r="O211" s="44">
        <v>0</v>
      </c>
      <c r="P211" s="44"/>
      <c r="Q211" s="44">
        <v>844211</v>
      </c>
      <c r="R211" s="44"/>
      <c r="S211" s="44">
        <v>656848</v>
      </c>
      <c r="T211" s="44"/>
      <c r="U211" s="44">
        <v>92860</v>
      </c>
      <c r="V211" s="44"/>
      <c r="W211" s="44">
        <v>-856208</v>
      </c>
      <c r="X211" s="44"/>
      <c r="Y211" s="44">
        <v>0</v>
      </c>
      <c r="Z211" s="44"/>
      <c r="AA211" s="44">
        <f t="shared" si="4"/>
        <v>6448132</v>
      </c>
      <c r="AB211" s="44"/>
      <c r="AC211" s="44">
        <f>SUM(E211:Y211)</f>
        <v>8020081</v>
      </c>
    </row>
    <row r="212" spans="1:29" s="47" customFormat="1" ht="12.75" customHeight="1">
      <c r="A212" s="47" t="s">
        <v>487</v>
      </c>
      <c r="C212" s="47" t="s">
        <v>249</v>
      </c>
      <c r="E212" s="44">
        <v>1170665</v>
      </c>
      <c r="F212" s="44"/>
      <c r="G212" s="44">
        <v>1977927</v>
      </c>
      <c r="H212" s="44"/>
      <c r="I212" s="44">
        <v>0</v>
      </c>
      <c r="J212" s="44"/>
      <c r="K212" s="44">
        <v>1408055</v>
      </c>
      <c r="L212" s="44"/>
      <c r="M212" s="44">
        <v>8681044</v>
      </c>
      <c r="N212" s="44"/>
      <c r="O212" s="44">
        <v>268287</v>
      </c>
      <c r="P212" s="44"/>
      <c r="Q212" s="44">
        <v>2921033</v>
      </c>
      <c r="R212" s="44"/>
      <c r="S212" s="44">
        <v>238765</v>
      </c>
      <c r="T212" s="44"/>
      <c r="U212" s="44">
        <v>216889</v>
      </c>
      <c r="V212" s="44"/>
      <c r="W212" s="44">
        <v>-30000</v>
      </c>
      <c r="X212" s="44"/>
      <c r="Y212" s="44">
        <v>2617966</v>
      </c>
      <c r="Z212" s="44"/>
      <c r="AA212" s="44">
        <f>SUM(K212:Y212)</f>
        <v>16322039</v>
      </c>
      <c r="AB212" s="44"/>
      <c r="AC212" s="44">
        <f>SUM(E212:Y212)</f>
        <v>19470631</v>
      </c>
    </row>
    <row r="213" spans="1:29" s="47" customFormat="1" ht="12.75" customHeight="1">
      <c r="A213" s="47" t="s">
        <v>240</v>
      </c>
      <c r="C213" s="47" t="s">
        <v>13</v>
      </c>
      <c r="E213" s="44">
        <v>2172643</v>
      </c>
      <c r="F213" s="44"/>
      <c r="G213" s="44">
        <v>2307965</v>
      </c>
      <c r="H213" s="44"/>
      <c r="I213" s="44">
        <v>1406531</v>
      </c>
      <c r="J213" s="44"/>
      <c r="K213" s="44">
        <v>7639945</v>
      </c>
      <c r="L213" s="44"/>
      <c r="M213" s="44">
        <v>12642876</v>
      </c>
      <c r="N213" s="44"/>
      <c r="O213" s="44">
        <v>0</v>
      </c>
      <c r="P213" s="44"/>
      <c r="Q213" s="44">
        <v>3890054</v>
      </c>
      <c r="R213" s="44"/>
      <c r="S213" s="44">
        <v>1293813</v>
      </c>
      <c r="T213" s="44"/>
      <c r="U213" s="44">
        <v>414403</v>
      </c>
      <c r="V213" s="44"/>
      <c r="W213" s="44">
        <v>-110000</v>
      </c>
      <c r="X213" s="44"/>
      <c r="Y213" s="44">
        <v>0</v>
      </c>
      <c r="Z213" s="44"/>
      <c r="AA213" s="44">
        <f t="shared" si="4"/>
        <v>25771091</v>
      </c>
      <c r="AB213" s="44"/>
      <c r="AC213" s="44">
        <f t="shared" si="5"/>
        <v>31658230</v>
      </c>
    </row>
    <row r="214" spans="1:29" s="138" customFormat="1" ht="12.75" hidden="1" customHeight="1">
      <c r="A214" s="138" t="s">
        <v>241</v>
      </c>
      <c r="C214" s="138" t="s">
        <v>22</v>
      </c>
      <c r="E214" s="137">
        <v>0</v>
      </c>
      <c r="F214" s="137"/>
      <c r="G214" s="137">
        <v>0</v>
      </c>
      <c r="H214" s="137"/>
      <c r="I214" s="137">
        <v>0</v>
      </c>
      <c r="J214" s="137"/>
      <c r="K214" s="137">
        <v>0</v>
      </c>
      <c r="L214" s="137"/>
      <c r="M214" s="137">
        <v>0</v>
      </c>
      <c r="N214" s="137"/>
      <c r="O214" s="137">
        <v>0</v>
      </c>
      <c r="P214" s="137"/>
      <c r="Q214" s="137">
        <v>0</v>
      </c>
      <c r="R214" s="137"/>
      <c r="S214" s="137">
        <v>0</v>
      </c>
      <c r="T214" s="137"/>
      <c r="U214" s="137">
        <v>0</v>
      </c>
      <c r="V214" s="137"/>
      <c r="W214" s="137">
        <v>0</v>
      </c>
      <c r="X214" s="137"/>
      <c r="Y214" s="137">
        <v>0</v>
      </c>
      <c r="Z214" s="137"/>
      <c r="AA214" s="137">
        <f t="shared" si="4"/>
        <v>0</v>
      </c>
      <c r="AB214" s="137"/>
      <c r="AC214" s="137">
        <f t="shared" si="5"/>
        <v>0</v>
      </c>
    </row>
    <row r="215" spans="1:29" s="47" customFormat="1" ht="12.75" customHeight="1">
      <c r="A215" s="47" t="s">
        <v>242</v>
      </c>
      <c r="C215" s="47" t="s">
        <v>27</v>
      </c>
      <c r="E215" s="44">
        <v>6518374</v>
      </c>
      <c r="F215" s="44"/>
      <c r="G215" s="44">
        <v>1562212</v>
      </c>
      <c r="H215" s="44"/>
      <c r="I215" s="44">
        <v>187130</v>
      </c>
      <c r="J215" s="44"/>
      <c r="K215" s="44">
        <v>8986700</v>
      </c>
      <c r="L215" s="44"/>
      <c r="M215" s="44">
        <v>27405717</v>
      </c>
      <c r="N215" s="44"/>
      <c r="O215" s="44">
        <v>2702461</v>
      </c>
      <c r="P215" s="44"/>
      <c r="Q215" s="44">
        <v>2201145</v>
      </c>
      <c r="R215" s="44"/>
      <c r="S215" s="44">
        <v>1765591</v>
      </c>
      <c r="T215" s="44"/>
      <c r="U215" s="44">
        <v>0</v>
      </c>
      <c r="V215" s="44"/>
      <c r="W215" s="44">
        <v>0</v>
      </c>
      <c r="X215" s="44"/>
      <c r="Y215" s="44">
        <v>0</v>
      </c>
      <c r="Z215" s="44"/>
      <c r="AA215" s="44">
        <f t="shared" si="4"/>
        <v>43061614</v>
      </c>
      <c r="AB215" s="44"/>
      <c r="AC215" s="44">
        <f t="shared" si="5"/>
        <v>51329330</v>
      </c>
    </row>
    <row r="216" spans="1:29" s="47" customFormat="1" ht="12.75" customHeight="1">
      <c r="A216" s="47" t="s">
        <v>243</v>
      </c>
      <c r="C216" s="47" t="s">
        <v>163</v>
      </c>
      <c r="E216" s="44">
        <v>1611159</v>
      </c>
      <c r="F216" s="44"/>
      <c r="G216" s="44">
        <v>1956985</v>
      </c>
      <c r="H216" s="44"/>
      <c r="I216" s="44">
        <v>61365</v>
      </c>
      <c r="J216" s="44"/>
      <c r="K216" s="44">
        <v>1776015</v>
      </c>
      <c r="L216" s="44"/>
      <c r="M216" s="44">
        <v>8078421</v>
      </c>
      <c r="N216" s="44"/>
      <c r="O216" s="44">
        <v>0</v>
      </c>
      <c r="P216" s="44"/>
      <c r="Q216" s="44">
        <v>2570724</v>
      </c>
      <c r="R216" s="44"/>
      <c r="S216" s="44">
        <v>1373674</v>
      </c>
      <c r="T216" s="44"/>
      <c r="U216" s="44">
        <v>566316</v>
      </c>
      <c r="V216" s="44"/>
      <c r="W216" s="44">
        <v>239533</v>
      </c>
      <c r="X216" s="44"/>
      <c r="Y216" s="44">
        <v>0</v>
      </c>
      <c r="Z216" s="44"/>
      <c r="AA216" s="44">
        <f t="shared" ref="AA216:AA230" si="6">SUM(K216:Y216)</f>
        <v>14604683</v>
      </c>
      <c r="AB216" s="44"/>
      <c r="AC216" s="44">
        <f t="shared" ref="AC216:AC258" si="7">SUM(E216:Y216)</f>
        <v>18234192</v>
      </c>
    </row>
    <row r="217" spans="1:29" s="47" customFormat="1" ht="12.75" customHeight="1">
      <c r="A217" s="47" t="s">
        <v>244</v>
      </c>
      <c r="C217" s="47" t="s">
        <v>13</v>
      </c>
      <c r="E217" s="44">
        <v>2676779</v>
      </c>
      <c r="F217" s="44"/>
      <c r="G217" s="44">
        <v>949361</v>
      </c>
      <c r="H217" s="44"/>
      <c r="I217" s="44">
        <v>786581</v>
      </c>
      <c r="J217" s="44"/>
      <c r="K217" s="44">
        <v>2129530</v>
      </c>
      <c r="L217" s="44"/>
      <c r="M217" s="44">
        <v>7841895</v>
      </c>
      <c r="N217" s="44"/>
      <c r="O217" s="44">
        <v>0</v>
      </c>
      <c r="P217" s="44"/>
      <c r="Q217" s="44">
        <v>1789961</v>
      </c>
      <c r="R217" s="44"/>
      <c r="S217" s="44">
        <v>286805</v>
      </c>
      <c r="T217" s="44"/>
      <c r="U217" s="44">
        <v>136321</v>
      </c>
      <c r="V217" s="44"/>
      <c r="W217" s="44">
        <v>-171573</v>
      </c>
      <c r="X217" s="44"/>
      <c r="Y217" s="44">
        <v>0</v>
      </c>
      <c r="Z217" s="44"/>
      <c r="AA217" s="44">
        <f t="shared" si="6"/>
        <v>12012939</v>
      </c>
      <c r="AB217" s="44"/>
      <c r="AC217" s="44">
        <f t="shared" si="7"/>
        <v>16425660</v>
      </c>
    </row>
    <row r="218" spans="1:29" s="47" customFormat="1" ht="12.75" customHeight="1">
      <c r="A218" s="47" t="s">
        <v>245</v>
      </c>
      <c r="C218" s="47" t="s">
        <v>110</v>
      </c>
      <c r="E218" s="44">
        <v>1339358</v>
      </c>
      <c r="F218" s="44"/>
      <c r="G218" s="44">
        <v>1130695</v>
      </c>
      <c r="H218" s="44"/>
      <c r="I218" s="44">
        <v>146669</v>
      </c>
      <c r="J218" s="44"/>
      <c r="K218" s="44">
        <v>970445</v>
      </c>
      <c r="L218" s="44"/>
      <c r="M218" s="44">
        <v>7270239</v>
      </c>
      <c r="N218" s="44"/>
      <c r="O218" s="44">
        <v>0</v>
      </c>
      <c r="P218" s="44"/>
      <c r="Q218" s="44">
        <v>1357025</v>
      </c>
      <c r="R218" s="44"/>
      <c r="S218" s="44">
        <v>193839</v>
      </c>
      <c r="T218" s="44"/>
      <c r="U218" s="44">
        <v>280877</v>
      </c>
      <c r="V218" s="44"/>
      <c r="W218" s="44">
        <v>-43309</v>
      </c>
      <c r="X218" s="44"/>
      <c r="Y218" s="44">
        <v>0</v>
      </c>
      <c r="Z218" s="44"/>
      <c r="AA218" s="44">
        <f t="shared" si="6"/>
        <v>10029116</v>
      </c>
      <c r="AB218" s="44"/>
      <c r="AC218" s="44">
        <f t="shared" si="7"/>
        <v>12645838</v>
      </c>
    </row>
    <row r="219" spans="1:29" s="47" customFormat="1" ht="12.75" customHeight="1">
      <c r="A219" s="47" t="s">
        <v>246</v>
      </c>
      <c r="C219" s="47" t="s">
        <v>209</v>
      </c>
      <c r="E219" s="44">
        <v>1165986</v>
      </c>
      <c r="F219" s="44"/>
      <c r="G219" s="44">
        <v>593159</v>
      </c>
      <c r="H219" s="44"/>
      <c r="I219" s="44">
        <v>799014</v>
      </c>
      <c r="J219" s="44"/>
      <c r="K219" s="44">
        <v>321337</v>
      </c>
      <c r="L219" s="44"/>
      <c r="M219" s="44">
        <v>3460790</v>
      </c>
      <c r="N219" s="44"/>
      <c r="O219" s="44">
        <v>35265</v>
      </c>
      <c r="P219" s="44"/>
      <c r="Q219" s="44">
        <v>1311289</v>
      </c>
      <c r="R219" s="44"/>
      <c r="S219" s="44">
        <v>610371</v>
      </c>
      <c r="T219" s="44"/>
      <c r="U219" s="44">
        <v>215622</v>
      </c>
      <c r="V219" s="44"/>
      <c r="W219" s="44">
        <v>729509</v>
      </c>
      <c r="X219" s="44"/>
      <c r="Y219" s="44">
        <v>0</v>
      </c>
      <c r="Z219" s="44"/>
      <c r="AA219" s="44">
        <f t="shared" si="6"/>
        <v>6684183</v>
      </c>
      <c r="AB219" s="44"/>
      <c r="AC219" s="44">
        <f t="shared" si="7"/>
        <v>9242342</v>
      </c>
    </row>
    <row r="220" spans="1:29" s="47" customFormat="1" ht="12.75" customHeight="1">
      <c r="A220" s="47" t="s">
        <v>247</v>
      </c>
      <c r="C220" s="47" t="s">
        <v>163</v>
      </c>
      <c r="E220" s="44">
        <v>77469000</v>
      </c>
      <c r="F220" s="44"/>
      <c r="G220" s="44">
        <v>34557000</v>
      </c>
      <c r="H220" s="44"/>
      <c r="I220" s="44">
        <v>21216000</v>
      </c>
      <c r="J220" s="44"/>
      <c r="K220" s="44">
        <v>19424000</v>
      </c>
      <c r="L220" s="44"/>
      <c r="M220" s="44">
        <v>169689000</v>
      </c>
      <c r="N220" s="44"/>
      <c r="O220" s="44">
        <v>0</v>
      </c>
      <c r="P220" s="44"/>
      <c r="Q220" s="44">
        <v>3449000</v>
      </c>
      <c r="R220" s="44"/>
      <c r="S220" s="44">
        <v>8754000</v>
      </c>
      <c r="T220" s="44"/>
      <c r="U220" s="44">
        <v>0</v>
      </c>
      <c r="V220" s="44"/>
      <c r="W220" s="44">
        <v>-292000</v>
      </c>
      <c r="X220" s="44"/>
      <c r="Y220" s="44">
        <v>0</v>
      </c>
      <c r="Z220" s="44"/>
      <c r="AA220" s="44">
        <f t="shared" si="6"/>
        <v>201024000</v>
      </c>
      <c r="AB220" s="44"/>
      <c r="AC220" s="44">
        <f t="shared" si="7"/>
        <v>334266000</v>
      </c>
    </row>
    <row r="221" spans="1:29" s="47" customFormat="1" ht="12.75" customHeight="1">
      <c r="A221" s="47" t="s">
        <v>248</v>
      </c>
      <c r="C221" s="47" t="s">
        <v>249</v>
      </c>
      <c r="E221" s="44">
        <v>133067</v>
      </c>
      <c r="F221" s="44"/>
      <c r="G221" s="44">
        <v>328672</v>
      </c>
      <c r="H221" s="44"/>
      <c r="I221" s="44">
        <v>0</v>
      </c>
      <c r="J221" s="44"/>
      <c r="K221" s="44">
        <v>223932</v>
      </c>
      <c r="L221" s="44"/>
      <c r="M221" s="44">
        <v>3940617</v>
      </c>
      <c r="N221" s="44"/>
      <c r="O221" s="44">
        <v>0</v>
      </c>
      <c r="P221" s="44"/>
      <c r="Q221" s="44">
        <v>254989</v>
      </c>
      <c r="R221" s="44"/>
      <c r="S221" s="44">
        <v>118098</v>
      </c>
      <c r="T221" s="44"/>
      <c r="U221" s="44">
        <v>11392</v>
      </c>
      <c r="V221" s="44"/>
      <c r="W221" s="44">
        <v>-302354</v>
      </c>
      <c r="X221" s="44"/>
      <c r="Y221" s="44">
        <v>0</v>
      </c>
      <c r="Z221" s="44"/>
      <c r="AA221" s="44">
        <f t="shared" si="6"/>
        <v>4246674</v>
      </c>
      <c r="AB221" s="44"/>
      <c r="AC221" s="44">
        <f t="shared" si="7"/>
        <v>4708413</v>
      </c>
    </row>
    <row r="222" spans="1:29" s="47" customFormat="1" ht="12.75" customHeight="1">
      <c r="A222" s="47" t="s">
        <v>250</v>
      </c>
      <c r="C222" s="47" t="s">
        <v>103</v>
      </c>
      <c r="E222" s="44">
        <v>473957</v>
      </c>
      <c r="F222" s="44"/>
      <c r="G222" s="44">
        <v>546446</v>
      </c>
      <c r="H222" s="44"/>
      <c r="I222" s="44">
        <v>0</v>
      </c>
      <c r="J222" s="44"/>
      <c r="K222" s="44">
        <v>505588</v>
      </c>
      <c r="L222" s="44"/>
      <c r="M222" s="44">
        <v>1399908</v>
      </c>
      <c r="N222" s="44"/>
      <c r="O222" s="44">
        <v>281818</v>
      </c>
      <c r="P222" s="44"/>
      <c r="Q222" s="44">
        <v>362446</v>
      </c>
      <c r="R222" s="44"/>
      <c r="S222" s="44">
        <v>344683</v>
      </c>
      <c r="T222" s="44"/>
      <c r="U222" s="44">
        <v>36628</v>
      </c>
      <c r="V222" s="44"/>
      <c r="W222" s="44">
        <v>10000</v>
      </c>
      <c r="X222" s="44"/>
      <c r="Y222" s="44">
        <v>0</v>
      </c>
      <c r="Z222" s="44"/>
      <c r="AA222" s="44">
        <f t="shared" si="6"/>
        <v>2941071</v>
      </c>
      <c r="AB222" s="44"/>
      <c r="AC222" s="44">
        <f t="shared" si="7"/>
        <v>3961474</v>
      </c>
    </row>
    <row r="223" spans="1:29" s="47" customFormat="1" ht="12.75" customHeight="1">
      <c r="A223" s="47" t="s">
        <v>251</v>
      </c>
      <c r="C223" s="47" t="s">
        <v>66</v>
      </c>
      <c r="E223" s="44">
        <v>1855362</v>
      </c>
      <c r="F223" s="44"/>
      <c r="G223" s="44">
        <v>2143830</v>
      </c>
      <c r="H223" s="44"/>
      <c r="I223" s="44">
        <v>550503</v>
      </c>
      <c r="J223" s="44"/>
      <c r="K223" s="44">
        <v>4841944</v>
      </c>
      <c r="L223" s="44"/>
      <c r="M223" s="44">
        <v>5088924</v>
      </c>
      <c r="N223" s="44"/>
      <c r="O223" s="44">
        <v>213029</v>
      </c>
      <c r="P223" s="44"/>
      <c r="Q223" s="44">
        <v>1615694</v>
      </c>
      <c r="R223" s="44"/>
      <c r="S223" s="44">
        <v>261499</v>
      </c>
      <c r="T223" s="44"/>
      <c r="U223" s="44">
        <v>286073</v>
      </c>
      <c r="V223" s="44"/>
      <c r="W223" s="44">
        <v>0</v>
      </c>
      <c r="X223" s="44"/>
      <c r="Y223" s="44">
        <v>0</v>
      </c>
      <c r="Z223" s="44"/>
      <c r="AA223" s="44">
        <f t="shared" si="6"/>
        <v>12307163</v>
      </c>
      <c r="AB223" s="44"/>
      <c r="AC223" s="44">
        <f t="shared" si="7"/>
        <v>16856858</v>
      </c>
    </row>
    <row r="224" spans="1:29" s="47" customFormat="1" ht="12.75" customHeight="1">
      <c r="A224" s="47" t="s">
        <v>252</v>
      </c>
      <c r="C224" s="47" t="s">
        <v>209</v>
      </c>
      <c r="E224" s="44">
        <v>2560546</v>
      </c>
      <c r="F224" s="44"/>
      <c r="G224" s="44">
        <v>1180525</v>
      </c>
      <c r="H224" s="44"/>
      <c r="I224" s="44">
        <v>1401939</v>
      </c>
      <c r="J224" s="44"/>
      <c r="K224" s="44">
        <v>2681028</v>
      </c>
      <c r="L224" s="44"/>
      <c r="M224" s="44">
        <v>12882229</v>
      </c>
      <c r="N224" s="44"/>
      <c r="O224" s="44">
        <v>162376</v>
      </c>
      <c r="P224" s="44"/>
      <c r="Q224" s="44">
        <v>1673098</v>
      </c>
      <c r="R224" s="44"/>
      <c r="S224" s="44">
        <v>2826639</v>
      </c>
      <c r="T224" s="44"/>
      <c r="U224" s="44">
        <v>382625</v>
      </c>
      <c r="V224" s="44"/>
      <c r="W224" s="44">
        <v>-575000</v>
      </c>
      <c r="X224" s="44"/>
      <c r="Y224" s="44">
        <v>0</v>
      </c>
      <c r="Z224" s="44"/>
      <c r="AA224" s="44">
        <f t="shared" si="6"/>
        <v>20032995</v>
      </c>
      <c r="AB224" s="44"/>
      <c r="AC224" s="44">
        <f t="shared" si="7"/>
        <v>25176005</v>
      </c>
    </row>
    <row r="225" spans="1:29" s="47" customFormat="1" ht="12.75" customHeight="1">
      <c r="A225" s="47" t="s">
        <v>253</v>
      </c>
      <c r="C225" s="47" t="s">
        <v>13</v>
      </c>
      <c r="E225" s="44">
        <v>2609478</v>
      </c>
      <c r="F225" s="44"/>
      <c r="G225" s="44">
        <v>19210</v>
      </c>
      <c r="H225" s="44"/>
      <c r="I225" s="44">
        <v>92500</v>
      </c>
      <c r="J225" s="44"/>
      <c r="K225" s="44">
        <f>547812+619002</f>
        <v>1166814</v>
      </c>
      <c r="L225" s="44"/>
      <c r="M225" s="44">
        <f>14153742+3678217</f>
        <v>17831959</v>
      </c>
      <c r="N225" s="44"/>
      <c r="O225" s="44">
        <v>0</v>
      </c>
      <c r="P225" s="44"/>
      <c r="Q225" s="44">
        <v>3091200</v>
      </c>
      <c r="R225" s="44"/>
      <c r="S225" s="44">
        <v>1177477</v>
      </c>
      <c r="T225" s="44"/>
      <c r="U225" s="44">
        <v>23706</v>
      </c>
      <c r="V225" s="44"/>
      <c r="W225" s="44">
        <v>-505000</v>
      </c>
      <c r="X225" s="44"/>
      <c r="Y225" s="44">
        <v>0</v>
      </c>
      <c r="Z225" s="44"/>
      <c r="AA225" s="44">
        <f t="shared" si="6"/>
        <v>22786156</v>
      </c>
      <c r="AB225" s="44"/>
      <c r="AC225" s="44">
        <f>SUM(E225:Y225)</f>
        <v>25507344</v>
      </c>
    </row>
    <row r="226" spans="1:29" s="47" customFormat="1" ht="12.75" customHeight="1">
      <c r="A226" s="47" t="s">
        <v>254</v>
      </c>
      <c r="C226" s="47" t="s">
        <v>89</v>
      </c>
      <c r="E226" s="44">
        <v>254832</v>
      </c>
      <c r="F226" s="44"/>
      <c r="G226" s="44">
        <v>576464</v>
      </c>
      <c r="H226" s="44"/>
      <c r="I226" s="44">
        <v>171745</v>
      </c>
      <c r="J226" s="44"/>
      <c r="K226" s="44">
        <v>546136</v>
      </c>
      <c r="L226" s="44"/>
      <c r="M226" s="44">
        <v>1347948</v>
      </c>
      <c r="N226" s="44"/>
      <c r="O226" s="44">
        <v>0</v>
      </c>
      <c r="P226" s="44"/>
      <c r="Q226" s="44">
        <v>367969</v>
      </c>
      <c r="R226" s="44"/>
      <c r="S226" s="44">
        <v>245519</v>
      </c>
      <c r="T226" s="44"/>
      <c r="U226" s="44">
        <v>28773</v>
      </c>
      <c r="V226" s="44"/>
      <c r="W226" s="44">
        <v>0</v>
      </c>
      <c r="X226" s="44"/>
      <c r="Y226" s="44">
        <v>0</v>
      </c>
      <c r="Z226" s="44"/>
      <c r="AA226" s="44">
        <f t="shared" si="6"/>
        <v>2536345</v>
      </c>
      <c r="AB226" s="44"/>
      <c r="AC226" s="44">
        <f t="shared" si="7"/>
        <v>3539386</v>
      </c>
    </row>
    <row r="227" spans="1:29" s="47" customFormat="1" ht="12.75" customHeight="1">
      <c r="A227" s="47" t="s">
        <v>159</v>
      </c>
      <c r="C227" s="47" t="s">
        <v>66</v>
      </c>
      <c r="E227" s="44">
        <v>1099492</v>
      </c>
      <c r="F227" s="44"/>
      <c r="G227" s="44">
        <v>613494</v>
      </c>
      <c r="H227" s="44"/>
      <c r="I227" s="44">
        <v>37355</v>
      </c>
      <c r="J227" s="44"/>
      <c r="K227" s="44">
        <v>1519009</v>
      </c>
      <c r="L227" s="44"/>
      <c r="M227" s="44">
        <v>333661</v>
      </c>
      <c r="N227" s="44"/>
      <c r="O227" s="44">
        <v>0</v>
      </c>
      <c r="P227" s="44"/>
      <c r="Q227" s="44">
        <v>289300</v>
      </c>
      <c r="R227" s="44"/>
      <c r="S227" s="44">
        <v>88938</v>
      </c>
      <c r="T227" s="44"/>
      <c r="U227" s="44">
        <v>7642</v>
      </c>
      <c r="V227" s="44"/>
      <c r="W227" s="44">
        <v>-56100</v>
      </c>
      <c r="X227" s="44"/>
      <c r="Y227" s="44">
        <v>0</v>
      </c>
      <c r="Z227" s="44"/>
      <c r="AA227" s="44">
        <f t="shared" si="6"/>
        <v>2182450</v>
      </c>
      <c r="AB227" s="44"/>
      <c r="AC227" s="44">
        <f>SUM(E227:Y227)</f>
        <v>3932791</v>
      </c>
    </row>
    <row r="228" spans="1:29" s="47" customFormat="1" ht="12.75" customHeight="1">
      <c r="A228" s="47" t="s">
        <v>255</v>
      </c>
      <c r="C228" s="47" t="s">
        <v>27</v>
      </c>
      <c r="E228" s="44">
        <v>1698847</v>
      </c>
      <c r="F228" s="44"/>
      <c r="G228" s="44">
        <v>204095</v>
      </c>
      <c r="H228" s="44"/>
      <c r="I228" s="44">
        <v>4014040</v>
      </c>
      <c r="J228" s="44"/>
      <c r="K228" s="44">
        <v>3162179</v>
      </c>
      <c r="L228" s="44"/>
      <c r="M228" s="44">
        <v>8324418</v>
      </c>
      <c r="N228" s="44"/>
      <c r="O228" s="44">
        <v>0</v>
      </c>
      <c r="P228" s="44"/>
      <c r="Q228" s="44">
        <v>1780725</v>
      </c>
      <c r="R228" s="44"/>
      <c r="S228" s="44">
        <v>63701</v>
      </c>
      <c r="T228" s="44"/>
      <c r="U228" s="44">
        <v>188327</v>
      </c>
      <c r="V228" s="44"/>
      <c r="W228" s="44">
        <v>0</v>
      </c>
      <c r="X228" s="44"/>
      <c r="Y228" s="44">
        <v>-1205202</v>
      </c>
      <c r="Z228" s="44"/>
      <c r="AA228" s="44">
        <f t="shared" si="6"/>
        <v>12314148</v>
      </c>
      <c r="AB228" s="44"/>
      <c r="AC228" s="44">
        <f t="shared" si="7"/>
        <v>18231130</v>
      </c>
    </row>
    <row r="229" spans="1:29" s="44" customFormat="1" ht="12.75" customHeight="1">
      <c r="A229" s="44" t="s">
        <v>256</v>
      </c>
      <c r="C229" s="44" t="s">
        <v>43</v>
      </c>
      <c r="E229" s="44">
        <v>3604449</v>
      </c>
      <c r="G229" s="44">
        <v>1703384</v>
      </c>
      <c r="I229" s="44">
        <v>247796</v>
      </c>
      <c r="K229" s="44">
        <v>8825950</v>
      </c>
      <c r="M229" s="44">
        <v>14615795</v>
      </c>
      <c r="O229" s="44">
        <v>2282087</v>
      </c>
      <c r="Q229" s="44">
        <v>2692806</v>
      </c>
      <c r="S229" s="44">
        <v>0</v>
      </c>
      <c r="U229" s="44">
        <v>5149657</v>
      </c>
      <c r="W229" s="44">
        <v>0</v>
      </c>
      <c r="Y229" s="44">
        <v>0</v>
      </c>
      <c r="AA229" s="44">
        <f>SUM(K229:Y229)</f>
        <v>33566295</v>
      </c>
      <c r="AC229" s="44">
        <f>SUM(E229:Y229)</f>
        <v>39121924</v>
      </c>
    </row>
    <row r="230" spans="1:29" s="47" customFormat="1" ht="12.75" customHeight="1">
      <c r="A230" s="47" t="s">
        <v>257</v>
      </c>
      <c r="C230" s="47" t="s">
        <v>258</v>
      </c>
      <c r="E230" s="44">
        <v>57801</v>
      </c>
      <c r="F230" s="44"/>
      <c r="G230" s="44">
        <v>247177</v>
      </c>
      <c r="H230" s="44"/>
      <c r="I230" s="44">
        <v>0</v>
      </c>
      <c r="J230" s="44"/>
      <c r="K230" s="44">
        <v>411936</v>
      </c>
      <c r="L230" s="44"/>
      <c r="M230" s="44">
        <v>2297324</v>
      </c>
      <c r="N230" s="44"/>
      <c r="O230" s="44">
        <v>0</v>
      </c>
      <c r="P230" s="44"/>
      <c r="Q230" s="44">
        <v>684585</v>
      </c>
      <c r="R230" s="44"/>
      <c r="S230" s="44">
        <v>94002</v>
      </c>
      <c r="T230" s="44"/>
      <c r="U230" s="44">
        <v>974299</v>
      </c>
      <c r="V230" s="44"/>
      <c r="W230" s="44">
        <v>333161</v>
      </c>
      <c r="X230" s="44"/>
      <c r="Y230" s="44">
        <v>0</v>
      </c>
      <c r="Z230" s="44"/>
      <c r="AA230" s="44">
        <f t="shared" si="6"/>
        <v>4795307</v>
      </c>
      <c r="AB230" s="44"/>
      <c r="AC230" s="44">
        <f>SUM(E230:Y230)</f>
        <v>5100285</v>
      </c>
    </row>
    <row r="231" spans="1:29" s="47" customFormat="1" ht="12.75" customHeight="1">
      <c r="A231" s="47" t="s">
        <v>259</v>
      </c>
      <c r="C231" s="47" t="s">
        <v>260</v>
      </c>
      <c r="E231" s="44">
        <v>1951956</v>
      </c>
      <c r="F231" s="44"/>
      <c r="G231" s="44">
        <v>686610</v>
      </c>
      <c r="H231" s="44"/>
      <c r="I231" s="44">
        <v>374341</v>
      </c>
      <c r="J231" s="44"/>
      <c r="K231" s="44">
        <v>677878</v>
      </c>
      <c r="L231" s="44"/>
      <c r="M231" s="44">
        <v>5854508</v>
      </c>
      <c r="N231" s="44"/>
      <c r="O231" s="44">
        <v>168306</v>
      </c>
      <c r="P231" s="44"/>
      <c r="Q231" s="44">
        <v>483237</v>
      </c>
      <c r="R231" s="44"/>
      <c r="S231" s="44">
        <v>324908</v>
      </c>
      <c r="T231" s="44"/>
      <c r="U231" s="44">
        <v>535381</v>
      </c>
      <c r="V231" s="44"/>
      <c r="W231" s="44">
        <v>0</v>
      </c>
      <c r="X231" s="44"/>
      <c r="Y231" s="44">
        <v>0</v>
      </c>
      <c r="Z231" s="44"/>
      <c r="AA231" s="44">
        <f t="shared" ref="AA231:AA258" si="8">SUM(K231:Y231)</f>
        <v>8044218</v>
      </c>
      <c r="AB231" s="44"/>
      <c r="AC231" s="44">
        <f t="shared" si="7"/>
        <v>11057125</v>
      </c>
    </row>
    <row r="232" spans="1:29" s="47" customFormat="1" ht="12.75" customHeight="1">
      <c r="A232" s="47" t="s">
        <v>261</v>
      </c>
      <c r="C232" s="47" t="s">
        <v>66</v>
      </c>
      <c r="E232" s="44">
        <v>5255078</v>
      </c>
      <c r="F232" s="44"/>
      <c r="G232" s="44">
        <v>1152379</v>
      </c>
      <c r="H232" s="44"/>
      <c r="I232" s="44">
        <v>1374031</v>
      </c>
      <c r="J232" s="44"/>
      <c r="K232" s="44">
        <v>1976022</v>
      </c>
      <c r="L232" s="44"/>
      <c r="M232" s="44">
        <v>13072621</v>
      </c>
      <c r="N232" s="44"/>
      <c r="O232" s="44"/>
      <c r="P232" s="44"/>
      <c r="Q232" s="44">
        <v>1357421</v>
      </c>
      <c r="R232" s="44"/>
      <c r="S232" s="44">
        <v>1485318</v>
      </c>
      <c r="T232" s="44"/>
      <c r="U232" s="44">
        <v>112821</v>
      </c>
      <c r="V232" s="44"/>
      <c r="W232" s="44">
        <v>-937367</v>
      </c>
      <c r="X232" s="44"/>
      <c r="Y232" s="44">
        <v>0</v>
      </c>
      <c r="Z232" s="44"/>
      <c r="AA232" s="44">
        <f t="shared" si="8"/>
        <v>17066836</v>
      </c>
      <c r="AB232" s="44"/>
      <c r="AC232" s="44">
        <f t="shared" si="7"/>
        <v>24848324</v>
      </c>
    </row>
    <row r="233" spans="1:29" s="47" customFormat="1" ht="12.75" hidden="1" customHeight="1">
      <c r="A233" s="44" t="s">
        <v>490</v>
      </c>
      <c r="C233" s="44" t="s">
        <v>132</v>
      </c>
      <c r="E233" s="44">
        <v>0</v>
      </c>
      <c r="F233" s="44"/>
      <c r="G233" s="44">
        <v>0</v>
      </c>
      <c r="H233" s="44"/>
      <c r="I233" s="44">
        <v>0</v>
      </c>
      <c r="J233" s="44"/>
      <c r="K233" s="44">
        <v>0</v>
      </c>
      <c r="L233" s="44"/>
      <c r="M233" s="44">
        <v>0</v>
      </c>
      <c r="N233" s="44"/>
      <c r="O233" s="44">
        <v>0</v>
      </c>
      <c r="P233" s="44"/>
      <c r="Q233" s="44">
        <v>0</v>
      </c>
      <c r="R233" s="44"/>
      <c r="S233" s="44">
        <v>0</v>
      </c>
      <c r="T233" s="44"/>
      <c r="U233" s="44">
        <v>0</v>
      </c>
      <c r="V233" s="44"/>
      <c r="W233" s="44">
        <v>0</v>
      </c>
      <c r="X233" s="44"/>
      <c r="Y233" s="44">
        <v>0</v>
      </c>
      <c r="Z233" s="44"/>
      <c r="AA233" s="44"/>
      <c r="AB233" s="44"/>
      <c r="AC233" s="44"/>
    </row>
    <row r="234" spans="1:29" s="47" customFormat="1" ht="12.75" customHeight="1">
      <c r="A234" s="47" t="s">
        <v>262</v>
      </c>
      <c r="C234" s="47" t="s">
        <v>132</v>
      </c>
      <c r="E234" s="44">
        <v>1116671</v>
      </c>
      <c r="F234" s="44"/>
      <c r="G234" s="44">
        <v>816728</v>
      </c>
      <c r="H234" s="44"/>
      <c r="I234" s="44">
        <v>77796</v>
      </c>
      <c r="J234" s="44"/>
      <c r="K234" s="44">
        <f>1712090+427259+84303</f>
        <v>2223652</v>
      </c>
      <c r="L234" s="44"/>
      <c r="M234" s="44">
        <v>1640478</v>
      </c>
      <c r="N234" s="44"/>
      <c r="O234" s="44">
        <v>754</v>
      </c>
      <c r="P234" s="44"/>
      <c r="Q234" s="44">
        <v>1021205</v>
      </c>
      <c r="R234" s="44"/>
      <c r="S234" s="44">
        <v>262828</v>
      </c>
      <c r="T234" s="44"/>
      <c r="U234" s="44">
        <f>34450+1693+836313</f>
        <v>872456</v>
      </c>
      <c r="V234" s="44"/>
      <c r="W234" s="44">
        <v>-71904</v>
      </c>
      <c r="X234" s="44"/>
      <c r="Y234" s="44">
        <v>0</v>
      </c>
      <c r="Z234" s="44"/>
      <c r="AA234" s="44">
        <f t="shared" si="8"/>
        <v>5949469</v>
      </c>
      <c r="AB234" s="44"/>
      <c r="AC234" s="44">
        <f t="shared" si="7"/>
        <v>7960664</v>
      </c>
    </row>
    <row r="235" spans="1:29" s="47" customFormat="1" ht="12.75" customHeight="1">
      <c r="A235" s="47" t="s">
        <v>263</v>
      </c>
      <c r="C235" s="47" t="s">
        <v>53</v>
      </c>
      <c r="E235" s="44">
        <v>3388495</v>
      </c>
      <c r="F235" s="44"/>
      <c r="G235" s="44">
        <v>261846</v>
      </c>
      <c r="H235" s="44"/>
      <c r="I235" s="44">
        <v>1886282</v>
      </c>
      <c r="J235" s="44"/>
      <c r="K235" s="44">
        <v>2850862</v>
      </c>
      <c r="L235" s="44"/>
      <c r="M235" s="44">
        <v>5720788</v>
      </c>
      <c r="N235" s="44"/>
      <c r="O235" s="44">
        <v>0</v>
      </c>
      <c r="P235" s="44"/>
      <c r="Q235" s="44">
        <v>4212779</v>
      </c>
      <c r="R235" s="44"/>
      <c r="S235" s="44">
        <v>891744</v>
      </c>
      <c r="T235" s="44"/>
      <c r="U235" s="44">
        <v>66997</v>
      </c>
      <c r="V235" s="44"/>
      <c r="W235" s="44">
        <v>-750000</v>
      </c>
      <c r="X235" s="44"/>
      <c r="Y235" s="44">
        <v>0</v>
      </c>
      <c r="Z235" s="44"/>
      <c r="AA235" s="44">
        <f t="shared" si="8"/>
        <v>12993170</v>
      </c>
      <c r="AB235" s="44"/>
      <c r="AC235" s="44">
        <f t="shared" si="7"/>
        <v>18529793</v>
      </c>
    </row>
    <row r="236" spans="1:29" s="47" customFormat="1" ht="12.75" customHeight="1">
      <c r="A236" s="47" t="s">
        <v>264</v>
      </c>
      <c r="C236" s="47" t="s">
        <v>239</v>
      </c>
      <c r="E236" s="44">
        <v>615014</v>
      </c>
      <c r="F236" s="44"/>
      <c r="G236" s="44">
        <v>739172</v>
      </c>
      <c r="H236" s="44"/>
      <c r="I236" s="44">
        <v>0</v>
      </c>
      <c r="J236" s="44"/>
      <c r="K236" s="44">
        <v>485791</v>
      </c>
      <c r="L236" s="44"/>
      <c r="M236" s="44">
        <v>2286433</v>
      </c>
      <c r="N236" s="44"/>
      <c r="O236" s="44">
        <v>753216</v>
      </c>
      <c r="P236" s="44"/>
      <c r="Q236" s="44">
        <v>2609357</v>
      </c>
      <c r="R236" s="44"/>
      <c r="S236" s="44">
        <v>1159677</v>
      </c>
      <c r="T236" s="44"/>
      <c r="U236" s="44">
        <v>38736</v>
      </c>
      <c r="V236" s="44"/>
      <c r="W236" s="44">
        <v>-427882</v>
      </c>
      <c r="X236" s="44"/>
      <c r="Y236" s="44">
        <v>758341</v>
      </c>
      <c r="Z236" s="44"/>
      <c r="AA236" s="44">
        <f>SUM(K236:Y236)</f>
        <v>7663669</v>
      </c>
      <c r="AB236" s="44"/>
      <c r="AC236" s="44">
        <f>SUM(E236:Y236)</f>
        <v>9017855</v>
      </c>
    </row>
    <row r="237" spans="1:29" s="47" customFormat="1" ht="12.75" customHeight="1">
      <c r="A237" s="47" t="s">
        <v>111</v>
      </c>
      <c r="C237" s="47" t="s">
        <v>80</v>
      </c>
      <c r="E237" s="44">
        <v>3769095</v>
      </c>
      <c r="F237" s="44"/>
      <c r="G237" s="44">
        <v>4304109</v>
      </c>
      <c r="H237" s="44"/>
      <c r="I237" s="44">
        <v>780998</v>
      </c>
      <c r="J237" s="44"/>
      <c r="K237" s="44">
        <v>1677844</v>
      </c>
      <c r="L237" s="44"/>
      <c r="M237" s="44">
        <v>18221022</v>
      </c>
      <c r="N237" s="44"/>
      <c r="O237" s="44">
        <v>0</v>
      </c>
      <c r="P237" s="44"/>
      <c r="Q237" s="44">
        <v>2995358</v>
      </c>
      <c r="R237" s="44"/>
      <c r="S237" s="44">
        <v>1239089</v>
      </c>
      <c r="T237" s="44"/>
      <c r="U237" s="44">
        <v>548405</v>
      </c>
      <c r="V237" s="44"/>
      <c r="W237" s="44">
        <v>-327477</v>
      </c>
      <c r="X237" s="44"/>
      <c r="Y237" s="44">
        <v>0</v>
      </c>
      <c r="Z237" s="44"/>
      <c r="AA237" s="44">
        <f t="shared" si="8"/>
        <v>24354241</v>
      </c>
      <c r="AB237" s="44"/>
      <c r="AC237" s="44">
        <f t="shared" si="7"/>
        <v>33208443</v>
      </c>
    </row>
    <row r="238" spans="1:29" s="47" customFormat="1" ht="12.75" customHeight="1">
      <c r="A238" s="47" t="s">
        <v>265</v>
      </c>
      <c r="C238" s="47" t="s">
        <v>27</v>
      </c>
      <c r="E238" s="44">
        <v>950805</v>
      </c>
      <c r="F238" s="44"/>
      <c r="G238" s="44">
        <v>1059569</v>
      </c>
      <c r="H238" s="44"/>
      <c r="I238" s="44">
        <v>384163</v>
      </c>
      <c r="J238" s="44"/>
      <c r="K238" s="44">
        <v>2502585</v>
      </c>
      <c r="L238" s="44"/>
      <c r="M238" s="44">
        <v>10625219</v>
      </c>
      <c r="N238" s="44"/>
      <c r="O238" s="44">
        <v>0</v>
      </c>
      <c r="P238" s="44"/>
      <c r="Q238" s="44">
        <v>1073104</v>
      </c>
      <c r="R238" s="44"/>
      <c r="S238" s="44">
        <v>173564</v>
      </c>
      <c r="T238" s="44"/>
      <c r="U238" s="44">
        <v>59474</v>
      </c>
      <c r="V238" s="44"/>
      <c r="W238" s="44">
        <v>0</v>
      </c>
      <c r="X238" s="44"/>
      <c r="Y238" s="44">
        <v>0</v>
      </c>
      <c r="Z238" s="44"/>
      <c r="AA238" s="44">
        <f t="shared" si="8"/>
        <v>14433946</v>
      </c>
      <c r="AB238" s="44"/>
      <c r="AC238" s="44">
        <f t="shared" si="7"/>
        <v>16828483</v>
      </c>
    </row>
    <row r="239" spans="1:29" s="47" customFormat="1" ht="12.75" customHeight="1">
      <c r="A239" s="47" t="s">
        <v>40</v>
      </c>
      <c r="C239" s="47" t="s">
        <v>452</v>
      </c>
      <c r="E239" s="44">
        <v>1544642</v>
      </c>
      <c r="F239" s="44"/>
      <c r="G239" s="44">
        <v>446862</v>
      </c>
      <c r="H239" s="44"/>
      <c r="I239" s="44">
        <v>595534</v>
      </c>
      <c r="J239" s="44"/>
      <c r="K239" s="44">
        <v>1458346</v>
      </c>
      <c r="L239" s="44"/>
      <c r="M239" s="44">
        <v>4535608</v>
      </c>
      <c r="N239" s="44"/>
      <c r="O239" s="44">
        <v>603997</v>
      </c>
      <c r="P239" s="44"/>
      <c r="Q239" s="44">
        <v>73128</v>
      </c>
      <c r="R239" s="44"/>
      <c r="S239" s="44">
        <v>333934</v>
      </c>
      <c r="T239" s="44"/>
      <c r="U239" s="44">
        <v>1642189</v>
      </c>
      <c r="V239" s="44"/>
      <c r="W239" s="44">
        <v>-62960</v>
      </c>
      <c r="X239" s="44"/>
      <c r="Y239" s="44">
        <v>0</v>
      </c>
      <c r="Z239" s="44"/>
      <c r="AA239" s="44">
        <f t="shared" si="8"/>
        <v>8584242</v>
      </c>
      <c r="AB239" s="44"/>
      <c r="AC239" s="44">
        <f t="shared" si="7"/>
        <v>11171280</v>
      </c>
    </row>
    <row r="240" spans="1:29" s="47" customFormat="1" ht="12.75" customHeight="1">
      <c r="A240" s="47" t="s">
        <v>266</v>
      </c>
      <c r="C240" s="47" t="s">
        <v>267</v>
      </c>
      <c r="E240" s="44">
        <v>555397</v>
      </c>
      <c r="F240" s="44"/>
      <c r="G240" s="44">
        <v>538404</v>
      </c>
      <c r="H240" s="44"/>
      <c r="I240" s="44">
        <v>0</v>
      </c>
      <c r="J240" s="44"/>
      <c r="K240" s="44">
        <v>258293</v>
      </c>
      <c r="L240" s="44"/>
      <c r="M240" s="44">
        <v>3354507</v>
      </c>
      <c r="N240" s="44"/>
      <c r="O240" s="44">
        <v>0</v>
      </c>
      <c r="P240" s="44"/>
      <c r="Q240" s="44">
        <v>589754</v>
      </c>
      <c r="R240" s="44"/>
      <c r="S240" s="44">
        <v>236245</v>
      </c>
      <c r="T240" s="44"/>
      <c r="U240" s="44">
        <v>248245</v>
      </c>
      <c r="V240" s="44"/>
      <c r="W240" s="44">
        <v>0</v>
      </c>
      <c r="X240" s="44"/>
      <c r="Y240" s="44">
        <v>0</v>
      </c>
      <c r="Z240" s="44"/>
      <c r="AA240" s="44">
        <f t="shared" si="8"/>
        <v>4687044</v>
      </c>
      <c r="AB240" s="44"/>
      <c r="AC240" s="44">
        <f t="shared" si="7"/>
        <v>5780845</v>
      </c>
    </row>
    <row r="241" spans="1:29" s="47" customFormat="1" ht="12.75" customHeight="1">
      <c r="A241" s="47" t="s">
        <v>268</v>
      </c>
      <c r="C241" s="47" t="s">
        <v>269</v>
      </c>
      <c r="E241" s="44">
        <v>247622</v>
      </c>
      <c r="F241" s="44"/>
      <c r="G241" s="44">
        <v>224823</v>
      </c>
      <c r="H241" s="44"/>
      <c r="I241" s="44">
        <v>27563</v>
      </c>
      <c r="J241" s="44"/>
      <c r="K241" s="44">
        <v>1459337</v>
      </c>
      <c r="L241" s="44"/>
      <c r="M241" s="44">
        <v>1503210</v>
      </c>
      <c r="N241" s="44"/>
      <c r="O241" s="44">
        <v>0</v>
      </c>
      <c r="P241" s="44"/>
      <c r="Q241" s="44">
        <v>46607</v>
      </c>
      <c r="R241" s="44"/>
      <c r="S241" s="44">
        <v>8812</v>
      </c>
      <c r="T241" s="44"/>
      <c r="U241" s="44">
        <v>254116</v>
      </c>
      <c r="V241" s="44"/>
      <c r="W241" s="44">
        <v>-160000</v>
      </c>
      <c r="X241" s="44"/>
      <c r="Y241" s="44">
        <v>0</v>
      </c>
      <c r="Z241" s="44"/>
      <c r="AA241" s="44">
        <f t="shared" si="8"/>
        <v>3112082</v>
      </c>
      <c r="AB241" s="44"/>
      <c r="AC241" s="44">
        <f t="shared" si="7"/>
        <v>3612090</v>
      </c>
    </row>
    <row r="242" spans="1:29" s="47" customFormat="1" ht="12.75" customHeight="1">
      <c r="A242" s="47" t="s">
        <v>270</v>
      </c>
      <c r="C242" s="47" t="s">
        <v>136</v>
      </c>
      <c r="E242" s="44">
        <v>420864</v>
      </c>
      <c r="F242" s="44"/>
      <c r="G242" s="44">
        <v>603364</v>
      </c>
      <c r="H242" s="44"/>
      <c r="I242" s="44">
        <v>0</v>
      </c>
      <c r="J242" s="44"/>
      <c r="K242" s="44">
        <v>865720</v>
      </c>
      <c r="L242" s="44"/>
      <c r="M242" s="44">
        <v>1113445</v>
      </c>
      <c r="N242" s="44"/>
      <c r="O242" s="44">
        <v>0</v>
      </c>
      <c r="P242" s="44"/>
      <c r="Q242" s="44">
        <v>455741</v>
      </c>
      <c r="R242" s="44"/>
      <c r="S242" s="44">
        <v>114873</v>
      </c>
      <c r="T242" s="44"/>
      <c r="U242" s="44">
        <v>28938</v>
      </c>
      <c r="V242" s="44"/>
      <c r="W242" s="44">
        <v>-184869</v>
      </c>
      <c r="X242" s="44"/>
      <c r="Y242" s="44">
        <v>0</v>
      </c>
      <c r="Z242" s="44"/>
      <c r="AA242" s="44">
        <f>SUM(K242:Y242)</f>
        <v>2393848</v>
      </c>
      <c r="AB242" s="44"/>
      <c r="AC242" s="44">
        <f>SUM(E242:Y242)</f>
        <v>3418076</v>
      </c>
    </row>
    <row r="243" spans="1:29" s="47" customFormat="1" ht="12.75" customHeight="1">
      <c r="A243" s="47" t="s">
        <v>271</v>
      </c>
      <c r="C243" s="47" t="s">
        <v>66</v>
      </c>
      <c r="E243" s="44">
        <v>1241915</v>
      </c>
      <c r="F243" s="44"/>
      <c r="G243" s="44">
        <v>68363</v>
      </c>
      <c r="H243" s="44"/>
      <c r="I243" s="44">
        <v>285398</v>
      </c>
      <c r="J243" s="44"/>
      <c r="K243" s="44">
        <v>874193</v>
      </c>
      <c r="L243" s="44"/>
      <c r="M243" s="44">
        <v>6264496</v>
      </c>
      <c r="N243" s="44"/>
      <c r="O243" s="44">
        <v>0</v>
      </c>
      <c r="P243" s="44"/>
      <c r="Q243" s="44">
        <v>742519</v>
      </c>
      <c r="R243" s="44"/>
      <c r="S243" s="44">
        <v>148169</v>
      </c>
      <c r="T243" s="44"/>
      <c r="U243" s="44">
        <v>330475</v>
      </c>
      <c r="V243" s="44"/>
      <c r="W243" s="44">
        <v>-160469</v>
      </c>
      <c r="X243" s="44"/>
      <c r="Y243" s="44">
        <v>0</v>
      </c>
      <c r="Z243" s="44"/>
      <c r="AA243" s="44">
        <f t="shared" si="8"/>
        <v>8199383</v>
      </c>
      <c r="AB243" s="44"/>
      <c r="AC243" s="44">
        <f t="shared" si="7"/>
        <v>9795059</v>
      </c>
    </row>
    <row r="244" spans="1:29" s="47" customFormat="1" ht="12.75" customHeight="1">
      <c r="A244" s="47" t="s">
        <v>272</v>
      </c>
      <c r="C244" s="47" t="s">
        <v>43</v>
      </c>
      <c r="E244" s="44">
        <v>4986322</v>
      </c>
      <c r="F244" s="44"/>
      <c r="G244" s="44">
        <v>4921913</v>
      </c>
      <c r="H244" s="44"/>
      <c r="I244" s="44">
        <v>790970</v>
      </c>
      <c r="J244" s="44"/>
      <c r="K244" s="44">
        <v>10805835</v>
      </c>
      <c r="L244" s="44"/>
      <c r="M244" s="44">
        <v>21974035</v>
      </c>
      <c r="N244" s="44"/>
      <c r="O244" s="44">
        <v>2163973</v>
      </c>
      <c r="P244" s="44"/>
      <c r="Q244" s="44">
        <v>5392820</v>
      </c>
      <c r="R244" s="44"/>
      <c r="S244" s="44">
        <v>4755384</v>
      </c>
      <c r="T244" s="44"/>
      <c r="U244" s="44">
        <v>17826</v>
      </c>
      <c r="V244" s="44"/>
      <c r="W244" s="44">
        <v>0</v>
      </c>
      <c r="X244" s="44"/>
      <c r="Y244" s="44">
        <v>0</v>
      </c>
      <c r="Z244" s="44"/>
      <c r="AA244" s="44">
        <f t="shared" si="8"/>
        <v>45109873</v>
      </c>
      <c r="AB244" s="44"/>
      <c r="AC244" s="44">
        <f t="shared" si="7"/>
        <v>55809078</v>
      </c>
    </row>
    <row r="245" spans="1:29" s="47" customFormat="1" ht="12.75" customHeight="1">
      <c r="A245" s="47" t="s">
        <v>273</v>
      </c>
      <c r="C245" s="47" t="s">
        <v>27</v>
      </c>
      <c r="E245" s="44">
        <v>4755203</v>
      </c>
      <c r="F245" s="44"/>
      <c r="G245" s="44">
        <v>2247881</v>
      </c>
      <c r="H245" s="44"/>
      <c r="I245" s="44">
        <v>86159</v>
      </c>
      <c r="J245" s="44"/>
      <c r="K245" s="44">
        <v>12949576</v>
      </c>
      <c r="L245" s="44"/>
      <c r="M245" s="44">
        <v>20866746</v>
      </c>
      <c r="N245" s="44"/>
      <c r="O245" s="44">
        <v>703595</v>
      </c>
      <c r="P245" s="44"/>
      <c r="Q245" s="44">
        <v>3569675</v>
      </c>
      <c r="R245" s="44"/>
      <c r="S245" s="44">
        <v>4330669</v>
      </c>
      <c r="T245" s="44"/>
      <c r="U245" s="44">
        <v>322680</v>
      </c>
      <c r="V245" s="44"/>
      <c r="W245" s="44">
        <v>133438</v>
      </c>
      <c r="X245" s="44"/>
      <c r="Y245" s="44">
        <v>0</v>
      </c>
      <c r="Z245" s="44"/>
      <c r="AA245" s="44">
        <f t="shared" si="8"/>
        <v>42876379</v>
      </c>
      <c r="AB245" s="44"/>
      <c r="AC245" s="44">
        <f t="shared" si="7"/>
        <v>49965622</v>
      </c>
    </row>
    <row r="246" spans="1:29" s="47" customFormat="1" ht="12.75" customHeight="1">
      <c r="A246" s="47" t="s">
        <v>274</v>
      </c>
      <c r="C246" s="47" t="s">
        <v>43</v>
      </c>
      <c r="E246" s="44">
        <v>1375546</v>
      </c>
      <c r="F246" s="44"/>
      <c r="G246" s="44">
        <v>1772017</v>
      </c>
      <c r="H246" s="44"/>
      <c r="I246" s="44">
        <v>81315</v>
      </c>
      <c r="J246" s="44"/>
      <c r="K246" s="44">
        <v>415056</v>
      </c>
      <c r="L246" s="44"/>
      <c r="M246" s="44">
        <v>15014192</v>
      </c>
      <c r="N246" s="44"/>
      <c r="O246" s="44">
        <v>139091</v>
      </c>
      <c r="P246" s="44"/>
      <c r="Q246" s="44">
        <v>2001045</v>
      </c>
      <c r="R246" s="44"/>
      <c r="S246" s="44">
        <v>467186</v>
      </c>
      <c r="T246" s="44"/>
      <c r="U246" s="44">
        <v>463111</v>
      </c>
      <c r="V246" s="44"/>
      <c r="W246" s="44">
        <v>0</v>
      </c>
      <c r="X246" s="44"/>
      <c r="Y246" s="44">
        <v>0</v>
      </c>
      <c r="Z246" s="44"/>
      <c r="AA246" s="44">
        <f t="shared" si="8"/>
        <v>18499681</v>
      </c>
      <c r="AB246" s="44"/>
      <c r="AC246" s="44">
        <f t="shared" si="7"/>
        <v>21728559</v>
      </c>
    </row>
    <row r="247" spans="1:29" s="47" customFormat="1" ht="12.75" customHeight="1">
      <c r="A247" s="47" t="s">
        <v>275</v>
      </c>
      <c r="C247" s="47" t="s">
        <v>92</v>
      </c>
      <c r="E247" s="44">
        <v>1643817</v>
      </c>
      <c r="F247" s="44"/>
      <c r="G247" s="44">
        <v>1088574</v>
      </c>
      <c r="H247" s="44"/>
      <c r="I247" s="44">
        <v>197892</v>
      </c>
      <c r="J247" s="44"/>
      <c r="K247" s="44">
        <v>2211879</v>
      </c>
      <c r="L247" s="44"/>
      <c r="M247" s="44">
        <v>8854935</v>
      </c>
      <c r="N247" s="44"/>
      <c r="O247" s="44">
        <v>343203</v>
      </c>
      <c r="P247" s="44"/>
      <c r="Q247" s="44">
        <v>2153695</v>
      </c>
      <c r="R247" s="44"/>
      <c r="S247" s="44">
        <v>776250</v>
      </c>
      <c r="T247" s="44"/>
      <c r="U247" s="44">
        <v>543170</v>
      </c>
      <c r="V247" s="44"/>
      <c r="W247" s="44">
        <v>0</v>
      </c>
      <c r="X247" s="44"/>
      <c r="Y247" s="44">
        <v>0</v>
      </c>
      <c r="Z247" s="44"/>
      <c r="AA247" s="44">
        <f t="shared" si="8"/>
        <v>14883132</v>
      </c>
      <c r="AB247" s="44"/>
      <c r="AC247" s="44">
        <f t="shared" si="7"/>
        <v>17813415</v>
      </c>
    </row>
    <row r="248" spans="1:29" s="47" customFormat="1" ht="12.75" customHeight="1">
      <c r="A248" s="47" t="s">
        <v>276</v>
      </c>
      <c r="C248" s="47" t="s">
        <v>38</v>
      </c>
      <c r="E248" s="44">
        <v>663904</v>
      </c>
      <c r="F248" s="44"/>
      <c r="G248" s="44">
        <v>366139</v>
      </c>
      <c r="H248" s="44"/>
      <c r="I248" s="44">
        <v>27646</v>
      </c>
      <c r="J248" s="44"/>
      <c r="K248" s="44">
        <v>586028</v>
      </c>
      <c r="L248" s="44"/>
      <c r="M248" s="44">
        <v>2836818</v>
      </c>
      <c r="N248" s="44"/>
      <c r="O248" s="44">
        <v>0</v>
      </c>
      <c r="P248" s="44"/>
      <c r="Q248" s="44">
        <v>440802</v>
      </c>
      <c r="R248" s="44"/>
      <c r="S248" s="44">
        <v>331985</v>
      </c>
      <c r="T248" s="44"/>
      <c r="U248" s="44">
        <v>31863</v>
      </c>
      <c r="V248" s="44"/>
      <c r="W248" s="44">
        <v>260000</v>
      </c>
      <c r="X248" s="44"/>
      <c r="Y248" s="44">
        <v>0</v>
      </c>
      <c r="Z248" s="44"/>
      <c r="AA248" s="44">
        <f t="shared" si="8"/>
        <v>4487496</v>
      </c>
      <c r="AB248" s="44"/>
      <c r="AC248" s="44">
        <f t="shared" si="7"/>
        <v>5545185</v>
      </c>
    </row>
    <row r="249" spans="1:29" s="47" customFormat="1" ht="12.75" customHeight="1">
      <c r="A249" s="47" t="s">
        <v>277</v>
      </c>
      <c r="C249" s="47" t="s">
        <v>92</v>
      </c>
      <c r="E249" s="44">
        <v>4802946</v>
      </c>
      <c r="F249" s="44"/>
      <c r="G249" s="44">
        <v>118956</v>
      </c>
      <c r="H249" s="44"/>
      <c r="I249" s="44">
        <v>110980</v>
      </c>
      <c r="J249" s="44"/>
      <c r="K249" s="44">
        <v>4981602</v>
      </c>
      <c r="L249" s="44"/>
      <c r="M249" s="44">
        <v>15570705</v>
      </c>
      <c r="N249" s="44"/>
      <c r="O249" s="44">
        <v>0</v>
      </c>
      <c r="P249" s="44"/>
      <c r="Q249" s="44">
        <v>4797309</v>
      </c>
      <c r="R249" s="44"/>
      <c r="S249" s="44">
        <v>990190</v>
      </c>
      <c r="T249" s="44"/>
      <c r="U249" s="44">
        <v>2418</v>
      </c>
      <c r="V249" s="44"/>
      <c r="W249" s="44">
        <v>-68000</v>
      </c>
      <c r="X249" s="44"/>
      <c r="Y249" s="44">
        <v>5093</v>
      </c>
      <c r="Z249" s="44"/>
      <c r="AA249" s="44">
        <f t="shared" si="8"/>
        <v>26279317</v>
      </c>
      <c r="AB249" s="44"/>
      <c r="AC249" s="44">
        <f t="shared" si="7"/>
        <v>31312199</v>
      </c>
    </row>
    <row r="250" spans="1:29" s="47" customFormat="1" ht="12.75" customHeight="1">
      <c r="A250" s="47" t="s">
        <v>278</v>
      </c>
      <c r="C250" s="47" t="s">
        <v>92</v>
      </c>
      <c r="E250" s="44">
        <v>1457978</v>
      </c>
      <c r="F250" s="44"/>
      <c r="G250" s="44">
        <v>995754</v>
      </c>
      <c r="H250" s="44"/>
      <c r="I250" s="44">
        <v>284175</v>
      </c>
      <c r="J250" s="44"/>
      <c r="K250" s="44">
        <v>2114199</v>
      </c>
      <c r="L250" s="44"/>
      <c r="M250" s="44">
        <v>3330741</v>
      </c>
      <c r="N250" s="44"/>
      <c r="O250" s="44">
        <v>0</v>
      </c>
      <c r="P250" s="44"/>
      <c r="Q250" s="44">
        <v>933051</v>
      </c>
      <c r="R250" s="44"/>
      <c r="S250" s="44">
        <v>39674</v>
      </c>
      <c r="T250" s="44"/>
      <c r="U250" s="44">
        <v>154532</v>
      </c>
      <c r="V250" s="44"/>
      <c r="W250" s="44">
        <v>-693</v>
      </c>
      <c r="X250" s="44"/>
      <c r="Y250" s="44">
        <v>0</v>
      </c>
      <c r="Z250" s="44"/>
      <c r="AA250" s="44">
        <f t="shared" si="8"/>
        <v>6571504</v>
      </c>
      <c r="AB250" s="44"/>
      <c r="AC250" s="44">
        <f t="shared" si="7"/>
        <v>9309411</v>
      </c>
    </row>
    <row r="251" spans="1:29" s="47" customFormat="1" ht="12.75" customHeight="1">
      <c r="A251" s="47" t="s">
        <v>279</v>
      </c>
      <c r="C251" s="47" t="s">
        <v>92</v>
      </c>
      <c r="E251" s="44">
        <v>860101</v>
      </c>
      <c r="F251" s="44"/>
      <c r="G251" s="44">
        <v>91849</v>
      </c>
      <c r="H251" s="44"/>
      <c r="I251" s="44">
        <v>136139</v>
      </c>
      <c r="J251" s="44"/>
      <c r="K251" s="44">
        <v>3894125</v>
      </c>
      <c r="L251" s="44"/>
      <c r="M251" s="44">
        <v>2366737</v>
      </c>
      <c r="N251" s="44"/>
      <c r="O251" s="44">
        <v>0</v>
      </c>
      <c r="P251" s="44"/>
      <c r="Q251" s="44">
        <v>3008449</v>
      </c>
      <c r="R251" s="44"/>
      <c r="S251" s="44">
        <v>449699</v>
      </c>
      <c r="T251" s="44"/>
      <c r="U251" s="44">
        <v>64512</v>
      </c>
      <c r="V251" s="44"/>
      <c r="W251" s="44">
        <v>-14262</v>
      </c>
      <c r="X251" s="44"/>
      <c r="Y251" s="44">
        <v>0</v>
      </c>
      <c r="Z251" s="44"/>
      <c r="AA251" s="44">
        <f t="shared" si="8"/>
        <v>9769260</v>
      </c>
      <c r="AB251" s="44"/>
      <c r="AC251" s="44">
        <f t="shared" si="7"/>
        <v>10857349</v>
      </c>
    </row>
    <row r="252" spans="1:29" s="47" customFormat="1" ht="12.75" customHeight="1">
      <c r="A252" s="47" t="s">
        <v>280</v>
      </c>
      <c r="C252" s="47" t="s">
        <v>281</v>
      </c>
      <c r="E252" s="44">
        <v>2571179</v>
      </c>
      <c r="F252" s="44"/>
      <c r="G252" s="44">
        <v>2793668</v>
      </c>
      <c r="H252" s="44"/>
      <c r="I252" s="44">
        <v>706975</v>
      </c>
      <c r="J252" s="44"/>
      <c r="K252" s="44">
        <v>2168212</v>
      </c>
      <c r="L252" s="44"/>
      <c r="M252" s="44">
        <v>4599161</v>
      </c>
      <c r="N252" s="44"/>
      <c r="O252" s="44">
        <v>0</v>
      </c>
      <c r="P252" s="44"/>
      <c r="Q252" s="44">
        <v>1106944</v>
      </c>
      <c r="R252" s="44"/>
      <c r="S252" s="44">
        <v>308525</v>
      </c>
      <c r="T252" s="44"/>
      <c r="U252" s="44">
        <v>803648</v>
      </c>
      <c r="V252" s="44"/>
      <c r="W252" s="44">
        <v>0</v>
      </c>
      <c r="X252" s="44"/>
      <c r="Y252" s="44">
        <v>0</v>
      </c>
      <c r="Z252" s="44"/>
      <c r="AA252" s="44">
        <f t="shared" si="8"/>
        <v>8986490</v>
      </c>
      <c r="AB252" s="44"/>
      <c r="AC252" s="44">
        <f t="shared" si="7"/>
        <v>15058312</v>
      </c>
    </row>
    <row r="253" spans="1:29" s="47" customFormat="1" ht="12.75" customHeight="1">
      <c r="A253" s="47" t="s">
        <v>282</v>
      </c>
      <c r="C253" s="47" t="s">
        <v>199</v>
      </c>
      <c r="E253" s="44">
        <v>1960445</v>
      </c>
      <c r="F253" s="44"/>
      <c r="G253" s="44">
        <v>2083772</v>
      </c>
      <c r="H253" s="44"/>
      <c r="I253" s="44">
        <v>566152</v>
      </c>
      <c r="J253" s="44"/>
      <c r="K253" s="44">
        <v>2539667</v>
      </c>
      <c r="L253" s="44"/>
      <c r="M253" s="44">
        <v>9655637</v>
      </c>
      <c r="N253" s="44"/>
      <c r="O253" s="44">
        <f>1263406+156057</f>
        <v>1419463</v>
      </c>
      <c r="P253" s="44"/>
      <c r="Q253" s="44">
        <v>1680018</v>
      </c>
      <c r="R253" s="44"/>
      <c r="S253" s="44">
        <v>1370251</v>
      </c>
      <c r="T253" s="44"/>
      <c r="U253" s="44">
        <v>459353</v>
      </c>
      <c r="V253" s="44"/>
      <c r="W253" s="44">
        <v>0</v>
      </c>
      <c r="X253" s="44"/>
      <c r="Y253" s="44">
        <v>4300000</v>
      </c>
      <c r="Z253" s="44"/>
      <c r="AA253" s="44">
        <f t="shared" si="8"/>
        <v>21424389</v>
      </c>
      <c r="AB253" s="44"/>
      <c r="AC253" s="44">
        <f t="shared" si="7"/>
        <v>26034758</v>
      </c>
    </row>
    <row r="254" spans="1:29" s="47" customFormat="1" ht="12.75" customHeight="1">
      <c r="A254" s="47" t="s">
        <v>283</v>
      </c>
      <c r="C254" s="47" t="s">
        <v>43</v>
      </c>
      <c r="E254" s="44">
        <v>3721758</v>
      </c>
      <c r="F254" s="44"/>
      <c r="G254" s="44">
        <v>1139429</v>
      </c>
      <c r="H254" s="44"/>
      <c r="I254" s="44">
        <v>0</v>
      </c>
      <c r="J254" s="44"/>
      <c r="K254" s="44">
        <v>2904875</v>
      </c>
      <c r="L254" s="44"/>
      <c r="M254" s="44">
        <v>15833495</v>
      </c>
      <c r="N254" s="44"/>
      <c r="O254" s="44">
        <v>0</v>
      </c>
      <c r="P254" s="44"/>
      <c r="Q254" s="44">
        <v>1692909</v>
      </c>
      <c r="R254" s="44"/>
      <c r="S254" s="44">
        <v>846178</v>
      </c>
      <c r="T254" s="44"/>
      <c r="U254" s="44">
        <v>585745</v>
      </c>
      <c r="V254" s="44"/>
      <c r="W254" s="44">
        <v>0</v>
      </c>
      <c r="X254" s="44"/>
      <c r="Y254" s="44">
        <v>0</v>
      </c>
      <c r="Z254" s="44"/>
      <c r="AA254" s="44">
        <f t="shared" si="8"/>
        <v>21863202</v>
      </c>
      <c r="AB254" s="44"/>
      <c r="AC254" s="44">
        <f t="shared" si="7"/>
        <v>26724389</v>
      </c>
    </row>
    <row r="255" spans="1:29" s="47" customFormat="1" ht="12.75" customHeight="1">
      <c r="A255" s="47" t="s">
        <v>284</v>
      </c>
      <c r="C255" s="47" t="s">
        <v>45</v>
      </c>
      <c r="E255" s="44">
        <v>1182523</v>
      </c>
      <c r="F255" s="44"/>
      <c r="G255" s="44">
        <v>482852</v>
      </c>
      <c r="H255" s="44"/>
      <c r="I255" s="44">
        <v>283604</v>
      </c>
      <c r="J255" s="44"/>
      <c r="K255" s="44">
        <v>2744068</v>
      </c>
      <c r="L255" s="44"/>
      <c r="M255" s="44">
        <v>4605216</v>
      </c>
      <c r="N255" s="44"/>
      <c r="O255" s="44">
        <v>0</v>
      </c>
      <c r="P255" s="44"/>
      <c r="Q255" s="44">
        <v>1679077</v>
      </c>
      <c r="R255" s="44"/>
      <c r="S255" s="44">
        <v>460683</v>
      </c>
      <c r="T255" s="44"/>
      <c r="U255" s="44">
        <v>43329</v>
      </c>
      <c r="V255" s="44"/>
      <c r="W255" s="44">
        <v>99923</v>
      </c>
      <c r="X255" s="44"/>
      <c r="Y255" s="44">
        <v>0</v>
      </c>
      <c r="Z255" s="44"/>
      <c r="AA255" s="44">
        <f t="shared" si="8"/>
        <v>9632296</v>
      </c>
      <c r="AB255" s="44"/>
      <c r="AC255" s="44">
        <f t="shared" si="7"/>
        <v>11581275</v>
      </c>
    </row>
    <row r="256" spans="1:29" s="47" customFormat="1" ht="12.75" customHeight="1">
      <c r="A256" s="47" t="s">
        <v>285</v>
      </c>
      <c r="C256" s="47" t="s">
        <v>30</v>
      </c>
      <c r="E256" s="44">
        <v>3107598</v>
      </c>
      <c r="F256" s="44"/>
      <c r="G256" s="44">
        <v>266159</v>
      </c>
      <c r="H256" s="44"/>
      <c r="I256" s="44">
        <v>533226</v>
      </c>
      <c r="J256" s="44"/>
      <c r="K256" s="44">
        <v>0</v>
      </c>
      <c r="L256" s="44"/>
      <c r="M256" s="44">
        <v>9876205</v>
      </c>
      <c r="N256" s="44"/>
      <c r="O256" s="44">
        <v>3391553</v>
      </c>
      <c r="P256" s="44"/>
      <c r="Q256" s="44">
        <v>1399623</v>
      </c>
      <c r="R256" s="44"/>
      <c r="S256" s="44">
        <v>402797</v>
      </c>
      <c r="T256" s="44"/>
      <c r="U256" s="44">
        <v>302915</v>
      </c>
      <c r="V256" s="44"/>
      <c r="W256" s="44">
        <v>-5370976</v>
      </c>
      <c r="X256" s="44"/>
      <c r="Y256" s="44">
        <v>0</v>
      </c>
      <c r="Z256" s="44"/>
      <c r="AA256" s="44">
        <f t="shared" si="8"/>
        <v>10002117</v>
      </c>
      <c r="AB256" s="44"/>
      <c r="AC256" s="44">
        <f t="shared" si="7"/>
        <v>13909100</v>
      </c>
    </row>
    <row r="257" spans="1:29" s="47" customFormat="1" ht="12.75" customHeight="1">
      <c r="A257" s="47" t="s">
        <v>286</v>
      </c>
      <c r="C257" s="47" t="s">
        <v>61</v>
      </c>
      <c r="E257" s="44">
        <v>9056144</v>
      </c>
      <c r="F257" s="44"/>
      <c r="G257" s="44">
        <v>10486580</v>
      </c>
      <c r="H257" s="44"/>
      <c r="I257" s="44">
        <v>2621060</v>
      </c>
      <c r="J257" s="44"/>
      <c r="K257" s="44">
        <v>2208305</v>
      </c>
      <c r="L257" s="44"/>
      <c r="M257" s="44">
        <v>48125921</v>
      </c>
      <c r="N257" s="44"/>
      <c r="O257" s="44">
        <v>0</v>
      </c>
      <c r="P257" s="44"/>
      <c r="Q257" s="44">
        <v>4770080</v>
      </c>
      <c r="R257" s="44"/>
      <c r="S257" s="44">
        <v>597345</v>
      </c>
      <c r="T257" s="44"/>
      <c r="U257" s="44">
        <v>1630984</v>
      </c>
      <c r="V257" s="44"/>
      <c r="W257" s="44">
        <v>225055</v>
      </c>
      <c r="X257" s="44"/>
      <c r="Y257" s="44">
        <v>0</v>
      </c>
      <c r="Z257" s="44"/>
      <c r="AA257" s="44">
        <f t="shared" si="8"/>
        <v>57557690</v>
      </c>
      <c r="AB257" s="44"/>
      <c r="AC257" s="44">
        <f t="shared" si="7"/>
        <v>79721474</v>
      </c>
    </row>
    <row r="258" spans="1:29" s="47" customFormat="1" ht="12.75" customHeight="1">
      <c r="A258" s="47" t="s">
        <v>287</v>
      </c>
      <c r="C258" s="47" t="s">
        <v>288</v>
      </c>
      <c r="E258" s="44">
        <v>3004789</v>
      </c>
      <c r="F258" s="44"/>
      <c r="G258" s="44">
        <v>2659244</v>
      </c>
      <c r="H258" s="44"/>
      <c r="I258" s="44">
        <v>346370</v>
      </c>
      <c r="J258" s="44"/>
      <c r="K258" s="44">
        <v>1569727</v>
      </c>
      <c r="L258" s="44"/>
      <c r="M258" s="44">
        <v>14228829</v>
      </c>
      <c r="N258" s="44"/>
      <c r="O258" s="44">
        <v>0</v>
      </c>
      <c r="P258" s="44"/>
      <c r="Q258" s="44">
        <v>2864471</v>
      </c>
      <c r="R258" s="44"/>
      <c r="S258" s="44">
        <v>675314</v>
      </c>
      <c r="T258" s="44"/>
      <c r="U258" s="44">
        <v>85916</v>
      </c>
      <c r="V258" s="44"/>
      <c r="W258" s="44">
        <v>0</v>
      </c>
      <c r="X258" s="44"/>
      <c r="Y258" s="44">
        <v>16623</v>
      </c>
      <c r="Z258" s="44"/>
      <c r="AA258" s="44">
        <f t="shared" si="8"/>
        <v>19440880</v>
      </c>
      <c r="AB258" s="44"/>
      <c r="AC258" s="44">
        <f t="shared" si="7"/>
        <v>25451283</v>
      </c>
    </row>
    <row r="259" spans="1:29" s="47" customFormat="1" ht="12.75" customHeight="1">
      <c r="A259" s="47" t="s">
        <v>472</v>
      </c>
      <c r="C259" s="49"/>
      <c r="D259" s="49"/>
    </row>
    <row r="260" spans="1:29" s="47" customFormat="1" ht="12.75" customHeight="1">
      <c r="A260" s="49"/>
      <c r="C260" s="49"/>
      <c r="D260" s="49"/>
    </row>
    <row r="261" spans="1:29" s="47" customFormat="1" ht="12.75" customHeight="1"/>
    <row r="262" spans="1:29" s="47" customFormat="1" ht="12.75" customHeight="1"/>
    <row r="263" spans="1:29" s="47" customFormat="1" ht="12.75" customHeight="1"/>
    <row r="264" spans="1:29" s="47" customFormat="1" ht="12.75" customHeight="1"/>
    <row r="265" spans="1:29" s="47" customFormat="1" ht="12.75" customHeight="1"/>
    <row r="266" spans="1:29" s="47" customFormat="1" ht="12.75" customHeight="1"/>
    <row r="267" spans="1:29" s="47" customFormat="1" ht="12.75" customHeight="1"/>
    <row r="268" spans="1:29" s="47" customFormat="1" ht="12.75" customHeight="1"/>
    <row r="269" spans="1:29" s="47" customFormat="1" ht="12.75" customHeight="1"/>
  </sheetData>
  <mergeCells count="1">
    <mergeCell ref="K6:U6"/>
  </mergeCells>
  <phoneticPr fontId="4" type="noConversion"/>
  <printOptions horizontalCentered="1"/>
  <pageMargins left="0.75" right="0.75" top="0.5" bottom="0.5" header="0" footer="0.25"/>
  <pageSetup scale="81" firstPageNumber="12" pageOrder="overThenDown" orientation="portrait" useFirstPageNumber="1" r:id="rId1"/>
  <headerFooter alignWithMargins="0">
    <oddFooter>&amp;C&amp;"Times New Roman,Regular"&amp;11&amp;P</oddFooter>
  </headerFooter>
  <rowBreaks count="3" manualBreakCount="3">
    <brk id="74" max="28" man="1"/>
    <brk id="135" max="28" man="1"/>
    <brk id="199" max="28" man="1"/>
  </rowBreaks>
  <colBreaks count="1" manualBreakCount="1">
    <brk id="14" min="10" max="25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263"/>
  <sheetViews>
    <sheetView view="pageBreakPreview" zoomScale="75" zoomScaleNormal="100" zoomScaleSheetLayoutView="75" workbookViewId="0">
      <pane xSplit="3" ySplit="8" topLeftCell="D9" activePane="bottomRight" state="frozen"/>
      <selection pane="topRight" activeCell="D1" sqref="D1"/>
      <selection pane="bottomLeft" activeCell="A10" sqref="A10"/>
      <selection pane="bottomRight" activeCell="C26" sqref="C26"/>
    </sheetView>
  </sheetViews>
  <sheetFormatPr defaultRowHeight="12.75" customHeight="1"/>
  <cols>
    <col min="1" max="1" width="15.28515625" style="10" customWidth="1"/>
    <col min="2" max="2" width="1.7109375" customWidth="1"/>
    <col min="3" max="3" width="11" style="10" customWidth="1"/>
    <col min="4" max="4" width="1.7109375" style="10" customWidth="1"/>
    <col min="5" max="5" width="11.7109375" style="10" customWidth="1"/>
    <col min="6" max="6" width="1.7109375" style="10" customWidth="1"/>
    <col min="7" max="7" width="11.7109375" style="10" customWidth="1"/>
    <col min="8" max="8" width="1.7109375" style="10" customWidth="1"/>
    <col min="9" max="9" width="11.7109375" style="10" customWidth="1"/>
    <col min="10" max="10" width="1.7109375" style="10" customWidth="1"/>
    <col min="11" max="11" width="11.7109375" style="10" customWidth="1"/>
    <col min="12" max="12" width="1.7109375" style="10" customWidth="1"/>
    <col min="13" max="13" width="11.7109375" style="10" customWidth="1"/>
    <col min="14" max="14" width="1.7109375" style="10" customWidth="1"/>
    <col min="15" max="15" width="11.7109375" style="10" customWidth="1"/>
    <col min="16" max="16" width="1.7109375" style="10" customWidth="1"/>
    <col min="17" max="17" width="11.7109375" style="10" customWidth="1"/>
    <col min="18" max="18" width="1.7109375" style="10" customWidth="1"/>
    <col min="19" max="19" width="13.42578125" style="10" customWidth="1"/>
    <col min="20" max="20" width="1.7109375" style="10" customWidth="1"/>
    <col min="21" max="21" width="11.7109375" style="10" customWidth="1"/>
    <col min="22" max="22" width="1.7109375" style="10" customWidth="1"/>
    <col min="23" max="23" width="11.7109375" style="10" customWidth="1"/>
    <col min="24" max="24" width="1.7109375" style="10" customWidth="1"/>
    <col min="25" max="25" width="12.28515625" style="10" bestFit="1" customWidth="1"/>
    <col min="26" max="26" width="1.7109375" style="10" customWidth="1"/>
    <col min="27" max="27" width="11.5703125" style="10" customWidth="1"/>
    <col min="28" max="28" width="1.7109375" style="10" customWidth="1"/>
    <col min="29" max="29" width="11.85546875" style="47" customWidth="1"/>
    <col min="30" max="30" width="12" style="10" bestFit="1" customWidth="1"/>
    <col min="31" max="16384" width="9.140625" style="10"/>
  </cols>
  <sheetData>
    <row r="1" spans="1:29" ht="12.75" customHeight="1">
      <c r="A1" s="9" t="s">
        <v>385</v>
      </c>
    </row>
    <row r="2" spans="1:29" ht="12.75" customHeight="1">
      <c r="A2" s="9" t="s">
        <v>489</v>
      </c>
    </row>
    <row r="3" spans="1:29" ht="12.75" customHeight="1">
      <c r="A3" s="9" t="s">
        <v>289</v>
      </c>
    </row>
    <row r="4" spans="1:29" ht="12.75" customHeight="1">
      <c r="A4" s="10" t="s">
        <v>485</v>
      </c>
    </row>
    <row r="5" spans="1:29" ht="12.75" customHeight="1">
      <c r="A5" s="9"/>
      <c r="E5" s="172" t="s">
        <v>421</v>
      </c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72"/>
      <c r="R5" s="72"/>
      <c r="S5" s="72"/>
      <c r="T5" s="72"/>
      <c r="U5" s="72"/>
      <c r="V5" s="56"/>
      <c r="W5" s="56"/>
    </row>
    <row r="6" spans="1:29" ht="12.75" customHeight="1">
      <c r="E6" s="12" t="s">
        <v>396</v>
      </c>
      <c r="V6" s="19"/>
      <c r="Y6" s="12" t="s">
        <v>2</v>
      </c>
      <c r="Z6" s="12"/>
      <c r="AA6" s="12" t="s">
        <v>428</v>
      </c>
    </row>
    <row r="7" spans="1:29" ht="12.75" customHeight="1">
      <c r="A7" s="11"/>
      <c r="C7" s="11"/>
      <c r="E7" s="12" t="s">
        <v>398</v>
      </c>
      <c r="F7" s="12"/>
      <c r="G7" s="12" t="s">
        <v>305</v>
      </c>
      <c r="H7" s="12"/>
      <c r="I7" s="12" t="s">
        <v>306</v>
      </c>
      <c r="J7" s="12"/>
      <c r="K7" s="12" t="s">
        <v>333</v>
      </c>
      <c r="L7" s="12"/>
      <c r="M7" s="12"/>
      <c r="N7" s="12"/>
      <c r="O7" s="12" t="s">
        <v>307</v>
      </c>
      <c r="P7" s="12"/>
      <c r="Q7" s="12" t="s">
        <v>296</v>
      </c>
      <c r="R7" s="12"/>
      <c r="S7" s="12"/>
      <c r="T7" s="12"/>
      <c r="U7" s="12" t="s">
        <v>308</v>
      </c>
      <c r="V7" s="12"/>
      <c r="W7" s="12" t="s">
        <v>6</v>
      </c>
      <c r="X7" s="12"/>
      <c r="Y7" s="12" t="s">
        <v>453</v>
      </c>
      <c r="Z7" s="12"/>
      <c r="AA7" s="12" t="s">
        <v>460</v>
      </c>
      <c r="AC7" s="97" t="s">
        <v>429</v>
      </c>
    </row>
    <row r="8" spans="1:29" s="47" customFormat="1" ht="12.75" customHeight="1">
      <c r="A8" s="100" t="s">
        <v>8</v>
      </c>
      <c r="B8" s="51"/>
      <c r="C8" s="100" t="s">
        <v>9</v>
      </c>
      <c r="E8" s="16" t="s">
        <v>397</v>
      </c>
      <c r="F8" s="18"/>
      <c r="G8" s="16" t="s">
        <v>309</v>
      </c>
      <c r="H8" s="18"/>
      <c r="I8" s="16" t="s">
        <v>310</v>
      </c>
      <c r="J8" s="18"/>
      <c r="K8" s="16" t="s">
        <v>311</v>
      </c>
      <c r="L8" s="18"/>
      <c r="M8" s="16" t="s">
        <v>312</v>
      </c>
      <c r="N8" s="18"/>
      <c r="O8" s="16" t="s">
        <v>313</v>
      </c>
      <c r="P8" s="18"/>
      <c r="Q8" s="16" t="s">
        <v>314</v>
      </c>
      <c r="R8" s="18"/>
      <c r="S8" s="16" t="s">
        <v>294</v>
      </c>
      <c r="T8" s="18"/>
      <c r="U8" s="16" t="s">
        <v>340</v>
      </c>
      <c r="V8" s="18"/>
      <c r="W8" s="16" t="s">
        <v>374</v>
      </c>
      <c r="X8" s="18"/>
      <c r="Y8" s="16" t="s">
        <v>454</v>
      </c>
      <c r="Z8" s="97"/>
      <c r="AA8" s="16" t="s">
        <v>461</v>
      </c>
      <c r="AC8" s="102" t="s">
        <v>430</v>
      </c>
    </row>
    <row r="9" spans="1:29" s="47" customFormat="1" ht="12.75" customHeight="1">
      <c r="A9" s="26"/>
      <c r="B9" s="51"/>
      <c r="C9" s="26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9" s="46" customFormat="1" ht="12.75" customHeight="1">
      <c r="A10" s="46" t="s">
        <v>12</v>
      </c>
      <c r="B10" s="66"/>
      <c r="C10" s="46" t="s">
        <v>13</v>
      </c>
      <c r="E10" s="46">
        <v>178246193</v>
      </c>
      <c r="G10" s="46">
        <v>17568811</v>
      </c>
      <c r="I10" s="46">
        <v>5800662</v>
      </c>
      <c r="K10" s="46">
        <v>50882056</v>
      </c>
      <c r="M10" s="46">
        <v>0</v>
      </c>
      <c r="O10" s="46">
        <v>0</v>
      </c>
      <c r="Q10" s="46">
        <v>40750017</v>
      </c>
      <c r="S10" s="46">
        <v>12818481</v>
      </c>
      <c r="U10" s="46">
        <v>27325682</v>
      </c>
      <c r="W10" s="46">
        <f t="shared" ref="W10:W71" si="0">SUM(E10:U10)</f>
        <v>333391902</v>
      </c>
      <c r="Y10" s="46">
        <v>336284654</v>
      </c>
      <c r="AA10" s="46">
        <f>+'Stmt net assets'!Y9</f>
        <v>364816135</v>
      </c>
      <c r="AC10" s="46">
        <f>+Y10+'Stmt of activities-GA rev'!AC11-'Stmt of activities-GAexp'!W10-AA10</f>
        <v>0</v>
      </c>
    </row>
    <row r="11" spans="1:29" s="44" customFormat="1" ht="12.75" customHeight="1">
      <c r="A11" s="44" t="s">
        <v>14</v>
      </c>
      <c r="B11" s="65"/>
      <c r="C11" s="44" t="s">
        <v>15</v>
      </c>
      <c r="E11" s="44">
        <v>7539046</v>
      </c>
      <c r="G11" s="44">
        <v>961261</v>
      </c>
      <c r="I11" s="44">
        <v>693235</v>
      </c>
      <c r="K11" s="44">
        <v>826944</v>
      </c>
      <c r="M11" s="44">
        <v>2285361</v>
      </c>
      <c r="O11" s="44">
        <v>47762</v>
      </c>
      <c r="Q11" s="44">
        <v>3016883</v>
      </c>
      <c r="S11" s="44">
        <v>0</v>
      </c>
      <c r="U11" s="44">
        <v>120829</v>
      </c>
      <c r="W11" s="44">
        <f t="shared" si="0"/>
        <v>15491321</v>
      </c>
      <c r="Y11" s="44">
        <v>28804719</v>
      </c>
      <c r="AA11" s="44">
        <f>+'Stmt net assets'!Y10</f>
        <v>29302486</v>
      </c>
      <c r="AC11" s="44">
        <f>+Y11+'Stmt of activities-GA rev'!AC12-'Stmt of activities-GAexp'!W11-AA11</f>
        <v>0</v>
      </c>
    </row>
    <row r="12" spans="1:29" s="47" customFormat="1" ht="12.75" customHeight="1">
      <c r="A12" s="47" t="s">
        <v>16</v>
      </c>
      <c r="B12" s="51"/>
      <c r="C12" s="47" t="s">
        <v>17</v>
      </c>
      <c r="E12" s="44">
        <v>3927587</v>
      </c>
      <c r="F12" s="44"/>
      <c r="G12" s="44">
        <v>176382</v>
      </c>
      <c r="H12" s="44"/>
      <c r="I12" s="44">
        <v>209609</v>
      </c>
      <c r="J12" s="44"/>
      <c r="K12" s="44">
        <v>297871</v>
      </c>
      <c r="L12" s="44"/>
      <c r="M12" s="44">
        <v>2206794</v>
      </c>
      <c r="N12" s="44"/>
      <c r="O12" s="44">
        <v>0</v>
      </c>
      <c r="P12" s="44"/>
      <c r="Q12" s="44">
        <v>1378161</v>
      </c>
      <c r="R12" s="44"/>
      <c r="S12" s="44">
        <v>0</v>
      </c>
      <c r="T12" s="44"/>
      <c r="U12" s="44">
        <v>205519</v>
      </c>
      <c r="V12" s="44"/>
      <c r="W12" s="44">
        <f t="shared" si="0"/>
        <v>8401923</v>
      </c>
      <c r="X12" s="44"/>
      <c r="Y12" s="44">
        <v>29320905</v>
      </c>
      <c r="Z12" s="44"/>
      <c r="AA12" s="44">
        <f>+'Stmt net assets'!Y11</f>
        <v>30760450</v>
      </c>
      <c r="AB12" s="44"/>
      <c r="AC12" s="44">
        <f>+Y12+'Stmt of activities-GA rev'!AC13-'Stmt of activities-GAexp'!W12-AA12</f>
        <v>0</v>
      </c>
    </row>
    <row r="13" spans="1:29" s="44" customFormat="1" ht="12.75" customHeight="1">
      <c r="A13" s="47" t="s">
        <v>18</v>
      </c>
      <c r="B13" s="51"/>
      <c r="C13" s="47" t="s">
        <v>18</v>
      </c>
      <c r="D13" s="47"/>
      <c r="E13" s="44">
        <v>6784358</v>
      </c>
      <c r="G13" s="44">
        <v>278792</v>
      </c>
      <c r="I13" s="44">
        <v>1155718</v>
      </c>
      <c r="K13" s="44">
        <v>280071</v>
      </c>
      <c r="M13" s="44">
        <v>2145360</v>
      </c>
      <c r="O13" s="44">
        <v>0</v>
      </c>
      <c r="Q13" s="44">
        <v>4968816</v>
      </c>
      <c r="S13" s="44">
        <v>0</v>
      </c>
      <c r="U13" s="44">
        <v>203089</v>
      </c>
      <c r="W13" s="44">
        <f t="shared" si="0"/>
        <v>15816204</v>
      </c>
      <c r="Y13" s="44">
        <v>23690662</v>
      </c>
      <c r="AA13" s="44">
        <f>+'Stmt net assets'!Y12</f>
        <v>26174394</v>
      </c>
      <c r="AC13" s="44">
        <f>+Y13+'Stmt of activities-GA rev'!AC14-'Stmt of activities-GAexp'!W13-AA13</f>
        <v>0</v>
      </c>
    </row>
    <row r="14" spans="1:29" s="47" customFormat="1" ht="12.75" customHeight="1">
      <c r="A14" s="44" t="s">
        <v>19</v>
      </c>
      <c r="B14" s="44"/>
      <c r="C14" s="44" t="s">
        <v>19</v>
      </c>
      <c r="D14" s="44"/>
      <c r="E14" s="44">
        <f>3882495+2987810</f>
        <v>6870305</v>
      </c>
      <c r="F14" s="44"/>
      <c r="G14" s="44">
        <v>357245</v>
      </c>
      <c r="H14" s="44"/>
      <c r="I14" s="44">
        <v>86083</v>
      </c>
      <c r="J14" s="44"/>
      <c r="K14" s="44">
        <v>486457</v>
      </c>
      <c r="L14" s="44"/>
      <c r="M14" s="44">
        <v>1111228</v>
      </c>
      <c r="N14" s="44"/>
      <c r="O14" s="44">
        <v>1839276</v>
      </c>
      <c r="P14" s="44"/>
      <c r="Q14" s="44">
        <f>4135051+1090892</f>
        <v>5225943</v>
      </c>
      <c r="R14" s="44"/>
      <c r="S14" s="44">
        <v>0</v>
      </c>
      <c r="T14" s="44"/>
      <c r="U14" s="44">
        <v>56083</v>
      </c>
      <c r="V14" s="44"/>
      <c r="W14" s="44">
        <f t="shared" si="0"/>
        <v>16032620</v>
      </c>
      <c r="X14" s="44"/>
      <c r="Y14" s="44">
        <v>24267740</v>
      </c>
      <c r="Z14" s="44"/>
      <c r="AA14" s="44">
        <f>+'Stmt net assets'!Y13</f>
        <v>25117900</v>
      </c>
      <c r="AB14" s="44"/>
      <c r="AC14" s="44">
        <f>+Y14+'Stmt of activities-GA rev'!AC15-'Stmt of activities-GAexp'!W14-AA14</f>
        <v>0</v>
      </c>
    </row>
    <row r="15" spans="1:29" s="47" customFormat="1" ht="12.75" customHeight="1">
      <c r="A15" s="47" t="s">
        <v>20</v>
      </c>
      <c r="B15" s="51"/>
      <c r="C15" s="47" t="s">
        <v>20</v>
      </c>
      <c r="E15" s="44">
        <f>2876747+1865671</f>
        <v>4742418</v>
      </c>
      <c r="F15" s="44"/>
      <c r="G15" s="44">
        <v>0</v>
      </c>
      <c r="H15" s="44"/>
      <c r="I15" s="44">
        <v>1346349</v>
      </c>
      <c r="J15" s="44"/>
      <c r="K15" s="44">
        <v>1464343</v>
      </c>
      <c r="L15" s="44"/>
      <c r="M15" s="44">
        <v>4744015</v>
      </c>
      <c r="N15" s="44"/>
      <c r="O15" s="44">
        <v>0</v>
      </c>
      <c r="P15" s="44"/>
      <c r="Q15" s="44">
        <v>6094887</v>
      </c>
      <c r="R15" s="44"/>
      <c r="S15" s="44">
        <v>0</v>
      </c>
      <c r="T15" s="44"/>
      <c r="U15" s="44">
        <v>308073</v>
      </c>
      <c r="V15" s="44"/>
      <c r="W15" s="44">
        <f t="shared" si="0"/>
        <v>18700085</v>
      </c>
      <c r="X15" s="44"/>
      <c r="Y15" s="44">
        <v>52981136</v>
      </c>
      <c r="Z15" s="44"/>
      <c r="AA15" s="44">
        <f>+'Stmt net assets'!Y14</f>
        <v>52862823</v>
      </c>
      <c r="AB15" s="44"/>
      <c r="AC15" s="44">
        <f>+Y15+'Stmt of activities-GA rev'!AC16-'Stmt of activities-GAexp'!W15-AA15</f>
        <v>0</v>
      </c>
    </row>
    <row r="16" spans="1:29" s="47" customFormat="1" ht="12.75" customHeight="1">
      <c r="A16" s="47" t="s">
        <v>21</v>
      </c>
      <c r="B16" s="51"/>
      <c r="C16" s="47" t="s">
        <v>22</v>
      </c>
      <c r="E16" s="44">
        <v>6677362</v>
      </c>
      <c r="F16" s="44"/>
      <c r="G16" s="44">
        <v>0</v>
      </c>
      <c r="H16" s="44"/>
      <c r="I16" s="44">
        <v>1404780</v>
      </c>
      <c r="J16" s="44"/>
      <c r="K16" s="44">
        <v>1251883</v>
      </c>
      <c r="L16" s="44"/>
      <c r="M16" s="44">
        <v>3368572</v>
      </c>
      <c r="N16" s="44"/>
      <c r="O16" s="44">
        <v>0</v>
      </c>
      <c r="P16" s="44"/>
      <c r="Q16" s="44">
        <v>2311328</v>
      </c>
      <c r="R16" s="44"/>
      <c r="S16" s="44">
        <v>22397</v>
      </c>
      <c r="T16" s="44"/>
      <c r="U16" s="44">
        <v>664878</v>
      </c>
      <c r="V16" s="44"/>
      <c r="W16" s="44">
        <f t="shared" si="0"/>
        <v>15701200</v>
      </c>
      <c r="X16" s="44"/>
      <c r="Y16" s="44">
        <v>59192477</v>
      </c>
      <c r="Z16" s="44"/>
      <c r="AA16" s="44">
        <f>+'Stmt net assets'!Y15</f>
        <v>64622719</v>
      </c>
      <c r="AB16" s="44"/>
      <c r="AC16" s="44">
        <f>+Y16+'Stmt of activities-GA rev'!AC17-'Stmt of activities-GAexp'!W16-AA16</f>
        <v>0</v>
      </c>
    </row>
    <row r="17" spans="1:29" s="47" customFormat="1" ht="12.75" customHeight="1">
      <c r="A17" s="47" t="s">
        <v>23</v>
      </c>
      <c r="B17" s="51"/>
      <c r="C17" s="47" t="s">
        <v>17</v>
      </c>
      <c r="E17" s="44">
        <v>6789884</v>
      </c>
      <c r="F17" s="44"/>
      <c r="G17" s="44">
        <v>0</v>
      </c>
      <c r="H17" s="44"/>
      <c r="I17" s="44">
        <v>1274789</v>
      </c>
      <c r="J17" s="44"/>
      <c r="K17" s="44">
        <v>1256537</v>
      </c>
      <c r="L17" s="44"/>
      <c r="M17" s="44">
        <v>4307387</v>
      </c>
      <c r="N17" s="44"/>
      <c r="O17" s="44">
        <v>430858</v>
      </c>
      <c r="P17" s="44"/>
      <c r="Q17" s="44">
        <v>2269262</v>
      </c>
      <c r="R17" s="44"/>
      <c r="S17" s="44">
        <v>0</v>
      </c>
      <c r="T17" s="44"/>
      <c r="U17" s="44">
        <v>757830</v>
      </c>
      <c r="V17" s="44"/>
      <c r="W17" s="44">
        <f t="shared" si="0"/>
        <v>17086547</v>
      </c>
      <c r="X17" s="44"/>
      <c r="Y17" s="44">
        <v>61066108</v>
      </c>
      <c r="Z17" s="44"/>
      <c r="AA17" s="44">
        <f>+'Stmt net assets'!Y16</f>
        <v>61006272</v>
      </c>
      <c r="AB17" s="44"/>
      <c r="AC17" s="44">
        <f>+Y17+'Stmt of activities-GA rev'!AC18-'Stmt of activities-GAexp'!W17-AA17</f>
        <v>0</v>
      </c>
    </row>
    <row r="18" spans="1:29" s="47" customFormat="1" ht="12.75" customHeight="1">
      <c r="A18" s="47" t="s">
        <v>24</v>
      </c>
      <c r="B18" s="51"/>
      <c r="C18" s="47" t="s">
        <v>17</v>
      </c>
      <c r="E18" s="44">
        <v>6877385</v>
      </c>
      <c r="F18" s="44"/>
      <c r="G18" s="44">
        <v>97659</v>
      </c>
      <c r="H18" s="44"/>
      <c r="I18" s="44">
        <v>934262</v>
      </c>
      <c r="J18" s="44"/>
      <c r="K18" s="44">
        <v>343834</v>
      </c>
      <c r="L18" s="44"/>
      <c r="M18" s="44">
        <v>6898804</v>
      </c>
      <c r="N18" s="44"/>
      <c r="O18" s="44">
        <v>25135</v>
      </c>
      <c r="P18" s="44"/>
      <c r="Q18" s="44">
        <v>2639522</v>
      </c>
      <c r="R18" s="44"/>
      <c r="S18" s="44">
        <v>0</v>
      </c>
      <c r="T18" s="44"/>
      <c r="U18" s="44">
        <v>450294</v>
      </c>
      <c r="V18" s="44"/>
      <c r="W18" s="44">
        <f t="shared" si="0"/>
        <v>18266895</v>
      </c>
      <c r="X18" s="44"/>
      <c r="Y18" s="44">
        <v>56562764</v>
      </c>
      <c r="Z18" s="44"/>
      <c r="AA18" s="44">
        <f>+'Stmt net assets'!Y17</f>
        <v>60751756</v>
      </c>
      <c r="AB18" s="44"/>
      <c r="AC18" s="44">
        <f>+Y18+'Stmt of activities-GA rev'!AC19-'Stmt of activities-GAexp'!W18-AA18</f>
        <v>0</v>
      </c>
    </row>
    <row r="19" spans="1:29" s="47" customFormat="1" ht="12.75" customHeight="1">
      <c r="A19" s="47" t="s">
        <v>25</v>
      </c>
      <c r="B19" s="51"/>
      <c r="C19" s="47" t="s">
        <v>13</v>
      </c>
      <c r="E19" s="44">
        <v>10049252</v>
      </c>
      <c r="F19" s="44"/>
      <c r="G19" s="44">
        <v>2322237</v>
      </c>
      <c r="H19" s="44"/>
      <c r="I19" s="44">
        <v>1240444</v>
      </c>
      <c r="J19" s="44"/>
      <c r="K19" s="44">
        <v>1535323</v>
      </c>
      <c r="L19" s="44"/>
      <c r="M19" s="44">
        <v>2025147</v>
      </c>
      <c r="N19" s="44"/>
      <c r="O19" s="44">
        <v>0</v>
      </c>
      <c r="P19" s="44"/>
      <c r="Q19" s="44">
        <f>3883172+1578763</f>
        <v>5461935</v>
      </c>
      <c r="R19" s="44"/>
      <c r="S19" s="44">
        <v>0</v>
      </c>
      <c r="T19" s="44"/>
      <c r="U19" s="44">
        <v>265787</v>
      </c>
      <c r="V19" s="44"/>
      <c r="W19" s="44">
        <f t="shared" si="0"/>
        <v>22900125</v>
      </c>
      <c r="X19" s="44"/>
      <c r="Y19" s="44">
        <v>25156697</v>
      </c>
      <c r="Z19" s="44"/>
      <c r="AA19" s="44">
        <f>+'Stmt net assets'!Y18</f>
        <v>24816891</v>
      </c>
      <c r="AB19" s="44"/>
      <c r="AC19" s="44">
        <f>+Y19+'Stmt of activities-GA rev'!AC20-'Stmt of activities-GAexp'!W19-AA19</f>
        <v>0</v>
      </c>
    </row>
    <row r="20" spans="1:29" s="47" customFormat="1" ht="12.75" customHeight="1">
      <c r="A20" s="47" t="s">
        <v>26</v>
      </c>
      <c r="B20" s="51"/>
      <c r="C20" s="47" t="s">
        <v>27</v>
      </c>
      <c r="E20" s="44">
        <v>6753866</v>
      </c>
      <c r="F20" s="44"/>
      <c r="G20" s="44">
        <v>643187</v>
      </c>
      <c r="H20" s="44"/>
      <c r="I20" s="44">
        <v>1091177</v>
      </c>
      <c r="J20" s="44"/>
      <c r="K20" s="44">
        <v>895623</v>
      </c>
      <c r="L20" s="44"/>
      <c r="M20" s="44">
        <v>2495294</v>
      </c>
      <c r="N20" s="44"/>
      <c r="O20" s="44">
        <v>1636532</v>
      </c>
      <c r="P20" s="44"/>
      <c r="Q20" s="44">
        <v>3003539</v>
      </c>
      <c r="R20" s="44"/>
      <c r="S20" s="44">
        <v>0</v>
      </c>
      <c r="T20" s="44"/>
      <c r="U20" s="44">
        <v>591928</v>
      </c>
      <c r="V20" s="44"/>
      <c r="W20" s="44">
        <f t="shared" si="0"/>
        <v>17111146</v>
      </c>
      <c r="X20" s="44"/>
      <c r="Y20" s="44">
        <v>9857657</v>
      </c>
      <c r="Z20" s="44"/>
      <c r="AA20" s="44">
        <f>+'Stmt net assets'!Y19</f>
        <v>25880287</v>
      </c>
      <c r="AB20" s="44"/>
      <c r="AC20" s="44">
        <f>+Y20+'Stmt of activities-GA rev'!AC21-'Stmt of activities-GAexp'!W20-AA20</f>
        <v>0</v>
      </c>
    </row>
    <row r="21" spans="1:29" s="47" customFormat="1" ht="12.75" customHeight="1">
      <c r="A21" s="47" t="s">
        <v>28</v>
      </c>
      <c r="B21" s="51"/>
      <c r="C21" s="47" t="s">
        <v>27</v>
      </c>
      <c r="E21" s="44">
        <f>7410128+5273184</f>
        <v>12683312</v>
      </c>
      <c r="F21" s="44"/>
      <c r="G21" s="44">
        <v>557151</v>
      </c>
      <c r="H21" s="44"/>
      <c r="I21" s="44">
        <v>2564886</v>
      </c>
      <c r="J21" s="44"/>
      <c r="K21" s="44">
        <v>839848</v>
      </c>
      <c r="L21" s="44"/>
      <c r="M21" s="44">
        <v>9630170</v>
      </c>
      <c r="N21" s="44"/>
      <c r="O21" s="44">
        <v>0</v>
      </c>
      <c r="P21" s="44"/>
      <c r="Q21" s="44">
        <v>4362750</v>
      </c>
      <c r="R21" s="44"/>
      <c r="S21" s="44">
        <v>0</v>
      </c>
      <c r="T21" s="44"/>
      <c r="U21" s="44">
        <v>836927</v>
      </c>
      <c r="V21" s="44"/>
      <c r="W21" s="44">
        <f t="shared" si="0"/>
        <v>31475044</v>
      </c>
      <c r="X21" s="44"/>
      <c r="Y21" s="44">
        <v>107766414</v>
      </c>
      <c r="Z21" s="44"/>
      <c r="AA21" s="44">
        <f>+'Stmt net assets'!Y20</f>
        <v>110157670</v>
      </c>
      <c r="AB21" s="44"/>
      <c r="AC21" s="44">
        <f>+Y21+'Stmt of activities-GA rev'!AC22-'Stmt of activities-GAexp'!W21-AA21</f>
        <v>0</v>
      </c>
    </row>
    <row r="22" spans="1:29" s="47" customFormat="1" ht="12.75" customHeight="1">
      <c r="A22" s="47" t="s">
        <v>29</v>
      </c>
      <c r="B22" s="51"/>
      <c r="C22" s="47" t="s">
        <v>30</v>
      </c>
      <c r="E22" s="44">
        <v>6644262</v>
      </c>
      <c r="F22" s="44"/>
      <c r="G22" s="44">
        <v>234393</v>
      </c>
      <c r="H22" s="44"/>
      <c r="I22" s="44">
        <v>1092734</v>
      </c>
      <c r="J22" s="44"/>
      <c r="K22" s="44">
        <v>355184</v>
      </c>
      <c r="L22" s="44"/>
      <c r="M22" s="44">
        <v>8831857</v>
      </c>
      <c r="N22" s="44"/>
      <c r="O22" s="44">
        <v>59131</v>
      </c>
      <c r="P22" s="44"/>
      <c r="Q22" s="44">
        <v>2888435</v>
      </c>
      <c r="R22" s="44"/>
      <c r="S22" s="44"/>
      <c r="T22" s="44"/>
      <c r="U22" s="44">
        <v>512558</v>
      </c>
      <c r="V22" s="44"/>
      <c r="W22" s="44">
        <f t="shared" si="0"/>
        <v>20618554</v>
      </c>
      <c r="X22" s="44"/>
      <c r="Y22" s="44">
        <v>203203401</v>
      </c>
      <c r="Z22" s="44"/>
      <c r="AA22" s="44">
        <f>+'Stmt net assets'!Y21</f>
        <v>204159237</v>
      </c>
      <c r="AB22" s="44"/>
      <c r="AC22" s="44">
        <f>+Y22+'Stmt of activities-GA rev'!AC23-'Stmt of activities-GAexp'!W22-AA22</f>
        <v>0</v>
      </c>
    </row>
    <row r="23" spans="1:29" s="47" customFormat="1" ht="12.75" customHeight="1">
      <c r="A23" s="47" t="s">
        <v>31</v>
      </c>
      <c r="B23" s="51"/>
      <c r="C23" s="47" t="s">
        <v>27</v>
      </c>
      <c r="E23" s="44">
        <f>5452247+3620839</f>
        <v>9073086</v>
      </c>
      <c r="F23" s="44"/>
      <c r="G23" s="44">
        <v>193518</v>
      </c>
      <c r="H23" s="44"/>
      <c r="I23" s="44">
        <v>1609539</v>
      </c>
      <c r="J23" s="44"/>
      <c r="K23" s="44">
        <v>633811</v>
      </c>
      <c r="L23" s="44"/>
      <c r="M23" s="44">
        <v>4221135</v>
      </c>
      <c r="N23" s="44"/>
      <c r="O23" s="44">
        <v>888600</v>
      </c>
      <c r="P23" s="44"/>
      <c r="Q23" s="44">
        <v>5106413</v>
      </c>
      <c r="R23" s="44"/>
      <c r="S23" s="44">
        <v>0</v>
      </c>
      <c r="T23" s="44"/>
      <c r="U23" s="44">
        <v>615603</v>
      </c>
      <c r="V23" s="44"/>
      <c r="W23" s="44">
        <f t="shared" si="0"/>
        <v>22341705</v>
      </c>
      <c r="X23" s="44"/>
      <c r="Y23" s="44">
        <v>44887221</v>
      </c>
      <c r="Z23" s="44"/>
      <c r="AA23" s="44">
        <f>+'Stmt net assets'!Y22</f>
        <v>44876502</v>
      </c>
      <c r="AB23" s="44"/>
      <c r="AC23" s="44">
        <f>+Y23+'Stmt of activities-GA rev'!AC24-'Stmt of activities-GAexp'!W23-AA23</f>
        <v>0</v>
      </c>
    </row>
    <row r="24" spans="1:29" s="47" customFormat="1" ht="12.75" customHeight="1">
      <c r="A24" s="47" t="s">
        <v>32</v>
      </c>
      <c r="B24" s="51"/>
      <c r="C24" s="47" t="s">
        <v>27</v>
      </c>
      <c r="E24" s="44">
        <v>11237785</v>
      </c>
      <c r="F24" s="44"/>
      <c r="G24" s="44">
        <v>393631</v>
      </c>
      <c r="H24" s="44"/>
      <c r="I24" s="44">
        <v>1888063</v>
      </c>
      <c r="J24" s="44"/>
      <c r="K24" s="44">
        <v>323997</v>
      </c>
      <c r="L24" s="44"/>
      <c r="M24" s="44">
        <v>1975432</v>
      </c>
      <c r="N24" s="44"/>
      <c r="O24" s="44">
        <v>890125</v>
      </c>
      <c r="P24" s="44"/>
      <c r="Q24" s="44">
        <v>4602015</v>
      </c>
      <c r="R24" s="44"/>
      <c r="S24" s="44">
        <v>0</v>
      </c>
      <c r="T24" s="44"/>
      <c r="U24" s="44">
        <v>217832</v>
      </c>
      <c r="V24" s="44"/>
      <c r="W24" s="44">
        <f t="shared" si="0"/>
        <v>21528880</v>
      </c>
      <c r="X24" s="44"/>
      <c r="Y24" s="44">
        <v>22057090</v>
      </c>
      <c r="Z24" s="44"/>
      <c r="AA24" s="44">
        <f>+'Stmt net assets'!Y23</f>
        <v>21195735</v>
      </c>
      <c r="AB24" s="44"/>
      <c r="AC24" s="44">
        <f>+Y24+'Stmt of activities-GA rev'!AC25-'Stmt of activities-GAexp'!W24-AA24</f>
        <v>0</v>
      </c>
    </row>
    <row r="25" spans="1:29" s="127" customFormat="1" ht="12.75" hidden="1" customHeight="1">
      <c r="A25" s="127" t="s">
        <v>34</v>
      </c>
      <c r="B25" s="126"/>
      <c r="C25" s="127" t="s">
        <v>30</v>
      </c>
      <c r="E25" s="122">
        <v>0</v>
      </c>
      <c r="F25" s="122"/>
      <c r="G25" s="122">
        <v>0</v>
      </c>
      <c r="H25" s="122"/>
      <c r="I25" s="122">
        <v>0</v>
      </c>
      <c r="J25" s="122"/>
      <c r="K25" s="122">
        <v>0</v>
      </c>
      <c r="L25" s="122"/>
      <c r="M25" s="122">
        <v>0</v>
      </c>
      <c r="N25" s="122"/>
      <c r="O25" s="122">
        <v>0</v>
      </c>
      <c r="P25" s="122"/>
      <c r="Q25" s="122">
        <v>0</v>
      </c>
      <c r="R25" s="122"/>
      <c r="S25" s="122">
        <v>0</v>
      </c>
      <c r="T25" s="122"/>
      <c r="U25" s="122">
        <v>0</v>
      </c>
      <c r="V25" s="122"/>
      <c r="W25" s="122">
        <f t="shared" si="0"/>
        <v>0</v>
      </c>
      <c r="X25" s="122"/>
      <c r="Y25" s="122">
        <v>0</v>
      </c>
      <c r="Z25" s="122"/>
      <c r="AA25" s="122">
        <f>+'Stmt net assets'!Y24</f>
        <v>0</v>
      </c>
      <c r="AB25" s="122"/>
      <c r="AC25" s="44">
        <f>+Y25+'Stmt of activities-GA rev'!AC26-'Stmt of activities-GAexp'!W25-AA25</f>
        <v>0</v>
      </c>
    </row>
    <row r="26" spans="1:29" s="47" customFormat="1" ht="12.75" customHeight="1">
      <c r="A26" s="47" t="s">
        <v>35</v>
      </c>
      <c r="B26" s="51"/>
      <c r="C26" s="47" t="s">
        <v>36</v>
      </c>
      <c r="E26" s="44">
        <f>3547262+422258</f>
        <v>3969520</v>
      </c>
      <c r="F26" s="44"/>
      <c r="G26" s="44">
        <v>150925</v>
      </c>
      <c r="H26" s="44"/>
      <c r="I26" s="44">
        <v>611078</v>
      </c>
      <c r="J26" s="44"/>
      <c r="K26" s="44">
        <v>246809</v>
      </c>
      <c r="L26" s="44"/>
      <c r="M26" s="44">
        <v>1545009</v>
      </c>
      <c r="N26" s="44"/>
      <c r="O26" s="44">
        <v>0</v>
      </c>
      <c r="P26" s="44"/>
      <c r="Q26" s="44">
        <v>2051352</v>
      </c>
      <c r="R26" s="44"/>
      <c r="S26" s="44">
        <v>0</v>
      </c>
      <c r="T26" s="44"/>
      <c r="U26" s="44">
        <v>37708</v>
      </c>
      <c r="V26" s="44"/>
      <c r="W26" s="44">
        <f t="shared" si="0"/>
        <v>8612401</v>
      </c>
      <c r="X26" s="44"/>
      <c r="Y26" s="44">
        <v>28749474</v>
      </c>
      <c r="Z26" s="44"/>
      <c r="AA26" s="44">
        <f>+'Stmt net assets'!Y25</f>
        <v>29596722</v>
      </c>
      <c r="AB26" s="44"/>
      <c r="AC26" s="44">
        <f>+Y26+'Stmt of activities-GA rev'!AC27-'Stmt of activities-GAexp'!W26-AA26</f>
        <v>0</v>
      </c>
    </row>
    <row r="27" spans="1:29" s="47" customFormat="1" ht="12.75" customHeight="1">
      <c r="A27" s="47" t="s">
        <v>37</v>
      </c>
      <c r="B27" s="51"/>
      <c r="C27" s="47" t="s">
        <v>38</v>
      </c>
      <c r="E27" s="44">
        <v>2670364</v>
      </c>
      <c r="F27" s="44"/>
      <c r="G27" s="44">
        <v>167046</v>
      </c>
      <c r="H27" s="44"/>
      <c r="I27" s="44">
        <v>408275</v>
      </c>
      <c r="J27" s="44"/>
      <c r="K27" s="44">
        <v>289769</v>
      </c>
      <c r="L27" s="44"/>
      <c r="M27" s="44">
        <v>820417</v>
      </c>
      <c r="N27" s="44"/>
      <c r="O27" s="44">
        <v>27833</v>
      </c>
      <c r="P27" s="44"/>
      <c r="Q27" s="44">
        <f>1621465+258407</f>
        <v>1879872</v>
      </c>
      <c r="R27" s="44"/>
      <c r="S27" s="44">
        <v>0</v>
      </c>
      <c r="T27" s="44"/>
      <c r="U27" s="44">
        <v>84807</v>
      </c>
      <c r="V27" s="44"/>
      <c r="W27" s="44">
        <f t="shared" si="0"/>
        <v>6348383</v>
      </c>
      <c r="X27" s="44"/>
      <c r="Y27" s="44">
        <v>12994289</v>
      </c>
      <c r="Z27" s="44"/>
      <c r="AA27" s="44">
        <f>+'Stmt net assets'!Y26</f>
        <v>12800880</v>
      </c>
      <c r="AB27" s="44"/>
      <c r="AC27" s="44">
        <f>+Y27+'Stmt of activities-GA rev'!AC28-'Stmt of activities-GAexp'!W27-AA27</f>
        <v>0</v>
      </c>
    </row>
    <row r="28" spans="1:29" s="47" customFormat="1" ht="12.75" customHeight="1">
      <c r="A28" s="47" t="s">
        <v>39</v>
      </c>
      <c r="B28" s="51"/>
      <c r="C28" s="47" t="s">
        <v>40</v>
      </c>
      <c r="E28" s="44">
        <f>956689+207670</f>
        <v>1164359</v>
      </c>
      <c r="F28" s="44"/>
      <c r="G28" s="44">
        <v>34810</v>
      </c>
      <c r="H28" s="44"/>
      <c r="I28" s="44">
        <f>29659+119315+100847</f>
        <v>249821</v>
      </c>
      <c r="J28" s="44"/>
      <c r="K28" s="44">
        <v>0</v>
      </c>
      <c r="L28" s="44"/>
      <c r="M28" s="44">
        <v>1127879</v>
      </c>
      <c r="N28" s="44"/>
      <c r="O28" s="44">
        <v>0</v>
      </c>
      <c r="P28" s="44"/>
      <c r="Q28" s="44">
        <v>583137</v>
      </c>
      <c r="R28" s="44"/>
      <c r="S28" s="44">
        <v>0</v>
      </c>
      <c r="T28" s="44"/>
      <c r="U28" s="44">
        <v>44233</v>
      </c>
      <c r="V28" s="44"/>
      <c r="W28" s="44">
        <f t="shared" si="0"/>
        <v>3204239</v>
      </c>
      <c r="X28" s="44"/>
      <c r="Y28" s="44">
        <v>15311850</v>
      </c>
      <c r="Z28" s="44"/>
      <c r="AA28" s="44">
        <f>+'Stmt net assets'!Y27</f>
        <v>15723783</v>
      </c>
      <c r="AB28" s="44"/>
      <c r="AC28" s="44">
        <f>+Y28+'Stmt of activities-GA rev'!AC29-'Stmt of activities-GAexp'!W28-AA28</f>
        <v>0</v>
      </c>
    </row>
    <row r="29" spans="1:29" s="47" customFormat="1" ht="12.75" customHeight="1">
      <c r="A29" s="47" t="s">
        <v>41</v>
      </c>
      <c r="B29" s="51"/>
      <c r="C29" s="47" t="s">
        <v>27</v>
      </c>
      <c r="E29" s="44">
        <v>6438828</v>
      </c>
      <c r="F29" s="44"/>
      <c r="G29" s="44">
        <v>120472</v>
      </c>
      <c r="H29" s="44"/>
      <c r="I29" s="44">
        <v>3373362</v>
      </c>
      <c r="J29" s="44"/>
      <c r="K29" s="44">
        <v>542237</v>
      </c>
      <c r="L29" s="44"/>
      <c r="M29" s="44">
        <v>2548409</v>
      </c>
      <c r="N29" s="44"/>
      <c r="O29" s="44">
        <v>1262949</v>
      </c>
      <c r="P29" s="44"/>
      <c r="Q29" s="44">
        <v>7354994</v>
      </c>
      <c r="R29" s="44"/>
      <c r="S29" s="44">
        <v>0</v>
      </c>
      <c r="T29" s="44"/>
      <c r="U29" s="44">
        <v>1070332</v>
      </c>
      <c r="V29" s="44"/>
      <c r="W29" s="44">
        <f t="shared" si="0"/>
        <v>22711583</v>
      </c>
      <c r="X29" s="44"/>
      <c r="Y29" s="44">
        <v>53074852</v>
      </c>
      <c r="Z29" s="44"/>
      <c r="AA29" s="44">
        <f>+'Stmt net assets'!Y28</f>
        <v>57300057</v>
      </c>
      <c r="AB29" s="44"/>
      <c r="AC29" s="44">
        <f>+Y29+'Stmt of activities-GA rev'!AC30-'Stmt of activities-GAexp'!W29-AA29</f>
        <v>0</v>
      </c>
    </row>
    <row r="30" spans="1:29" s="47" customFormat="1" ht="12.75" customHeight="1">
      <c r="A30" s="47" t="s">
        <v>42</v>
      </c>
      <c r="B30" s="51"/>
      <c r="C30" s="47" t="s">
        <v>43</v>
      </c>
      <c r="E30" s="44">
        <v>4672681</v>
      </c>
      <c r="F30" s="44"/>
      <c r="G30" s="44">
        <v>79874</v>
      </c>
      <c r="H30" s="44"/>
      <c r="I30" s="44">
        <v>1282566</v>
      </c>
      <c r="J30" s="44"/>
      <c r="K30" s="44">
        <f>464391+1526</f>
        <v>465917</v>
      </c>
      <c r="L30" s="44"/>
      <c r="M30" s="44">
        <v>1420092</v>
      </c>
      <c r="N30" s="44"/>
      <c r="O30" s="44"/>
      <c r="P30" s="44"/>
      <c r="Q30" s="44">
        <v>3494960</v>
      </c>
      <c r="R30" s="44"/>
      <c r="S30" s="44">
        <v>6295</v>
      </c>
      <c r="T30" s="44"/>
      <c r="U30" s="44">
        <v>181512</v>
      </c>
      <c r="V30" s="44"/>
      <c r="W30" s="44">
        <f t="shared" si="0"/>
        <v>11603897</v>
      </c>
      <c r="X30" s="44"/>
      <c r="Y30" s="44">
        <v>14367311</v>
      </c>
      <c r="Z30" s="44"/>
      <c r="AA30" s="44">
        <f>+'Stmt net assets'!Y29</f>
        <v>16457191</v>
      </c>
      <c r="AB30" s="44"/>
      <c r="AC30" s="44">
        <f>+Y30+'Stmt of activities-GA rev'!AC31-'Stmt of activities-GAexp'!W30-AA30</f>
        <v>0</v>
      </c>
    </row>
    <row r="31" spans="1:29" s="47" customFormat="1" ht="12.75" customHeight="1">
      <c r="A31" s="47" t="s">
        <v>44</v>
      </c>
      <c r="B31" s="51"/>
      <c r="C31" s="47" t="s">
        <v>45</v>
      </c>
      <c r="E31" s="44">
        <v>10583392</v>
      </c>
      <c r="F31" s="44"/>
      <c r="G31" s="44">
        <v>0</v>
      </c>
      <c r="H31" s="44"/>
      <c r="I31" s="44">
        <v>4942967</v>
      </c>
      <c r="J31" s="44"/>
      <c r="K31" s="44">
        <v>864853</v>
      </c>
      <c r="L31" s="44"/>
      <c r="M31" s="44">
        <v>2311705</v>
      </c>
      <c r="N31" s="44"/>
      <c r="O31" s="44">
        <v>2092167</v>
      </c>
      <c r="P31" s="44"/>
      <c r="Q31" s="44">
        <v>7512638</v>
      </c>
      <c r="R31" s="44"/>
      <c r="S31" s="44">
        <v>0</v>
      </c>
      <c r="T31" s="44"/>
      <c r="U31" s="44">
        <v>1559980</v>
      </c>
      <c r="V31" s="44"/>
      <c r="W31" s="44">
        <f t="shared" si="0"/>
        <v>29867702</v>
      </c>
      <c r="X31" s="44"/>
      <c r="Y31" s="44">
        <v>53870761</v>
      </c>
      <c r="Z31" s="44"/>
      <c r="AA31" s="44">
        <f>+'Stmt net assets'!Y30</f>
        <v>61313627</v>
      </c>
      <c r="AB31" s="44"/>
      <c r="AC31" s="44">
        <f>+Y31+'Stmt of activities-GA rev'!AC32-'Stmt of activities-GAexp'!W31-AA31</f>
        <v>0</v>
      </c>
    </row>
    <row r="32" spans="1:29" s="47" customFormat="1" ht="12.75" customHeight="1">
      <c r="A32" s="47" t="s">
        <v>46</v>
      </c>
      <c r="B32" s="51"/>
      <c r="C32" s="47" t="s">
        <v>47</v>
      </c>
      <c r="E32" s="44">
        <f>5315701+5520080</f>
        <v>10835781</v>
      </c>
      <c r="F32" s="44"/>
      <c r="G32" s="44">
        <v>72936</v>
      </c>
      <c r="H32" s="44"/>
      <c r="I32" s="44">
        <v>1837455</v>
      </c>
      <c r="J32" s="44"/>
      <c r="K32" s="44">
        <v>1415441</v>
      </c>
      <c r="L32" s="44"/>
      <c r="M32" s="44">
        <v>6005149</v>
      </c>
      <c r="N32" s="44"/>
      <c r="O32" s="44">
        <v>980669</v>
      </c>
      <c r="P32" s="44"/>
      <c r="Q32" s="44">
        <f>1781342+3938107</f>
        <v>5719449</v>
      </c>
      <c r="R32" s="44"/>
      <c r="S32" s="44">
        <v>43817</v>
      </c>
      <c r="T32" s="44"/>
      <c r="U32" s="44">
        <v>961917</v>
      </c>
      <c r="V32" s="44"/>
      <c r="W32" s="44">
        <f t="shared" si="0"/>
        <v>27872614</v>
      </c>
      <c r="X32" s="44"/>
      <c r="Y32" s="44">
        <v>45114555</v>
      </c>
      <c r="Z32" s="44"/>
      <c r="AA32" s="44">
        <f>+'Stmt net assets'!Y31</f>
        <v>46160054</v>
      </c>
      <c r="AB32" s="44"/>
      <c r="AC32" s="44">
        <f>+Y32+'Stmt of activities-GA rev'!AC33-'Stmt of activities-GAexp'!W32-AA32</f>
        <v>0</v>
      </c>
    </row>
    <row r="33" spans="1:29" s="47" customFormat="1" ht="12.75" customHeight="1">
      <c r="A33" s="47" t="s">
        <v>48</v>
      </c>
      <c r="C33" s="47" t="s">
        <v>27</v>
      </c>
      <c r="E33" s="44">
        <f>4148827+2294629</f>
        <v>6443456</v>
      </c>
      <c r="F33" s="44"/>
      <c r="G33" s="44">
        <v>154672</v>
      </c>
      <c r="H33" s="44"/>
      <c r="I33" s="44">
        <v>1940978</v>
      </c>
      <c r="J33" s="44"/>
      <c r="K33" s="44">
        <v>1092407</v>
      </c>
      <c r="L33" s="44"/>
      <c r="M33" s="44">
        <v>4220016</v>
      </c>
      <c r="N33" s="44"/>
      <c r="O33" s="44">
        <v>2128748</v>
      </c>
      <c r="P33" s="44"/>
      <c r="Q33" s="44">
        <f>5592721+179656</f>
        <v>5772377</v>
      </c>
      <c r="R33" s="44"/>
      <c r="S33" s="44">
        <v>0</v>
      </c>
      <c r="T33" s="44"/>
      <c r="U33" s="44">
        <v>768970</v>
      </c>
      <c r="V33" s="44"/>
      <c r="W33" s="44">
        <f t="shared" si="0"/>
        <v>22521624</v>
      </c>
      <c r="X33" s="44"/>
      <c r="Y33" s="44">
        <v>79100610</v>
      </c>
      <c r="Z33" s="44"/>
      <c r="AA33" s="44">
        <f>+'Stmt net assets'!Y32</f>
        <v>82566462</v>
      </c>
      <c r="AB33" s="44"/>
      <c r="AC33" s="44">
        <f>+Y33+'Stmt of activities-GA rev'!AC34-'Stmt of activities-GAexp'!W33-AA33</f>
        <v>0</v>
      </c>
    </row>
    <row r="34" spans="1:29" s="47" customFormat="1" ht="12.75" customHeight="1">
      <c r="A34" s="47" t="s">
        <v>49</v>
      </c>
      <c r="B34" s="51"/>
      <c r="C34" s="47" t="s">
        <v>27</v>
      </c>
      <c r="E34" s="44">
        <v>6720879</v>
      </c>
      <c r="F34" s="44"/>
      <c r="G34" s="44">
        <v>348658</v>
      </c>
      <c r="H34" s="44"/>
      <c r="I34" s="44">
        <v>1242116</v>
      </c>
      <c r="J34" s="44"/>
      <c r="K34" s="44">
        <v>419628</v>
      </c>
      <c r="L34" s="44"/>
      <c r="M34" s="44">
        <v>1122976</v>
      </c>
      <c r="N34" s="44"/>
      <c r="O34" s="44">
        <v>847867</v>
      </c>
      <c r="P34" s="44"/>
      <c r="Q34" s="44">
        <v>7313107</v>
      </c>
      <c r="R34" s="44"/>
      <c r="S34" s="44">
        <v>26450</v>
      </c>
      <c r="T34" s="44"/>
      <c r="U34" s="44">
        <v>660850</v>
      </c>
      <c r="V34" s="44"/>
      <c r="W34" s="44">
        <f t="shared" si="0"/>
        <v>18702531</v>
      </c>
      <c r="X34" s="44"/>
      <c r="Y34" s="44">
        <v>35918887</v>
      </c>
      <c r="Z34" s="44"/>
      <c r="AA34" s="44">
        <f>+'Stmt net assets'!Y33</f>
        <v>36049174</v>
      </c>
      <c r="AB34" s="44"/>
      <c r="AC34" s="44">
        <f>+Y34+'Stmt of activities-GA rev'!AC35-'Stmt of activities-GAexp'!W34-AA34</f>
        <v>0</v>
      </c>
    </row>
    <row r="35" spans="1:29" s="47" customFormat="1" ht="12.75" customHeight="1">
      <c r="A35" s="47" t="s">
        <v>50</v>
      </c>
      <c r="B35" s="51"/>
      <c r="C35" s="47" t="s">
        <v>27</v>
      </c>
      <c r="E35" s="44">
        <v>12258151</v>
      </c>
      <c r="F35" s="44"/>
      <c r="G35" s="44">
        <v>566718</v>
      </c>
      <c r="H35" s="44"/>
      <c r="I35" s="44">
        <v>2928253</v>
      </c>
      <c r="J35" s="44"/>
      <c r="K35" s="44">
        <v>2125890</v>
      </c>
      <c r="L35" s="44"/>
      <c r="M35" s="44">
        <v>2618477</v>
      </c>
      <c r="N35" s="44"/>
      <c r="O35" s="44">
        <v>4380006</v>
      </c>
      <c r="P35" s="44"/>
      <c r="Q35" s="44">
        <v>5183964</v>
      </c>
      <c r="R35" s="44"/>
      <c r="S35" s="44">
        <v>0</v>
      </c>
      <c r="T35" s="44"/>
      <c r="U35" s="44">
        <v>70405</v>
      </c>
      <c r="V35" s="44"/>
      <c r="W35" s="44">
        <f t="shared" si="0"/>
        <v>30131864</v>
      </c>
      <c r="X35" s="44"/>
      <c r="Y35" s="44">
        <v>77035351</v>
      </c>
      <c r="Z35" s="44"/>
      <c r="AA35" s="44">
        <f>+'Stmt net assets'!Y34</f>
        <v>79788431</v>
      </c>
      <c r="AB35" s="44"/>
      <c r="AC35" s="44">
        <f>+Y35+'Stmt of activities-GA rev'!AC36-'Stmt of activities-GAexp'!W35-AA35</f>
        <v>0</v>
      </c>
    </row>
    <row r="36" spans="1:29" s="47" customFormat="1" ht="12.75" customHeight="1">
      <c r="A36" s="47" t="s">
        <v>51</v>
      </c>
      <c r="B36" s="51"/>
      <c r="C36" s="47" t="s">
        <v>27</v>
      </c>
      <c r="E36" s="44">
        <v>10066623</v>
      </c>
      <c r="F36" s="44"/>
      <c r="G36" s="44">
        <v>0</v>
      </c>
      <c r="H36" s="44"/>
      <c r="I36" s="44">
        <v>2581966</v>
      </c>
      <c r="J36" s="44"/>
      <c r="K36" s="44">
        <v>2085037</v>
      </c>
      <c r="L36" s="44"/>
      <c r="M36" s="44">
        <v>1898354</v>
      </c>
      <c r="N36" s="44"/>
      <c r="O36" s="44">
        <v>3347481</v>
      </c>
      <c r="P36" s="44"/>
      <c r="Q36" s="44">
        <v>2618931</v>
      </c>
      <c r="R36" s="44"/>
      <c r="S36" s="44">
        <v>0</v>
      </c>
      <c r="T36" s="44"/>
      <c r="U36" s="44">
        <v>471505</v>
      </c>
      <c r="V36" s="44"/>
      <c r="W36" s="44">
        <f t="shared" si="0"/>
        <v>23069897</v>
      </c>
      <c r="X36" s="44"/>
      <c r="Y36" s="44">
        <v>26718794</v>
      </c>
      <c r="Z36" s="44"/>
      <c r="AA36" s="44">
        <f>+'Stmt net assets'!Y35</f>
        <v>23581281</v>
      </c>
      <c r="AB36" s="44"/>
      <c r="AC36" s="44">
        <f>+Y36+'Stmt of activities-GA rev'!AC37-'Stmt of activities-GAexp'!W36-AA36</f>
        <v>0</v>
      </c>
    </row>
    <row r="37" spans="1:29" s="47" customFormat="1" ht="12.75" customHeight="1">
      <c r="A37" s="47" t="s">
        <v>463</v>
      </c>
      <c r="B37" s="51"/>
      <c r="C37" s="47" t="s">
        <v>66</v>
      </c>
      <c r="E37" s="44">
        <v>1747724</v>
      </c>
      <c r="F37" s="44"/>
      <c r="G37" s="44">
        <v>0</v>
      </c>
      <c r="H37" s="44"/>
      <c r="I37" s="44">
        <v>165072</v>
      </c>
      <c r="J37" s="44"/>
      <c r="K37" s="44">
        <v>798953</v>
      </c>
      <c r="L37" s="44"/>
      <c r="M37" s="44">
        <v>1254243</v>
      </c>
      <c r="N37" s="44"/>
      <c r="O37" s="44">
        <v>0</v>
      </c>
      <c r="P37" s="44"/>
      <c r="Q37" s="44">
        <v>852914</v>
      </c>
      <c r="R37" s="44"/>
      <c r="S37" s="44">
        <v>0</v>
      </c>
      <c r="T37" s="44"/>
      <c r="U37" s="44">
        <v>54352</v>
      </c>
      <c r="V37" s="44"/>
      <c r="W37" s="44">
        <f t="shared" si="0"/>
        <v>4873258</v>
      </c>
      <c r="X37" s="44"/>
      <c r="Y37" s="44">
        <v>8478462</v>
      </c>
      <c r="Z37" s="44"/>
      <c r="AA37" s="44">
        <f>+'Stmt net assets'!Y36</f>
        <v>9960847</v>
      </c>
      <c r="AB37" s="44"/>
      <c r="AC37" s="44">
        <f>+Y37+'Stmt of activities-GA rev'!AC38-'Stmt of activities-GAexp'!W37-AA37</f>
        <v>0</v>
      </c>
    </row>
    <row r="38" spans="1:29" s="47" customFormat="1" ht="12.75" customHeight="1">
      <c r="A38" s="47" t="s">
        <v>52</v>
      </c>
      <c r="B38" s="51"/>
      <c r="C38" s="47" t="s">
        <v>53</v>
      </c>
      <c r="E38" s="44">
        <v>9571470</v>
      </c>
      <c r="F38" s="44"/>
      <c r="G38" s="44">
        <v>29884</v>
      </c>
      <c r="H38" s="44"/>
      <c r="I38" s="44">
        <v>2272972</v>
      </c>
      <c r="J38" s="44"/>
      <c r="K38" s="44">
        <v>1818776</v>
      </c>
      <c r="L38" s="44"/>
      <c r="M38" s="44">
        <v>4249283</v>
      </c>
      <c r="N38" s="44"/>
      <c r="O38" s="44">
        <v>0</v>
      </c>
      <c r="P38" s="44"/>
      <c r="Q38" s="44">
        <v>3653469</v>
      </c>
      <c r="R38" s="44"/>
      <c r="S38" s="44">
        <v>0</v>
      </c>
      <c r="T38" s="44"/>
      <c r="U38" s="44">
        <v>574351</v>
      </c>
      <c r="V38" s="44"/>
      <c r="W38" s="44">
        <f t="shared" si="0"/>
        <v>22170205</v>
      </c>
      <c r="X38" s="44"/>
      <c r="Y38" s="44">
        <f>53805928+270</f>
        <v>53806198</v>
      </c>
      <c r="Z38" s="44"/>
      <c r="AA38" s="44">
        <f>+'Stmt net assets'!Y37</f>
        <v>52622429</v>
      </c>
      <c r="AB38" s="44"/>
      <c r="AC38" s="44">
        <f>+Y38+'Stmt of activities-GA rev'!AC39-'Stmt of activities-GAexp'!W38-AA38</f>
        <v>0</v>
      </c>
    </row>
    <row r="39" spans="1:29" s="47" customFormat="1" ht="12.75" customHeight="1">
      <c r="A39" s="47" t="s">
        <v>54</v>
      </c>
      <c r="B39" s="51"/>
      <c r="C39" s="47" t="s">
        <v>55</v>
      </c>
      <c r="E39" s="44">
        <v>2432098</v>
      </c>
      <c r="F39" s="44"/>
      <c r="G39" s="44">
        <v>101804</v>
      </c>
      <c r="H39" s="44"/>
      <c r="I39" s="44">
        <v>1100611</v>
      </c>
      <c r="J39" s="44"/>
      <c r="K39" s="44">
        <v>601757</v>
      </c>
      <c r="L39" s="44"/>
      <c r="M39" s="44">
        <v>1089827</v>
      </c>
      <c r="N39" s="44"/>
      <c r="O39" s="44">
        <v>0</v>
      </c>
      <c r="P39" s="44"/>
      <c r="Q39" s="44">
        <v>3123067</v>
      </c>
      <c r="R39" s="44"/>
      <c r="S39" s="44">
        <v>0</v>
      </c>
      <c r="T39" s="44"/>
      <c r="U39" s="44">
        <v>120454</v>
      </c>
      <c r="V39" s="44"/>
      <c r="W39" s="44">
        <f t="shared" si="0"/>
        <v>8569618</v>
      </c>
      <c r="X39" s="44"/>
      <c r="Y39" s="44">
        <v>30681561</v>
      </c>
      <c r="Z39" s="44"/>
      <c r="AA39" s="44">
        <f>+'Stmt net assets'!Y38</f>
        <v>33516567</v>
      </c>
      <c r="AB39" s="44"/>
      <c r="AC39" s="44">
        <f>+Y39+'Stmt of activities-GA rev'!AC40-'Stmt of activities-GAexp'!W39-AA39</f>
        <v>0</v>
      </c>
    </row>
    <row r="40" spans="1:29" s="47" customFormat="1" ht="12.75" customHeight="1">
      <c r="A40" s="47" t="s">
        <v>56</v>
      </c>
      <c r="B40" s="51"/>
      <c r="C40" s="47" t="s">
        <v>57</v>
      </c>
      <c r="E40" s="44">
        <f>1987347+1429874+127448</f>
        <v>3544669</v>
      </c>
      <c r="F40" s="44"/>
      <c r="G40" s="44">
        <v>192061</v>
      </c>
      <c r="H40" s="44"/>
      <c r="I40" s="44">
        <v>181746</v>
      </c>
      <c r="J40" s="44"/>
      <c r="K40" s="44">
        <v>309737</v>
      </c>
      <c r="L40" s="44"/>
      <c r="M40" s="44">
        <v>2475610</v>
      </c>
      <c r="N40" s="44"/>
      <c r="O40" s="44">
        <v>0</v>
      </c>
      <c r="P40" s="44"/>
      <c r="Q40" s="44">
        <v>1492183</v>
      </c>
      <c r="R40" s="44"/>
      <c r="S40" s="44">
        <v>0</v>
      </c>
      <c r="T40" s="44"/>
      <c r="U40" s="44">
        <v>30830</v>
      </c>
      <c r="V40" s="44"/>
      <c r="W40" s="44">
        <f t="shared" si="0"/>
        <v>8226836</v>
      </c>
      <c r="X40" s="44"/>
      <c r="Y40" s="44">
        <v>19739713</v>
      </c>
      <c r="Z40" s="44"/>
      <c r="AA40" s="44">
        <f>+'Stmt net assets'!Y39</f>
        <v>20342650</v>
      </c>
      <c r="AB40" s="44"/>
      <c r="AC40" s="44">
        <f>+Y40+'Stmt of activities-GA rev'!AC41-'Stmt of activities-GAexp'!W40-AA40</f>
        <v>0</v>
      </c>
    </row>
    <row r="41" spans="1:29" s="47" customFormat="1" ht="12.75" customHeight="1">
      <c r="A41" s="47" t="s">
        <v>58</v>
      </c>
      <c r="B41" s="51"/>
      <c r="C41" s="47" t="s">
        <v>59</v>
      </c>
      <c r="E41" s="44">
        <v>4379962</v>
      </c>
      <c r="F41" s="44"/>
      <c r="G41" s="44">
        <v>230773</v>
      </c>
      <c r="H41" s="44"/>
      <c r="I41" s="44">
        <v>1045640</v>
      </c>
      <c r="J41" s="44"/>
      <c r="K41" s="44">
        <v>427010</v>
      </c>
      <c r="L41" s="44"/>
      <c r="M41" s="44">
        <v>1547242</v>
      </c>
      <c r="N41" s="44"/>
      <c r="O41" s="44">
        <v>0</v>
      </c>
      <c r="P41" s="44"/>
      <c r="Q41" s="44">
        <v>2635150</v>
      </c>
      <c r="R41" s="44"/>
      <c r="S41" s="44">
        <v>0</v>
      </c>
      <c r="T41" s="44"/>
      <c r="U41" s="44">
        <v>36802</v>
      </c>
      <c r="V41" s="44"/>
      <c r="W41" s="44">
        <f t="shared" si="0"/>
        <v>10302579</v>
      </c>
      <c r="X41" s="44"/>
      <c r="Y41" s="44">
        <v>16511026</v>
      </c>
      <c r="Z41" s="44"/>
      <c r="AA41" s="44">
        <f>+'Stmt net assets'!Y40</f>
        <v>18311485</v>
      </c>
      <c r="AB41" s="44"/>
      <c r="AC41" s="44">
        <f>+Y41+'Stmt of activities-GA rev'!AC42-'Stmt of activities-GAexp'!W41-AA41</f>
        <v>0</v>
      </c>
    </row>
    <row r="42" spans="1:29" s="47" customFormat="1" ht="12.75" hidden="1" customHeight="1">
      <c r="A42" s="47" t="s">
        <v>477</v>
      </c>
      <c r="B42" s="51"/>
      <c r="C42" s="47" t="s">
        <v>15</v>
      </c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>
        <f>SUM(E42:U42)</f>
        <v>0</v>
      </c>
      <c r="X42" s="44"/>
      <c r="Y42" s="44"/>
      <c r="Z42" s="44"/>
      <c r="AA42" s="44">
        <f>+'Stmt net assets'!Y41</f>
        <v>0</v>
      </c>
      <c r="AB42" s="44"/>
      <c r="AC42" s="44">
        <f>+Y42+'Stmt of activities-GA rev'!AC43-'Stmt of activities-GAexp'!W42-AA42</f>
        <v>0</v>
      </c>
    </row>
    <row r="43" spans="1:29" s="47" customFormat="1" ht="12.75" hidden="1" customHeight="1">
      <c r="A43" s="47" t="s">
        <v>60</v>
      </c>
      <c r="B43" s="51"/>
      <c r="C43" s="47" t="s">
        <v>61</v>
      </c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>
        <f t="shared" si="0"/>
        <v>0</v>
      </c>
      <c r="X43" s="44"/>
      <c r="Y43" s="44"/>
      <c r="Z43" s="44"/>
      <c r="AA43" s="44">
        <f>+'Stmt net assets'!Y42</f>
        <v>0</v>
      </c>
      <c r="AB43" s="44"/>
      <c r="AC43" s="44">
        <f>+Y43+'Stmt of activities-GA rev'!AC44-'Stmt of activities-GAexp'!W43-AA43</f>
        <v>0</v>
      </c>
    </row>
    <row r="44" spans="1:29" s="47" customFormat="1" ht="12.75" customHeight="1">
      <c r="A44" s="47" t="s">
        <v>62</v>
      </c>
      <c r="B44" s="51"/>
      <c r="C44" s="47" t="s">
        <v>15</v>
      </c>
      <c r="E44" s="44">
        <v>37696448</v>
      </c>
      <c r="F44" s="44"/>
      <c r="G44" s="44">
        <v>6120207</v>
      </c>
      <c r="H44" s="44"/>
      <c r="I44" s="44">
        <v>3121537</v>
      </c>
      <c r="J44" s="44"/>
      <c r="K44" s="44">
        <v>7388444</v>
      </c>
      <c r="L44" s="44"/>
      <c r="M44" s="44">
        <v>11878157</v>
      </c>
      <c r="N44" s="44"/>
      <c r="O44" s="44">
        <v>0</v>
      </c>
      <c r="P44" s="44"/>
      <c r="Q44" s="44">
        <v>20396772</v>
      </c>
      <c r="R44" s="44"/>
      <c r="S44" s="44">
        <v>0</v>
      </c>
      <c r="T44" s="44"/>
      <c r="U44" s="44">
        <v>1259708</v>
      </c>
      <c r="V44" s="44"/>
      <c r="W44" s="44">
        <f t="shared" si="0"/>
        <v>87861273</v>
      </c>
      <c r="X44" s="44"/>
      <c r="Y44" s="44">
        <v>119345550</v>
      </c>
      <c r="Z44" s="44"/>
      <c r="AA44" s="44">
        <f>+'Stmt net assets'!Y43</f>
        <v>128831078</v>
      </c>
      <c r="AB44" s="44"/>
      <c r="AC44" s="44">
        <f>+Y44+'Stmt of activities-GA rev'!AC45-'Stmt of activities-GAexp'!W44-AA44</f>
        <v>0</v>
      </c>
    </row>
    <row r="45" spans="1:29" s="138" customFormat="1" ht="12.75" hidden="1" customHeight="1">
      <c r="A45" s="138" t="s">
        <v>486</v>
      </c>
      <c r="B45" s="140"/>
      <c r="C45" s="138" t="s">
        <v>111</v>
      </c>
      <c r="E45" s="137">
        <v>0</v>
      </c>
      <c r="F45" s="137"/>
      <c r="G45" s="137">
        <v>0</v>
      </c>
      <c r="H45" s="137"/>
      <c r="I45" s="137">
        <v>0</v>
      </c>
      <c r="J45" s="137"/>
      <c r="K45" s="137">
        <v>0</v>
      </c>
      <c r="L45" s="137"/>
      <c r="M45" s="137">
        <v>0</v>
      </c>
      <c r="N45" s="137"/>
      <c r="O45" s="137">
        <v>0</v>
      </c>
      <c r="P45" s="137"/>
      <c r="Q45" s="137">
        <v>0</v>
      </c>
      <c r="R45" s="137"/>
      <c r="S45" s="137">
        <v>0</v>
      </c>
      <c r="T45" s="137"/>
      <c r="U45" s="137">
        <v>0</v>
      </c>
      <c r="V45" s="137"/>
      <c r="W45" s="137">
        <f>SUM(E45:U45)</f>
        <v>0</v>
      </c>
      <c r="X45" s="137"/>
      <c r="Y45" s="137">
        <v>0</v>
      </c>
      <c r="Z45" s="137"/>
      <c r="AA45" s="137">
        <f>+'Stmt net assets'!Y44</f>
        <v>0</v>
      </c>
      <c r="AB45" s="137"/>
      <c r="AC45" s="44">
        <f>+Y45+'Stmt of activities-GA rev'!AC46-'Stmt of activities-GAexp'!W45-AA45</f>
        <v>0</v>
      </c>
    </row>
    <row r="46" spans="1:29" s="47" customFormat="1" ht="12.75" customHeight="1">
      <c r="A46" s="47" t="s">
        <v>63</v>
      </c>
      <c r="B46" s="51"/>
      <c r="C46" s="47" t="s">
        <v>64</v>
      </c>
      <c r="E46" s="44">
        <v>3034090</v>
      </c>
      <c r="F46" s="44"/>
      <c r="G46" s="44">
        <v>68768</v>
      </c>
      <c r="H46" s="44"/>
      <c r="I46" s="44">
        <v>655453</v>
      </c>
      <c r="J46" s="44"/>
      <c r="K46" s="44">
        <v>190395</v>
      </c>
      <c r="L46" s="44"/>
      <c r="M46" s="44">
        <v>1218536</v>
      </c>
      <c r="N46" s="44"/>
      <c r="O46" s="44">
        <v>262601</v>
      </c>
      <c r="P46" s="44"/>
      <c r="Q46" s="44">
        <v>1574980</v>
      </c>
      <c r="R46" s="44"/>
      <c r="S46" s="44">
        <v>0</v>
      </c>
      <c r="T46" s="44"/>
      <c r="U46" s="44">
        <v>112247</v>
      </c>
      <c r="V46" s="44"/>
      <c r="W46" s="44">
        <f t="shared" si="0"/>
        <v>7117070</v>
      </c>
      <c r="X46" s="44"/>
      <c r="Y46" s="44">
        <v>16999334</v>
      </c>
      <c r="Z46" s="44"/>
      <c r="AA46" s="44">
        <f>+'Stmt net assets'!Y45</f>
        <v>19195428</v>
      </c>
      <c r="AB46" s="44"/>
      <c r="AC46" s="44">
        <f>+Y46+'Stmt of activities-GA rev'!AC47-'Stmt of activities-GAexp'!W46-AA46</f>
        <v>0</v>
      </c>
    </row>
    <row r="47" spans="1:29" s="47" customFormat="1" ht="12.75" customHeight="1">
      <c r="A47" s="47" t="s">
        <v>65</v>
      </c>
      <c r="B47" s="51"/>
      <c r="C47" s="47" t="s">
        <v>66</v>
      </c>
      <c r="E47" s="44">
        <v>5929666</v>
      </c>
      <c r="F47" s="44"/>
      <c r="G47" s="44">
        <v>0</v>
      </c>
      <c r="H47" s="44"/>
      <c r="I47" s="44">
        <v>340320</v>
      </c>
      <c r="J47" s="44"/>
      <c r="K47" s="44">
        <v>269732</v>
      </c>
      <c r="L47" s="44"/>
      <c r="M47" s="44">
        <v>3564160</v>
      </c>
      <c r="N47" s="44"/>
      <c r="O47" s="44">
        <v>0</v>
      </c>
      <c r="P47" s="44"/>
      <c r="Q47" s="44">
        <v>5654478</v>
      </c>
      <c r="R47" s="44"/>
      <c r="S47" s="44">
        <v>0</v>
      </c>
      <c r="T47" s="44"/>
      <c r="U47" s="44">
        <v>1180046</v>
      </c>
      <c r="V47" s="44"/>
      <c r="W47" s="44">
        <f t="shared" si="0"/>
        <v>16938402</v>
      </c>
      <c r="X47" s="44"/>
      <c r="Y47" s="44">
        <v>51541555</v>
      </c>
      <c r="Z47" s="44"/>
      <c r="AA47" s="44">
        <f>+'Stmt net assets'!Y46</f>
        <v>54775563</v>
      </c>
      <c r="AB47" s="44"/>
      <c r="AC47" s="44">
        <f>+Y47+'Stmt of activities-GA rev'!AC48-'Stmt of activities-GAexp'!W47-AA47</f>
        <v>0</v>
      </c>
    </row>
    <row r="48" spans="1:29" s="47" customFormat="1" ht="12.75" customHeight="1">
      <c r="A48" s="47" t="s">
        <v>67</v>
      </c>
      <c r="B48" s="51"/>
      <c r="C48" s="47" t="s">
        <v>375</v>
      </c>
      <c r="E48" s="44">
        <v>1963470</v>
      </c>
      <c r="F48" s="44"/>
      <c r="G48" s="44">
        <v>92288</v>
      </c>
      <c r="H48" s="44"/>
      <c r="I48" s="44">
        <v>243771</v>
      </c>
      <c r="J48" s="44"/>
      <c r="K48" s="44">
        <v>301089</v>
      </c>
      <c r="L48" s="44"/>
      <c r="M48" s="44">
        <v>1624936</v>
      </c>
      <c r="N48" s="44"/>
      <c r="O48" s="44">
        <v>13650</v>
      </c>
      <c r="P48" s="44"/>
      <c r="Q48" s="44">
        <v>3999379</v>
      </c>
      <c r="R48" s="44"/>
      <c r="S48" s="44">
        <v>0</v>
      </c>
      <c r="T48" s="44"/>
      <c r="U48" s="44">
        <v>66294</v>
      </c>
      <c r="V48" s="44"/>
      <c r="W48" s="44">
        <f t="shared" si="0"/>
        <v>8304877</v>
      </c>
      <c r="X48" s="44"/>
      <c r="Y48" s="44">
        <v>35914287</v>
      </c>
      <c r="Z48" s="44"/>
      <c r="AA48" s="44">
        <f>+'Stmt net assets'!Y47</f>
        <v>39044495</v>
      </c>
      <c r="AB48" s="44"/>
      <c r="AC48" s="44">
        <f>+Y48+'Stmt of activities-GA rev'!AC49-'Stmt of activities-GAexp'!W48-AA48</f>
        <v>0</v>
      </c>
    </row>
    <row r="49" spans="1:29" s="47" customFormat="1" ht="12.75" customHeight="1">
      <c r="A49" s="47" t="s">
        <v>68</v>
      </c>
      <c r="B49" s="51"/>
      <c r="C49" s="47" t="s">
        <v>45</v>
      </c>
      <c r="E49" s="44">
        <v>1975482</v>
      </c>
      <c r="F49" s="44"/>
      <c r="G49" s="44">
        <v>6894</v>
      </c>
      <c r="H49" s="44"/>
      <c r="I49" s="44">
        <v>145605</v>
      </c>
      <c r="J49" s="44"/>
      <c r="K49" s="44">
        <v>409837</v>
      </c>
      <c r="L49" s="44"/>
      <c r="M49" s="44">
        <v>333665</v>
      </c>
      <c r="N49" s="44"/>
      <c r="O49" s="44">
        <v>0</v>
      </c>
      <c r="P49" s="44"/>
      <c r="Q49" s="44">
        <v>1375027</v>
      </c>
      <c r="R49" s="44"/>
      <c r="S49" s="44">
        <v>0</v>
      </c>
      <c r="T49" s="44"/>
      <c r="U49" s="44">
        <v>3868</v>
      </c>
      <c r="V49" s="44"/>
      <c r="W49" s="44">
        <f t="shared" si="0"/>
        <v>4250378</v>
      </c>
      <c r="X49" s="44"/>
      <c r="Y49" s="44">
        <v>3892398</v>
      </c>
      <c r="Z49" s="44"/>
      <c r="AA49" s="44">
        <f>+'Stmt net assets'!Y48</f>
        <v>4287415</v>
      </c>
      <c r="AB49" s="44"/>
      <c r="AC49" s="44">
        <f>+Y49+'Stmt of activities-GA rev'!AC50-'Stmt of activities-GAexp'!W49-AA49</f>
        <v>0</v>
      </c>
    </row>
    <row r="50" spans="1:29" s="47" customFormat="1" ht="12.75" customHeight="1">
      <c r="A50" s="47" t="s">
        <v>69</v>
      </c>
      <c r="B50" s="51"/>
      <c r="C50" s="47" t="s">
        <v>70</v>
      </c>
      <c r="E50" s="44">
        <f>5693551+4567222</f>
        <v>10260773</v>
      </c>
      <c r="F50" s="44"/>
      <c r="G50" s="44">
        <v>0</v>
      </c>
      <c r="H50" s="44"/>
      <c r="I50" s="44">
        <v>1089656</v>
      </c>
      <c r="J50" s="44"/>
      <c r="K50" s="44">
        <v>772615</v>
      </c>
      <c r="L50" s="44"/>
      <c r="M50" s="44">
        <v>6730013</v>
      </c>
      <c r="N50" s="44"/>
      <c r="O50" s="44">
        <v>1064347</v>
      </c>
      <c r="P50" s="44"/>
      <c r="Q50" s="44">
        <v>5063213</v>
      </c>
      <c r="R50" s="44"/>
      <c r="S50" s="44">
        <v>0</v>
      </c>
      <c r="T50" s="44"/>
      <c r="U50" s="44">
        <v>91207</v>
      </c>
      <c r="V50" s="44"/>
      <c r="W50" s="44">
        <f t="shared" si="0"/>
        <v>25071824</v>
      </c>
      <c r="X50" s="44"/>
      <c r="Y50" s="44">
        <v>47215926</v>
      </c>
      <c r="Z50" s="44"/>
      <c r="AA50" s="44">
        <f>+'Stmt net assets'!Y49</f>
        <v>44391873</v>
      </c>
      <c r="AB50" s="44"/>
      <c r="AC50" s="44">
        <f>+Y50+'Stmt of activities-GA rev'!AC51-'Stmt of activities-GAexp'!W50-AA50</f>
        <v>0</v>
      </c>
    </row>
    <row r="51" spans="1:29" s="47" customFormat="1" ht="12.75" customHeight="1">
      <c r="A51" s="47" t="s">
        <v>71</v>
      </c>
      <c r="B51" s="51"/>
      <c r="C51" s="47" t="s">
        <v>45</v>
      </c>
      <c r="E51" s="44">
        <f>236800000+53203000</f>
        <v>290003000</v>
      </c>
      <c r="F51" s="44"/>
      <c r="G51" s="44">
        <v>43484000</v>
      </c>
      <c r="H51" s="44"/>
      <c r="I51" s="44">
        <v>42261000</v>
      </c>
      <c r="J51" s="44"/>
      <c r="K51" s="44">
        <v>59493000</v>
      </c>
      <c r="L51" s="44"/>
      <c r="M51" s="44">
        <f>38582000+43814000</f>
        <v>82396000</v>
      </c>
      <c r="N51" s="44"/>
      <c r="O51" s="44">
        <v>0</v>
      </c>
      <c r="P51" s="44"/>
      <c r="Q51" s="44">
        <v>127280000</v>
      </c>
      <c r="R51" s="44"/>
      <c r="S51" s="44">
        <v>0</v>
      </c>
      <c r="T51" s="44"/>
      <c r="U51" s="44">
        <v>19034000</v>
      </c>
      <c r="V51" s="44"/>
      <c r="W51" s="44">
        <f t="shared" si="0"/>
        <v>663951000</v>
      </c>
      <c r="X51" s="44"/>
      <c r="Y51" s="44">
        <v>845001000</v>
      </c>
      <c r="Z51" s="44"/>
      <c r="AA51" s="44">
        <f>+'Stmt net assets'!Y50</f>
        <v>880361000</v>
      </c>
      <c r="AB51" s="44"/>
      <c r="AC51" s="44">
        <f>+Y51+'Stmt of activities-GA rev'!AC52-'Stmt of activities-GAexp'!W51-AA51</f>
        <v>0</v>
      </c>
    </row>
    <row r="52" spans="1:29" s="47" customFormat="1" ht="12.75" customHeight="1">
      <c r="A52" s="47" t="s">
        <v>464</v>
      </c>
      <c r="B52" s="51"/>
      <c r="C52" s="47" t="s">
        <v>465</v>
      </c>
      <c r="E52" s="44">
        <f>2709432+1762304+149092</f>
        <v>4620828</v>
      </c>
      <c r="F52" s="44"/>
      <c r="G52" s="44">
        <v>173250</v>
      </c>
      <c r="H52" s="44"/>
      <c r="I52" s="44">
        <f>154782+45658+21894</f>
        <v>222334</v>
      </c>
      <c r="J52" s="44"/>
      <c r="K52" s="44">
        <f>335448+398778</f>
        <v>734226</v>
      </c>
      <c r="L52" s="44"/>
      <c r="M52" s="44">
        <v>1853000</v>
      </c>
      <c r="N52" s="44"/>
      <c r="O52" s="44">
        <v>2312</v>
      </c>
      <c r="P52" s="44"/>
      <c r="Q52" s="44">
        <v>2820194</v>
      </c>
      <c r="R52" s="44"/>
      <c r="S52" s="44">
        <v>0</v>
      </c>
      <c r="T52" s="44"/>
      <c r="U52" s="44">
        <v>282889</v>
      </c>
      <c r="V52" s="44"/>
      <c r="W52" s="44">
        <f t="shared" si="0"/>
        <v>10709033</v>
      </c>
      <c r="X52" s="44"/>
      <c r="Y52" s="44">
        <v>25640979</v>
      </c>
      <c r="Z52" s="44"/>
      <c r="AA52" s="44">
        <f>+'Stmt net assets'!Y51</f>
        <v>25587846</v>
      </c>
      <c r="AB52" s="44"/>
      <c r="AC52" s="44">
        <f>+Y52+'Stmt of activities-GA rev'!AC53-'Stmt of activities-GAexp'!W52-AA52</f>
        <v>0</v>
      </c>
    </row>
    <row r="53" spans="1:29" s="47" customFormat="1" ht="12.75" customHeight="1">
      <c r="A53" s="47" t="s">
        <v>72</v>
      </c>
      <c r="B53" s="51"/>
      <c r="C53" s="47" t="s">
        <v>66</v>
      </c>
      <c r="E53" s="44">
        <v>3081544</v>
      </c>
      <c r="F53" s="44"/>
      <c r="G53" s="44">
        <v>5101</v>
      </c>
      <c r="H53" s="44"/>
      <c r="I53" s="44">
        <v>0</v>
      </c>
      <c r="J53" s="44"/>
      <c r="K53" s="44">
        <v>0</v>
      </c>
      <c r="L53" s="44"/>
      <c r="M53" s="44">
        <v>1174423</v>
      </c>
      <c r="N53" s="44"/>
      <c r="O53" s="44">
        <v>0</v>
      </c>
      <c r="P53" s="44"/>
      <c r="Q53" s="44">
        <v>1699954</v>
      </c>
      <c r="R53" s="44"/>
      <c r="S53" s="44">
        <v>0</v>
      </c>
      <c r="T53" s="44"/>
      <c r="U53" s="44">
        <v>229427</v>
      </c>
      <c r="V53" s="44"/>
      <c r="W53" s="44">
        <f t="shared" si="0"/>
        <v>6190449</v>
      </c>
      <c r="X53" s="44"/>
      <c r="Y53" s="44">
        <v>7407886</v>
      </c>
      <c r="Z53" s="44"/>
      <c r="AA53" s="44">
        <f>+'Stmt net assets'!Y52</f>
        <v>8100994</v>
      </c>
      <c r="AB53" s="44"/>
      <c r="AC53" s="44">
        <f>+Y53+'Stmt of activities-GA rev'!AC54-'Stmt of activities-GAexp'!W53-AA53</f>
        <v>0</v>
      </c>
    </row>
    <row r="54" spans="1:29" s="47" customFormat="1" ht="12.75" customHeight="1">
      <c r="A54" s="47" t="s">
        <v>73</v>
      </c>
      <c r="C54" s="47" t="s">
        <v>27</v>
      </c>
      <c r="E54" s="44">
        <f>86435000+322840000</f>
        <v>409275000</v>
      </c>
      <c r="F54" s="44"/>
      <c r="G54" s="44">
        <v>21412000</v>
      </c>
      <c r="H54" s="44"/>
      <c r="I54" s="44">
        <v>54332000</v>
      </c>
      <c r="J54" s="44"/>
      <c r="K54" s="44">
        <f>39168000+54425000</f>
        <v>93593000</v>
      </c>
      <c r="L54" s="44"/>
      <c r="M54" s="44">
        <v>0</v>
      </c>
      <c r="N54" s="44"/>
      <c r="O54" s="44">
        <v>0</v>
      </c>
      <c r="P54" s="44"/>
      <c r="Q54" s="44">
        <v>87667000</v>
      </c>
      <c r="R54" s="44"/>
      <c r="S54" s="44">
        <f>11644000+13999000</f>
        <v>25643000</v>
      </c>
      <c r="T54" s="44"/>
      <c r="U54" s="44">
        <v>27763000</v>
      </c>
      <c r="V54" s="44"/>
      <c r="W54" s="44">
        <f t="shared" si="0"/>
        <v>719685000</v>
      </c>
      <c r="X54" s="44"/>
      <c r="Y54" s="44">
        <v>567473000</v>
      </c>
      <c r="Z54" s="44"/>
      <c r="AA54" s="44">
        <f>+'Stmt net assets'!Y53</f>
        <v>639939000</v>
      </c>
      <c r="AB54" s="44"/>
      <c r="AC54" s="44">
        <f>+Y54+'Stmt of activities-GA rev'!AC55-'Stmt of activities-GAexp'!W54-AA54</f>
        <v>0</v>
      </c>
    </row>
    <row r="55" spans="1:29" s="47" customFormat="1" ht="12.75" customHeight="1">
      <c r="A55" s="47" t="s">
        <v>74</v>
      </c>
      <c r="B55" s="51"/>
      <c r="C55" s="47" t="s">
        <v>27</v>
      </c>
      <c r="E55" s="44">
        <v>19729764</v>
      </c>
      <c r="F55" s="44"/>
      <c r="G55" s="44">
        <v>426606</v>
      </c>
      <c r="H55" s="44"/>
      <c r="I55" s="44">
        <v>4259479</v>
      </c>
      <c r="J55" s="44"/>
      <c r="K55" s="44">
        <v>6564857</v>
      </c>
      <c r="L55" s="44"/>
      <c r="M55" s="44">
        <v>13374671</v>
      </c>
      <c r="N55" s="44"/>
      <c r="O55" s="44">
        <v>0</v>
      </c>
      <c r="P55" s="44"/>
      <c r="Q55" s="44">
        <v>16066372</v>
      </c>
      <c r="R55" s="44"/>
      <c r="S55" s="44">
        <v>3002530</v>
      </c>
      <c r="T55" s="44"/>
      <c r="U55" s="44">
        <v>1005109</v>
      </c>
      <c r="V55" s="44"/>
      <c r="W55" s="44">
        <f t="shared" si="0"/>
        <v>64429388</v>
      </c>
      <c r="X55" s="44"/>
      <c r="Y55" s="44">
        <v>69842292</v>
      </c>
      <c r="Z55" s="44"/>
      <c r="AA55" s="44">
        <f>+'Stmt net assets'!Y54</f>
        <v>63959232</v>
      </c>
      <c r="AB55" s="44"/>
      <c r="AC55" s="44">
        <f>+Y55+'Stmt of activities-GA rev'!AC56-'Stmt of activities-GAexp'!W55-AA55</f>
        <v>0</v>
      </c>
    </row>
    <row r="56" spans="1:29" s="47" customFormat="1" ht="12.75" customHeight="1">
      <c r="A56" s="47" t="s">
        <v>75</v>
      </c>
      <c r="B56" s="51"/>
      <c r="C56" s="47" t="s">
        <v>76</v>
      </c>
      <c r="E56" s="44">
        <v>2182525</v>
      </c>
      <c r="F56" s="44"/>
      <c r="G56" s="44">
        <v>591169</v>
      </c>
      <c r="H56" s="44"/>
      <c r="I56" s="44">
        <v>129016</v>
      </c>
      <c r="J56" s="44"/>
      <c r="K56" s="44">
        <v>288520</v>
      </c>
      <c r="L56" s="44"/>
      <c r="M56" s="44">
        <v>757418</v>
      </c>
      <c r="N56" s="44"/>
      <c r="O56" s="44">
        <v>0</v>
      </c>
      <c r="P56" s="44"/>
      <c r="Q56" s="44">
        <v>1100770</v>
      </c>
      <c r="R56" s="44"/>
      <c r="S56" s="44">
        <v>63437</v>
      </c>
      <c r="T56" s="44"/>
      <c r="U56" s="44">
        <v>187765</v>
      </c>
      <c r="V56" s="44"/>
      <c r="W56" s="44">
        <f t="shared" si="0"/>
        <v>5300620</v>
      </c>
      <c r="X56" s="44"/>
      <c r="Y56" s="44">
        <v>14916077</v>
      </c>
      <c r="Z56" s="44"/>
      <c r="AA56" s="44">
        <f>+'Stmt net assets'!Y55</f>
        <v>15311256</v>
      </c>
      <c r="AB56" s="44"/>
      <c r="AC56" s="44">
        <f>+Y56+'Stmt of activities-GA rev'!AC57-'Stmt of activities-GAexp'!W56-AA56</f>
        <v>0</v>
      </c>
    </row>
    <row r="57" spans="1:29" s="47" customFormat="1" ht="12.75" customHeight="1">
      <c r="A57" s="47" t="s">
        <v>77</v>
      </c>
      <c r="B57" s="51"/>
      <c r="C57" s="47" t="s">
        <v>43</v>
      </c>
      <c r="E57" s="44">
        <f>144046000+449574000</f>
        <v>593620000</v>
      </c>
      <c r="F57" s="44"/>
      <c r="G57" s="44">
        <v>45599000</v>
      </c>
      <c r="H57" s="44"/>
      <c r="I57" s="44">
        <v>101823000</v>
      </c>
      <c r="J57" s="44"/>
      <c r="K57" s="44">
        <v>66727000</v>
      </c>
      <c r="L57" s="44"/>
      <c r="M57" s="44">
        <v>0</v>
      </c>
      <c r="N57" s="44"/>
      <c r="O57" s="44">
        <v>0</v>
      </c>
      <c r="P57" s="44"/>
      <c r="Q57" s="44">
        <v>109698000</v>
      </c>
      <c r="R57" s="44"/>
      <c r="S57" s="44">
        <v>0</v>
      </c>
      <c r="T57" s="44"/>
      <c r="U57" s="44">
        <v>43109000</v>
      </c>
      <c r="V57" s="44"/>
      <c r="W57" s="44">
        <f t="shared" si="0"/>
        <v>960576000</v>
      </c>
      <c r="X57" s="44"/>
      <c r="Y57" s="44">
        <v>1200722000</v>
      </c>
      <c r="Z57" s="44"/>
      <c r="AA57" s="44">
        <f>+'Stmt net assets'!Y56</f>
        <v>1245665000</v>
      </c>
      <c r="AB57" s="44"/>
      <c r="AC57" s="44">
        <f>+Y57+'Stmt of activities-GA rev'!AC58-'Stmt of activities-GAexp'!W57-AA57</f>
        <v>0</v>
      </c>
    </row>
    <row r="58" spans="1:29" s="47" customFormat="1" ht="12.75" customHeight="1">
      <c r="A58" s="47" t="s">
        <v>94</v>
      </c>
      <c r="B58" s="51"/>
      <c r="C58" s="47" t="s">
        <v>94</v>
      </c>
      <c r="E58" s="44">
        <v>1485583</v>
      </c>
      <c r="F58" s="44"/>
      <c r="G58" s="44">
        <v>172346</v>
      </c>
      <c r="H58" s="44"/>
      <c r="I58" s="44">
        <v>387622</v>
      </c>
      <c r="J58" s="44"/>
      <c r="K58" s="44">
        <v>0</v>
      </c>
      <c r="L58" s="44"/>
      <c r="M58" s="44">
        <v>366700</v>
      </c>
      <c r="N58" s="44"/>
      <c r="O58" s="44">
        <v>0</v>
      </c>
      <c r="P58" s="44"/>
      <c r="Q58" s="44">
        <v>906436</v>
      </c>
      <c r="R58" s="44"/>
      <c r="S58" s="44">
        <v>0</v>
      </c>
      <c r="T58" s="44"/>
      <c r="U58" s="44">
        <v>7676</v>
      </c>
      <c r="V58" s="44"/>
      <c r="W58" s="44">
        <f>SUM(E58:U58)</f>
        <v>3326363</v>
      </c>
      <c r="X58" s="44"/>
      <c r="Y58" s="44">
        <v>5698188</v>
      </c>
      <c r="Z58" s="44"/>
      <c r="AA58" s="44">
        <f>+'Stmt net assets'!Y57</f>
        <v>6231958</v>
      </c>
      <c r="AB58" s="44"/>
      <c r="AC58" s="44">
        <f>+Y58+'Stmt of activities-GA rev'!AC59-'Stmt of activities-GAexp'!W58-AA58</f>
        <v>0</v>
      </c>
    </row>
    <row r="59" spans="1:29" s="47" customFormat="1" ht="12.75" customHeight="1">
      <c r="A59" s="47" t="s">
        <v>78</v>
      </c>
      <c r="B59" s="51"/>
      <c r="C59" s="47" t="s">
        <v>19</v>
      </c>
      <c r="E59" s="44">
        <v>3527501</v>
      </c>
      <c r="F59" s="44"/>
      <c r="G59" s="44">
        <v>432807</v>
      </c>
      <c r="H59" s="44"/>
      <c r="I59" s="44">
        <v>115777</v>
      </c>
      <c r="J59" s="44"/>
      <c r="K59" s="44">
        <v>294043</v>
      </c>
      <c r="L59" s="44"/>
      <c r="M59" s="44">
        <v>2420821</v>
      </c>
      <c r="N59" s="44"/>
      <c r="O59" s="44">
        <v>31975</v>
      </c>
      <c r="P59" s="44"/>
      <c r="Q59" s="44">
        <v>1308725</v>
      </c>
      <c r="R59" s="44"/>
      <c r="S59" s="44">
        <v>0</v>
      </c>
      <c r="T59" s="44"/>
      <c r="U59" s="44">
        <v>178252</v>
      </c>
      <c r="V59" s="44"/>
      <c r="W59" s="44">
        <f>SUM(E59:U59)</f>
        <v>8309901</v>
      </c>
      <c r="X59" s="44"/>
      <c r="Y59" s="44">
        <v>20900753</v>
      </c>
      <c r="Z59" s="44"/>
      <c r="AA59" s="44">
        <f>+'Stmt net assets'!Y58</f>
        <v>20381144</v>
      </c>
      <c r="AB59" s="44"/>
      <c r="AC59" s="44">
        <f>+Y59+'Stmt of activities-GA rev'!AC60-'Stmt of activities-GAexp'!W59-AA59</f>
        <v>0</v>
      </c>
    </row>
    <row r="60" spans="1:29" s="47" customFormat="1" ht="12.75" customHeight="1">
      <c r="A60" s="47" t="s">
        <v>79</v>
      </c>
      <c r="B60" s="51"/>
      <c r="C60" s="47" t="s">
        <v>80</v>
      </c>
      <c r="E60" s="44">
        <v>2058797</v>
      </c>
      <c r="F60" s="44"/>
      <c r="G60" s="44">
        <v>12576</v>
      </c>
      <c r="H60" s="44"/>
      <c r="I60" s="44">
        <v>22101</v>
      </c>
      <c r="J60" s="44"/>
      <c r="K60" s="44">
        <v>57157</v>
      </c>
      <c r="L60" s="44"/>
      <c r="M60" s="44">
        <v>358337</v>
      </c>
      <c r="N60" s="44"/>
      <c r="O60" s="44">
        <v>15242</v>
      </c>
      <c r="P60" s="44"/>
      <c r="Q60" s="44">
        <v>748229</v>
      </c>
      <c r="R60" s="44"/>
      <c r="S60" s="44">
        <v>0</v>
      </c>
      <c r="T60" s="44"/>
      <c r="U60" s="44">
        <v>431</v>
      </c>
      <c r="V60" s="44"/>
      <c r="W60" s="44">
        <f>SUM(E60:U60)</f>
        <v>3272870</v>
      </c>
      <c r="X60" s="44"/>
      <c r="Y60" s="44">
        <v>3522374</v>
      </c>
      <c r="Z60" s="44"/>
      <c r="AA60" s="44">
        <f>+'Stmt net assets'!Y59</f>
        <v>4324034</v>
      </c>
      <c r="AB60" s="44"/>
      <c r="AC60" s="44">
        <f>+Y60+'Stmt of activities-GA rev'!AC61-'Stmt of activities-GAexp'!W60-AA60</f>
        <v>0</v>
      </c>
    </row>
    <row r="61" spans="1:29" s="47" customFormat="1" ht="12.75" customHeight="1">
      <c r="A61" s="47" t="s">
        <v>81</v>
      </c>
      <c r="B61" s="51"/>
      <c r="C61" s="47" t="s">
        <v>81</v>
      </c>
      <c r="E61" s="44">
        <v>3332620</v>
      </c>
      <c r="F61" s="44"/>
      <c r="G61" s="44">
        <v>1285922</v>
      </c>
      <c r="H61" s="44"/>
      <c r="I61" s="44">
        <v>194752</v>
      </c>
      <c r="J61" s="44"/>
      <c r="K61" s="44">
        <f>13080+449736</f>
        <v>462816</v>
      </c>
      <c r="L61" s="44"/>
      <c r="M61" s="44">
        <v>1086013</v>
      </c>
      <c r="N61" s="44"/>
      <c r="O61" s="44">
        <v>0</v>
      </c>
      <c r="P61" s="44"/>
      <c r="Q61" s="44">
        <v>2430993</v>
      </c>
      <c r="R61" s="44"/>
      <c r="S61" s="44">
        <v>0</v>
      </c>
      <c r="T61" s="44"/>
      <c r="U61" s="44">
        <v>40735</v>
      </c>
      <c r="V61" s="44"/>
      <c r="W61" s="44">
        <f>SUM(E61:U61)</f>
        <v>8833851</v>
      </c>
      <c r="X61" s="44"/>
      <c r="Y61" s="44">
        <v>7518207</v>
      </c>
      <c r="Z61" s="44"/>
      <c r="AA61" s="44">
        <f>+'Stmt net assets'!Y60</f>
        <v>7643336</v>
      </c>
      <c r="AB61" s="44"/>
      <c r="AC61" s="44">
        <f>+Y61+'Stmt of activities-GA rev'!AC62-'Stmt of activities-GAexp'!W61-AA61</f>
        <v>0</v>
      </c>
    </row>
    <row r="62" spans="1:29" s="47" customFormat="1" ht="12.75" customHeight="1">
      <c r="A62" s="47" t="s">
        <v>466</v>
      </c>
      <c r="C62" s="47" t="s">
        <v>57</v>
      </c>
      <c r="E62" s="44">
        <v>1168286</v>
      </c>
      <c r="F62" s="44"/>
      <c r="G62" s="44">
        <v>0</v>
      </c>
      <c r="H62" s="44"/>
      <c r="I62" s="44">
        <v>108280</v>
      </c>
      <c r="J62" s="44"/>
      <c r="K62" s="44">
        <v>742330</v>
      </c>
      <c r="L62" s="44"/>
      <c r="M62" s="44">
        <v>479334</v>
      </c>
      <c r="N62" s="44"/>
      <c r="O62" s="44">
        <v>0</v>
      </c>
      <c r="P62" s="44"/>
      <c r="Q62" s="44">
        <v>346516</v>
      </c>
      <c r="R62" s="44"/>
      <c r="S62" s="44">
        <v>0</v>
      </c>
      <c r="T62" s="44"/>
      <c r="U62" s="44">
        <v>21148</v>
      </c>
      <c r="V62" s="44"/>
      <c r="W62" s="44">
        <f>SUM(E62:U62)</f>
        <v>2865894</v>
      </c>
      <c r="X62" s="44"/>
      <c r="Y62" s="44">
        <v>6647332</v>
      </c>
      <c r="Z62" s="44"/>
      <c r="AA62" s="44">
        <f>+'Stmt net assets'!Y61</f>
        <v>6675796</v>
      </c>
      <c r="AB62" s="44"/>
      <c r="AC62" s="44">
        <f>+Y62+'Stmt of activities-GA rev'!AC63-'Stmt of activities-GAexp'!W62-AA62</f>
        <v>0</v>
      </c>
    </row>
    <row r="63" spans="1:29" s="47" customFormat="1" ht="12.75" customHeight="1">
      <c r="A63" s="47" t="s">
        <v>82</v>
      </c>
      <c r="B63" s="51"/>
      <c r="C63" s="47" t="s">
        <v>13</v>
      </c>
      <c r="E63" s="44">
        <v>21077044</v>
      </c>
      <c r="F63" s="44"/>
      <c r="G63" s="44">
        <v>0</v>
      </c>
      <c r="H63" s="44"/>
      <c r="I63" s="44">
        <v>2693863</v>
      </c>
      <c r="J63" s="44"/>
      <c r="K63" s="44">
        <v>1634740</v>
      </c>
      <c r="L63" s="44"/>
      <c r="M63" s="44">
        <v>6786311</v>
      </c>
      <c r="N63" s="44"/>
      <c r="O63" s="44">
        <v>0</v>
      </c>
      <c r="P63" s="44"/>
      <c r="Q63" s="44">
        <v>10875233</v>
      </c>
      <c r="R63" s="44"/>
      <c r="S63" s="44">
        <v>0</v>
      </c>
      <c r="T63" s="44"/>
      <c r="U63" s="44">
        <v>562128</v>
      </c>
      <c r="V63" s="44"/>
      <c r="W63" s="44">
        <f t="shared" si="0"/>
        <v>43629319</v>
      </c>
      <c r="X63" s="44"/>
      <c r="Y63" s="44">
        <v>83985198</v>
      </c>
      <c r="Z63" s="44"/>
      <c r="AA63" s="44">
        <f>+'Stmt net assets'!Y62</f>
        <v>95513871</v>
      </c>
      <c r="AB63" s="44"/>
      <c r="AC63" s="44">
        <f>+Y63+'Stmt of activities-GA rev'!AC64-'Stmt of activities-GAexp'!W63-AA63</f>
        <v>0</v>
      </c>
    </row>
    <row r="64" spans="1:29" s="47" customFormat="1" ht="12.75" customHeight="1">
      <c r="A64" s="47" t="s">
        <v>83</v>
      </c>
      <c r="B64" s="51"/>
      <c r="C64" s="47" t="s">
        <v>66</v>
      </c>
      <c r="E64" s="44">
        <v>101277697</v>
      </c>
      <c r="F64" s="44"/>
      <c r="G64" s="44">
        <v>2408097</v>
      </c>
      <c r="H64" s="44"/>
      <c r="I64" s="44">
        <v>0</v>
      </c>
      <c r="J64" s="44"/>
      <c r="K64" s="44">
        <f>21459480+5666737+15999955</f>
        <v>43126172</v>
      </c>
      <c r="L64" s="44"/>
      <c r="M64" s="44">
        <v>0</v>
      </c>
      <c r="N64" s="44"/>
      <c r="O64" s="44">
        <v>0</v>
      </c>
      <c r="P64" s="44"/>
      <c r="Q64" s="44">
        <v>0</v>
      </c>
      <c r="R64" s="44"/>
      <c r="S64" s="44">
        <f>43224368+17892823+1378197</f>
        <v>62495388</v>
      </c>
      <c r="T64" s="44"/>
      <c r="U64" s="44">
        <v>5082788</v>
      </c>
      <c r="V64" s="44"/>
      <c r="W64" s="44">
        <f t="shared" si="0"/>
        <v>214390142</v>
      </c>
      <c r="X64" s="44"/>
      <c r="Y64" s="44">
        <v>358560553</v>
      </c>
      <c r="Z64" s="44"/>
      <c r="AA64" s="44">
        <f>+'Stmt net assets'!Y63</f>
        <v>378488341</v>
      </c>
      <c r="AB64" s="44"/>
      <c r="AC64" s="44">
        <f>+Y64+'Stmt of activities-GA rev'!AC65-'Stmt of activities-GAexp'!W64-AA64</f>
        <v>0</v>
      </c>
    </row>
    <row r="65" spans="1:29" s="138" customFormat="1" ht="12.75" hidden="1" customHeight="1">
      <c r="A65" s="138" t="s">
        <v>84</v>
      </c>
      <c r="B65" s="140"/>
      <c r="C65" s="138" t="s">
        <v>45</v>
      </c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>
        <f t="shared" si="0"/>
        <v>0</v>
      </c>
      <c r="X65" s="137"/>
      <c r="Y65" s="137"/>
      <c r="Z65" s="137"/>
      <c r="AA65" s="137">
        <f>+'Stmt net assets'!Y64</f>
        <v>0</v>
      </c>
      <c r="AB65" s="137"/>
      <c r="AC65" s="44">
        <f>+Y65+'Stmt of activities-GA rev'!AC66-'Stmt of activities-GAexp'!W65-AA65</f>
        <v>0</v>
      </c>
    </row>
    <row r="66" spans="1:29" s="47" customFormat="1" ht="12.75" customHeight="1">
      <c r="A66" s="47" t="s">
        <v>85</v>
      </c>
      <c r="B66" s="51"/>
      <c r="C66" s="47" t="s">
        <v>85</v>
      </c>
      <c r="E66" s="44">
        <v>5559839</v>
      </c>
      <c r="F66" s="44"/>
      <c r="G66" s="44">
        <v>253008</v>
      </c>
      <c r="H66" s="44"/>
      <c r="I66" s="44">
        <v>961329</v>
      </c>
      <c r="J66" s="44"/>
      <c r="K66" s="44">
        <f>523893+275686</f>
        <v>799579</v>
      </c>
      <c r="L66" s="44"/>
      <c r="M66" s="44">
        <v>2149203</v>
      </c>
      <c r="N66" s="44"/>
      <c r="O66" s="44">
        <v>0</v>
      </c>
      <c r="P66" s="44"/>
      <c r="Q66" s="44">
        <v>3438927</v>
      </c>
      <c r="R66" s="44"/>
      <c r="S66" s="44">
        <v>4908</v>
      </c>
      <c r="T66" s="44"/>
      <c r="U66" s="44">
        <v>48348</v>
      </c>
      <c r="V66" s="44"/>
      <c r="W66" s="44">
        <f t="shared" si="0"/>
        <v>13215141</v>
      </c>
      <c r="X66" s="44"/>
      <c r="Y66" s="44">
        <v>23597233</v>
      </c>
      <c r="Z66" s="44"/>
      <c r="AA66" s="44">
        <f>+'Stmt net assets'!Y65</f>
        <v>24697693</v>
      </c>
      <c r="AB66" s="44"/>
      <c r="AC66" s="44">
        <f>+Y66+'Stmt of activities-GA rev'!AC67-'Stmt of activities-GAexp'!W66-AA66</f>
        <v>0</v>
      </c>
    </row>
    <row r="67" spans="1:29" s="47" customFormat="1" ht="12.75" customHeight="1">
      <c r="A67" s="47" t="s">
        <v>86</v>
      </c>
      <c r="B67" s="51"/>
      <c r="C67" s="47" t="s">
        <v>86</v>
      </c>
      <c r="E67" s="44">
        <f>13402796</f>
        <v>13402796</v>
      </c>
      <c r="F67" s="44"/>
      <c r="G67" s="44">
        <v>0</v>
      </c>
      <c r="H67" s="44"/>
      <c r="I67" s="44">
        <v>1551656</v>
      </c>
      <c r="J67" s="44"/>
      <c r="K67" s="44">
        <f>1082282+3976624+456946</f>
        <v>5515852</v>
      </c>
      <c r="L67" s="44"/>
      <c r="M67" s="44">
        <v>0</v>
      </c>
      <c r="N67" s="44"/>
      <c r="O67" s="44">
        <v>0</v>
      </c>
      <c r="P67" s="44"/>
      <c r="Q67" s="44">
        <v>5717895</v>
      </c>
      <c r="R67" s="44"/>
      <c r="S67" s="44">
        <v>0</v>
      </c>
      <c r="T67" s="44"/>
      <c r="U67" s="44">
        <v>966999</v>
      </c>
      <c r="V67" s="44"/>
      <c r="W67" s="44">
        <f t="shared" si="0"/>
        <v>27155198</v>
      </c>
      <c r="X67" s="44"/>
      <c r="Y67" s="44">
        <v>54213884</v>
      </c>
      <c r="Z67" s="44"/>
      <c r="AA67" s="44">
        <f>+'Stmt net assets'!Y66</f>
        <v>57833499</v>
      </c>
      <c r="AB67" s="44"/>
      <c r="AC67" s="44">
        <f>+Y67+'Stmt of activities-GA rev'!AC68-'Stmt of activities-GAexp'!W67-AA67</f>
        <v>0</v>
      </c>
    </row>
    <row r="68" spans="1:29" s="47" customFormat="1" ht="12.75" customHeight="1">
      <c r="A68" s="46" t="s">
        <v>87</v>
      </c>
      <c r="B68" s="46"/>
      <c r="C68" s="46" t="s">
        <v>88</v>
      </c>
      <c r="D68" s="46"/>
      <c r="E68" s="44">
        <v>2012508</v>
      </c>
      <c r="F68" s="44"/>
      <c r="G68" s="44">
        <v>127459</v>
      </c>
      <c r="H68" s="44"/>
      <c r="I68" s="44">
        <v>573597</v>
      </c>
      <c r="J68" s="44"/>
      <c r="K68" s="44">
        <v>243657</v>
      </c>
      <c r="L68" s="44"/>
      <c r="M68" s="44">
        <v>598228</v>
      </c>
      <c r="N68" s="44"/>
      <c r="O68" s="44">
        <v>5784</v>
      </c>
      <c r="P68" s="44"/>
      <c r="Q68" s="44">
        <v>1072395</v>
      </c>
      <c r="R68" s="44"/>
      <c r="S68" s="44">
        <v>0</v>
      </c>
      <c r="T68" s="44"/>
      <c r="U68" s="44">
        <v>0</v>
      </c>
      <c r="V68" s="44"/>
      <c r="W68" s="44">
        <f t="shared" si="0"/>
        <v>4633628</v>
      </c>
      <c r="X68" s="44"/>
      <c r="Y68" s="44">
        <v>8593794</v>
      </c>
      <c r="Z68" s="46"/>
      <c r="AA68" s="44">
        <f>+'Stmt net assets'!Y67</f>
        <v>4025968</v>
      </c>
      <c r="AB68" s="44"/>
      <c r="AC68" s="44">
        <f>+Y68+'Stmt of activities-GA rev'!AC69-'Stmt of activities-GAexp'!W68-AA68</f>
        <v>0</v>
      </c>
    </row>
    <row r="69" spans="1:29" s="47" customFormat="1" ht="12.75" customHeight="1">
      <c r="A69" s="47" t="s">
        <v>395</v>
      </c>
      <c r="B69" s="51"/>
      <c r="C69" s="47" t="s">
        <v>89</v>
      </c>
      <c r="E69" s="44">
        <v>4114123</v>
      </c>
      <c r="F69" s="44"/>
      <c r="G69" s="44">
        <v>734164</v>
      </c>
      <c r="H69" s="44"/>
      <c r="I69" s="44">
        <v>861788</v>
      </c>
      <c r="J69" s="44"/>
      <c r="K69" s="44">
        <v>406736</v>
      </c>
      <c r="L69" s="44"/>
      <c r="M69" s="44">
        <v>1886315</v>
      </c>
      <c r="N69" s="44"/>
      <c r="O69" s="44">
        <v>578515</v>
      </c>
      <c r="P69" s="44"/>
      <c r="Q69" s="44">
        <v>1421425</v>
      </c>
      <c r="R69" s="44"/>
      <c r="S69" s="44">
        <v>0</v>
      </c>
      <c r="T69" s="44"/>
      <c r="U69" s="44">
        <v>1468</v>
      </c>
      <c r="V69" s="44"/>
      <c r="W69" s="44">
        <f t="shared" si="0"/>
        <v>10004534</v>
      </c>
      <c r="X69" s="44"/>
      <c r="Y69" s="44">
        <v>15837690</v>
      </c>
      <c r="Z69" s="44"/>
      <c r="AA69" s="44">
        <f>+'Stmt net assets'!Y68</f>
        <v>17851650</v>
      </c>
      <c r="AB69" s="44"/>
      <c r="AC69" s="44">
        <f>+Y69+'Stmt of activities-GA rev'!AC70-'Stmt of activities-GAexp'!W69-AA69</f>
        <v>0</v>
      </c>
    </row>
    <row r="70" spans="1:29" s="47" customFormat="1" ht="12.75" customHeight="1">
      <c r="A70" s="47" t="s">
        <v>90</v>
      </c>
      <c r="B70" s="96"/>
      <c r="C70" s="47" t="s">
        <v>43</v>
      </c>
      <c r="E70" s="44">
        <v>9964594</v>
      </c>
      <c r="F70" s="44"/>
      <c r="G70" s="44">
        <v>320763</v>
      </c>
      <c r="H70" s="44"/>
      <c r="I70" s="44">
        <v>18031376</v>
      </c>
      <c r="J70" s="44"/>
      <c r="K70" s="44">
        <v>6573586</v>
      </c>
      <c r="L70" s="44"/>
      <c r="M70" s="44">
        <v>8553050</v>
      </c>
      <c r="N70" s="44"/>
      <c r="O70" s="44">
        <v>2592704</v>
      </c>
      <c r="P70" s="44"/>
      <c r="Q70" s="44">
        <v>23797669</v>
      </c>
      <c r="R70" s="44"/>
      <c r="S70" s="44">
        <v>0</v>
      </c>
      <c r="T70" s="44"/>
      <c r="U70" s="44">
        <v>2737141</v>
      </c>
      <c r="V70" s="44"/>
      <c r="W70" s="44">
        <f t="shared" si="0"/>
        <v>72570883</v>
      </c>
      <c r="X70" s="44"/>
      <c r="Y70" s="44">
        <v>339740919</v>
      </c>
      <c r="Z70" s="44"/>
      <c r="AA70" s="44">
        <f>+'Stmt net assets'!Y69</f>
        <v>363760447</v>
      </c>
      <c r="AB70" s="44"/>
      <c r="AC70" s="44">
        <f>+Y70+'Stmt of activities-GA rev'!AC71-'Stmt of activities-GAexp'!W70-AA70</f>
        <v>0</v>
      </c>
    </row>
    <row r="71" spans="1:29" s="47" customFormat="1" ht="12.75" customHeight="1">
      <c r="A71" s="47" t="s">
        <v>93</v>
      </c>
      <c r="B71" s="51"/>
      <c r="C71" s="47" t="s">
        <v>94</v>
      </c>
      <c r="E71" s="44">
        <v>3197891</v>
      </c>
      <c r="F71" s="44"/>
      <c r="G71" s="44">
        <v>169442</v>
      </c>
      <c r="H71" s="44"/>
      <c r="I71" s="44">
        <v>154717</v>
      </c>
      <c r="J71" s="44"/>
      <c r="K71" s="44">
        <v>591672</v>
      </c>
      <c r="L71" s="44"/>
      <c r="M71" s="44">
        <v>686075</v>
      </c>
      <c r="N71" s="44"/>
      <c r="O71" s="44">
        <v>0</v>
      </c>
      <c r="P71" s="44"/>
      <c r="Q71" s="44">
        <v>1502258</v>
      </c>
      <c r="R71" s="44"/>
      <c r="S71" s="44">
        <v>0</v>
      </c>
      <c r="T71" s="44"/>
      <c r="U71" s="44">
        <v>89976</v>
      </c>
      <c r="V71" s="44"/>
      <c r="W71" s="44">
        <f t="shared" si="0"/>
        <v>6392031</v>
      </c>
      <c r="X71" s="44"/>
      <c r="Y71" s="44">
        <v>4819351</v>
      </c>
      <c r="Z71" s="44"/>
      <c r="AA71" s="44">
        <f>+'Stmt net assets'!Y70</f>
        <v>5644858</v>
      </c>
      <c r="AB71" s="44"/>
      <c r="AC71" s="44">
        <f>+Y71+'Stmt of activities-GA rev'!AC72-'Stmt of activities-GAexp'!W71-AA71</f>
        <v>0</v>
      </c>
    </row>
    <row r="72" spans="1:29" s="47" customFormat="1" ht="12.75" customHeight="1">
      <c r="A72" s="47" t="s">
        <v>492</v>
      </c>
      <c r="B72" s="51"/>
      <c r="C72" s="47" t="s">
        <v>27</v>
      </c>
      <c r="E72" s="44">
        <v>9160243</v>
      </c>
      <c r="F72" s="44"/>
      <c r="G72" s="44">
        <v>0</v>
      </c>
      <c r="H72" s="44"/>
      <c r="I72" s="44">
        <v>547992</v>
      </c>
      <c r="J72" s="44"/>
      <c r="K72" s="44">
        <v>2795519</v>
      </c>
      <c r="L72" s="44"/>
      <c r="M72" s="44">
        <v>886337</v>
      </c>
      <c r="N72" s="44"/>
      <c r="O72" s="44">
        <v>955329</v>
      </c>
      <c r="P72" s="44"/>
      <c r="Q72" s="44">
        <v>6312203</v>
      </c>
      <c r="R72" s="44"/>
      <c r="S72" s="44">
        <v>0</v>
      </c>
      <c r="T72" s="44"/>
      <c r="U72" s="44">
        <v>89389</v>
      </c>
      <c r="V72" s="44"/>
      <c r="W72" s="44">
        <f>SUM(E72:U72)</f>
        <v>20747012</v>
      </c>
      <c r="X72" s="44"/>
      <c r="Y72" s="44">
        <v>14481871</v>
      </c>
      <c r="Z72" s="44"/>
      <c r="AA72" s="44">
        <f>+'Stmt net assets'!Y71</f>
        <v>15310060</v>
      </c>
      <c r="AB72" s="44"/>
      <c r="AC72" s="44">
        <f>+Y72+'Stmt of activities-GA rev'!AC73-'Stmt of activities-GAexp'!W72-AA72</f>
        <v>0</v>
      </c>
    </row>
    <row r="73" spans="1:29" s="47" customFormat="1" ht="12.75" customHeight="1">
      <c r="B73" s="51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8" t="s">
        <v>485</v>
      </c>
      <c r="AB73" s="44"/>
      <c r="AC73" s="44"/>
    </row>
    <row r="74" spans="1:29" s="46" customFormat="1" ht="12.75" customHeight="1">
      <c r="A74" s="46" t="s">
        <v>95</v>
      </c>
      <c r="B74" s="66"/>
      <c r="C74" s="46" t="s">
        <v>94</v>
      </c>
      <c r="E74" s="46">
        <v>1226581</v>
      </c>
      <c r="G74" s="46">
        <v>116221</v>
      </c>
      <c r="I74" s="46">
        <v>300080</v>
      </c>
      <c r="K74" s="46">
        <v>221301</v>
      </c>
      <c r="M74" s="46">
        <v>400558</v>
      </c>
      <c r="O74" s="46">
        <v>0</v>
      </c>
      <c r="Q74" s="46">
        <v>629402</v>
      </c>
      <c r="S74" s="46">
        <v>0</v>
      </c>
      <c r="U74" s="46">
        <v>9861</v>
      </c>
      <c r="W74" s="46">
        <f t="shared" ref="W74:W80" si="1">SUM(E74:U74)</f>
        <v>2904004</v>
      </c>
      <c r="Y74" s="46">
        <v>4147300</v>
      </c>
      <c r="AA74" s="46">
        <f>+'Stmt net assets'!Y73</f>
        <v>4305183</v>
      </c>
      <c r="AC74" s="46">
        <f>+Y74+'Stmt of activities-GA rev'!AC75-'Stmt of activities-GAexp'!W74-AA74</f>
        <v>0</v>
      </c>
    </row>
    <row r="75" spans="1:29" s="47" customFormat="1" ht="12.75" customHeight="1">
      <c r="A75" s="47" t="s">
        <v>91</v>
      </c>
      <c r="B75" s="51"/>
      <c r="C75" s="47" t="s">
        <v>92</v>
      </c>
      <c r="E75" s="44">
        <v>6981585</v>
      </c>
      <c r="F75" s="44"/>
      <c r="G75" s="44">
        <v>174954</v>
      </c>
      <c r="H75" s="44"/>
      <c r="I75" s="44">
        <v>1025972</v>
      </c>
      <c r="J75" s="44"/>
      <c r="K75" s="44">
        <v>300256</v>
      </c>
      <c r="L75" s="44"/>
      <c r="M75" s="44">
        <v>1344143</v>
      </c>
      <c r="N75" s="44"/>
      <c r="O75" s="44">
        <v>2232480</v>
      </c>
      <c r="P75" s="44"/>
      <c r="Q75" s="44">
        <v>4013759</v>
      </c>
      <c r="R75" s="44"/>
      <c r="S75" s="44">
        <v>0</v>
      </c>
      <c r="T75" s="44"/>
      <c r="U75" s="44">
        <v>1422109</v>
      </c>
      <c r="V75" s="44"/>
      <c r="W75" s="44">
        <f t="shared" si="1"/>
        <v>17495258</v>
      </c>
      <c r="X75" s="44"/>
      <c r="Y75" s="44">
        <v>18302097</v>
      </c>
      <c r="Z75" s="44"/>
      <c r="AA75" s="44">
        <f>+'Stmt net assets'!Y74</f>
        <v>22892620</v>
      </c>
      <c r="AB75" s="44"/>
      <c r="AC75" s="44">
        <f>+Y75+'Stmt of activities-GA rev'!AC76-'Stmt of activities-GAexp'!W75-AA75</f>
        <v>0</v>
      </c>
    </row>
    <row r="76" spans="1:29" s="47" customFormat="1" ht="12.75" customHeight="1">
      <c r="A76" s="47" t="s">
        <v>96</v>
      </c>
      <c r="B76" s="51"/>
      <c r="C76" s="47" t="s">
        <v>97</v>
      </c>
      <c r="E76" s="44">
        <v>2580232</v>
      </c>
      <c r="F76" s="44"/>
      <c r="G76" s="44">
        <v>154688</v>
      </c>
      <c r="H76" s="44"/>
      <c r="I76" s="44">
        <v>86872</v>
      </c>
      <c r="J76" s="44"/>
      <c r="K76" s="44">
        <v>349374</v>
      </c>
      <c r="L76" s="44"/>
      <c r="M76" s="44">
        <v>1249885</v>
      </c>
      <c r="N76" s="44"/>
      <c r="O76" s="44">
        <v>0</v>
      </c>
      <c r="P76" s="44"/>
      <c r="Q76" s="44">
        <v>2450191</v>
      </c>
      <c r="R76" s="44"/>
      <c r="S76" s="44">
        <v>0</v>
      </c>
      <c r="T76" s="44"/>
      <c r="U76" s="44">
        <v>70438</v>
      </c>
      <c r="V76" s="44"/>
      <c r="W76" s="44">
        <f t="shared" si="1"/>
        <v>6941680</v>
      </c>
      <c r="X76" s="44"/>
      <c r="Y76" s="44">
        <v>10674302</v>
      </c>
      <c r="Z76" s="44"/>
      <c r="AA76" s="44">
        <f>+'Stmt net assets'!Y75</f>
        <v>11952719</v>
      </c>
      <c r="AB76" s="44"/>
      <c r="AC76" s="44">
        <f>+Y76+'Stmt of activities-GA rev'!AC77-'Stmt of activities-GAexp'!W76-AA76</f>
        <v>0</v>
      </c>
    </row>
    <row r="77" spans="1:29" s="47" customFormat="1" ht="12.75" customHeight="1">
      <c r="A77" s="47" t="s">
        <v>98</v>
      </c>
      <c r="B77" s="51"/>
      <c r="C77" s="47" t="s">
        <v>17</v>
      </c>
      <c r="E77" s="44">
        <v>20746034</v>
      </c>
      <c r="F77" s="44"/>
      <c r="G77" s="44">
        <v>2452163</v>
      </c>
      <c r="H77" s="44"/>
      <c r="I77" s="44">
        <v>2500151</v>
      </c>
      <c r="J77" s="44"/>
      <c r="K77" s="44">
        <v>1704949</v>
      </c>
      <c r="L77" s="44"/>
      <c r="M77" s="44">
        <v>3551406</v>
      </c>
      <c r="N77" s="44"/>
      <c r="O77" s="44">
        <v>0</v>
      </c>
      <c r="P77" s="44"/>
      <c r="Q77" s="44">
        <v>8043382</v>
      </c>
      <c r="R77" s="44"/>
      <c r="S77" s="44">
        <v>0</v>
      </c>
      <c r="T77" s="44"/>
      <c r="U77" s="44">
        <v>1755470</v>
      </c>
      <c r="V77" s="44"/>
      <c r="W77" s="44">
        <f t="shared" si="1"/>
        <v>40753555</v>
      </c>
      <c r="X77" s="44"/>
      <c r="Y77" s="44">
        <v>51942636</v>
      </c>
      <c r="Z77" s="44"/>
      <c r="AA77" s="44">
        <f>+'Stmt net assets'!Y76</f>
        <v>54368616</v>
      </c>
      <c r="AB77" s="44"/>
      <c r="AC77" s="44">
        <f>+Y77+'Stmt of activities-GA rev'!AC78-'Stmt of activities-GAexp'!W77-AA77</f>
        <v>0</v>
      </c>
    </row>
    <row r="78" spans="1:29" s="47" customFormat="1" ht="12.75" customHeight="1">
      <c r="A78" s="47" t="s">
        <v>99</v>
      </c>
      <c r="B78" s="51"/>
      <c r="C78" s="47" t="s">
        <v>66</v>
      </c>
      <c r="E78" s="44">
        <v>4235790</v>
      </c>
      <c r="F78" s="44"/>
      <c r="G78" s="44">
        <v>16335</v>
      </c>
      <c r="H78" s="44"/>
      <c r="I78" s="44">
        <v>279416</v>
      </c>
      <c r="J78" s="44"/>
      <c r="K78" s="44">
        <v>560701</v>
      </c>
      <c r="L78" s="44"/>
      <c r="M78" s="44">
        <v>3908779</v>
      </c>
      <c r="N78" s="44"/>
      <c r="O78" s="44">
        <v>0</v>
      </c>
      <c r="P78" s="44"/>
      <c r="Q78" s="44">
        <v>1652040</v>
      </c>
      <c r="R78" s="44"/>
      <c r="S78" s="44">
        <v>2475</v>
      </c>
      <c r="T78" s="44"/>
      <c r="U78" s="44">
        <v>0</v>
      </c>
      <c r="V78" s="44"/>
      <c r="W78" s="44">
        <f t="shared" si="1"/>
        <v>10655536</v>
      </c>
      <c r="X78" s="44"/>
      <c r="Y78" s="44">
        <v>48091343</v>
      </c>
      <c r="Z78" s="44"/>
      <c r="AA78" s="44">
        <f>+'Stmt net assets'!Y77</f>
        <v>50947019</v>
      </c>
      <c r="AB78" s="44"/>
      <c r="AC78" s="44">
        <f>+Y78+'Stmt of activities-GA rev'!AC79-'Stmt of activities-GAexp'!W78-AA78</f>
        <v>0</v>
      </c>
    </row>
    <row r="79" spans="1:29" s="47" customFormat="1" ht="12.75" customHeight="1">
      <c r="A79" s="47" t="s">
        <v>100</v>
      </c>
      <c r="B79" s="51"/>
      <c r="C79" s="47" t="s">
        <v>27</v>
      </c>
      <c r="E79" s="44">
        <v>22828185</v>
      </c>
      <c r="F79" s="44"/>
      <c r="G79" s="44">
        <v>277425</v>
      </c>
      <c r="H79" s="44"/>
      <c r="I79" s="44">
        <v>2122125</v>
      </c>
      <c r="J79" s="44"/>
      <c r="K79" s="44">
        <v>2859087</v>
      </c>
      <c r="L79" s="44"/>
      <c r="M79" s="44">
        <v>2437811</v>
      </c>
      <c r="N79" s="44"/>
      <c r="O79" s="44">
        <v>2219004</v>
      </c>
      <c r="P79" s="44"/>
      <c r="Q79" s="44">
        <v>13689872</v>
      </c>
      <c r="R79" s="44"/>
      <c r="S79" s="44">
        <v>0</v>
      </c>
      <c r="T79" s="44"/>
      <c r="U79" s="44">
        <v>1553302</v>
      </c>
      <c r="V79" s="44"/>
      <c r="W79" s="44">
        <f t="shared" si="1"/>
        <v>47986811</v>
      </c>
      <c r="X79" s="44"/>
      <c r="Y79" s="44">
        <f>28275845-1498</f>
        <v>28274347</v>
      </c>
      <c r="Z79" s="44"/>
      <c r="AA79" s="44">
        <f>+'Stmt net assets'!Y78</f>
        <v>29070899</v>
      </c>
      <c r="AB79" s="44"/>
      <c r="AC79" s="44">
        <f>+Y79+'Stmt of activities-GA rev'!AC80-'Stmt of activities-GAexp'!W79-AA79</f>
        <v>0</v>
      </c>
    </row>
    <row r="80" spans="1:29" s="47" customFormat="1" ht="12.75" customHeight="1">
      <c r="A80" s="47" t="s">
        <v>101</v>
      </c>
      <c r="B80" s="51"/>
      <c r="C80" s="47" t="s">
        <v>30</v>
      </c>
      <c r="E80" s="44">
        <v>12753371</v>
      </c>
      <c r="F80" s="44"/>
      <c r="G80" s="44">
        <v>103575</v>
      </c>
      <c r="H80" s="44"/>
      <c r="I80" s="44">
        <v>300073</v>
      </c>
      <c r="J80" s="44"/>
      <c r="K80" s="44">
        <v>1042518</v>
      </c>
      <c r="L80" s="44"/>
      <c r="M80" s="44">
        <v>1161334</v>
      </c>
      <c r="N80" s="44"/>
      <c r="O80" s="44">
        <v>0</v>
      </c>
      <c r="P80" s="44"/>
      <c r="Q80" s="44">
        <v>9425790</v>
      </c>
      <c r="R80" s="44"/>
      <c r="S80" s="44">
        <v>0</v>
      </c>
      <c r="T80" s="44"/>
      <c r="U80" s="44">
        <v>726456</v>
      </c>
      <c r="V80" s="44"/>
      <c r="W80" s="44">
        <f t="shared" si="1"/>
        <v>25513117</v>
      </c>
      <c r="X80" s="44"/>
      <c r="Y80" s="44">
        <v>67451667</v>
      </c>
      <c r="Z80" s="44"/>
      <c r="AA80" s="44">
        <f>+'Stmt net assets'!Y79</f>
        <v>70247309</v>
      </c>
      <c r="AB80" s="44"/>
      <c r="AC80" s="44">
        <f>+Y80+'Stmt of activities-GA rev'!AC81-'Stmt of activities-GAexp'!W80-AA80</f>
        <v>0</v>
      </c>
    </row>
    <row r="81" spans="1:29" s="47" customFormat="1" ht="12.75" customHeight="1">
      <c r="A81" s="47" t="s">
        <v>102</v>
      </c>
      <c r="B81" s="51"/>
      <c r="C81" s="47" t="s">
        <v>103</v>
      </c>
      <c r="E81" s="44">
        <v>15016636</v>
      </c>
      <c r="F81" s="44"/>
      <c r="G81" s="44">
        <v>24166</v>
      </c>
      <c r="H81" s="44"/>
      <c r="I81" s="44">
        <v>2866626</v>
      </c>
      <c r="J81" s="44"/>
      <c r="K81" s="44">
        <v>1617775</v>
      </c>
      <c r="L81" s="44"/>
      <c r="M81" s="44">
        <v>10279823</v>
      </c>
      <c r="N81" s="44"/>
      <c r="O81" s="44">
        <v>461934</v>
      </c>
      <c r="P81" s="44"/>
      <c r="Q81" s="44">
        <v>7239804</v>
      </c>
      <c r="R81" s="44"/>
      <c r="S81" s="44">
        <v>0</v>
      </c>
      <c r="T81" s="44"/>
      <c r="U81" s="44">
        <v>917208</v>
      </c>
      <c r="V81" s="44"/>
      <c r="W81" s="44">
        <f t="shared" ref="W81:W147" si="2">SUM(E81:U81)</f>
        <v>38423972</v>
      </c>
      <c r="X81" s="44"/>
      <c r="Y81" s="44">
        <v>89550507</v>
      </c>
      <c r="Z81" s="44"/>
      <c r="AA81" s="44">
        <f>+'Stmt net assets'!Y80</f>
        <v>93588126</v>
      </c>
      <c r="AB81" s="44"/>
      <c r="AC81" s="44">
        <f>+Y81+'Stmt of activities-GA rev'!AC82-'Stmt of activities-GAexp'!W81-AA81</f>
        <v>0</v>
      </c>
    </row>
    <row r="82" spans="1:29" s="47" customFormat="1" ht="12.75" customHeight="1">
      <c r="A82" s="47" t="s">
        <v>104</v>
      </c>
      <c r="B82" s="51"/>
      <c r="C82" s="47" t="s">
        <v>13</v>
      </c>
      <c r="E82" s="44">
        <v>6456013</v>
      </c>
      <c r="F82" s="44"/>
      <c r="G82" s="44">
        <v>112448</v>
      </c>
      <c r="H82" s="44"/>
      <c r="I82" s="44">
        <v>406690</v>
      </c>
      <c r="J82" s="44"/>
      <c r="K82" s="44">
        <v>38696</v>
      </c>
      <c r="L82" s="44"/>
      <c r="M82" s="44">
        <v>3174519</v>
      </c>
      <c r="N82" s="44"/>
      <c r="O82" s="44">
        <v>967883</v>
      </c>
      <c r="P82" s="44"/>
      <c r="Q82" s="44">
        <v>2713607</v>
      </c>
      <c r="R82" s="44"/>
      <c r="S82" s="44">
        <v>0</v>
      </c>
      <c r="T82" s="44"/>
      <c r="U82" s="44">
        <v>459736</v>
      </c>
      <c r="V82" s="44"/>
      <c r="W82" s="44">
        <f t="shared" si="2"/>
        <v>14329592</v>
      </c>
      <c r="X82" s="44"/>
      <c r="Y82" s="44">
        <v>75276903</v>
      </c>
      <c r="Z82" s="44"/>
      <c r="AA82" s="44">
        <f>+'Stmt net assets'!Y81</f>
        <v>75567981</v>
      </c>
      <c r="AB82" s="44"/>
      <c r="AC82" s="44">
        <f>+Y82+'Stmt of activities-GA rev'!AC83-'Stmt of activities-GAexp'!W82-AA82</f>
        <v>0</v>
      </c>
    </row>
    <row r="83" spans="1:29" s="47" customFormat="1" ht="12.75" customHeight="1">
      <c r="A83" s="47" t="s">
        <v>105</v>
      </c>
      <c r="B83" s="51"/>
      <c r="C83" s="47" t="s">
        <v>27</v>
      </c>
      <c r="E83" s="44">
        <v>6617530</v>
      </c>
      <c r="F83" s="44"/>
      <c r="G83" s="44">
        <v>2405</v>
      </c>
      <c r="H83" s="44"/>
      <c r="I83" s="44">
        <v>1645018</v>
      </c>
      <c r="J83" s="44"/>
      <c r="K83" s="44">
        <v>1741880</v>
      </c>
      <c r="L83" s="44"/>
      <c r="M83" s="44">
        <v>3263865</v>
      </c>
      <c r="N83" s="44"/>
      <c r="O83" s="44">
        <v>0</v>
      </c>
      <c r="P83" s="44"/>
      <c r="Q83" s="44">
        <v>2828505</v>
      </c>
      <c r="R83" s="44"/>
      <c r="S83" s="44">
        <v>0</v>
      </c>
      <c r="T83" s="44"/>
      <c r="U83" s="44">
        <v>1216334</v>
      </c>
      <c r="V83" s="44"/>
      <c r="W83" s="44">
        <f t="shared" si="2"/>
        <v>17315537</v>
      </c>
      <c r="X83" s="44"/>
      <c r="Y83" s="44">
        <v>39974748</v>
      </c>
      <c r="Z83" s="44"/>
      <c r="AA83" s="44">
        <f>+'Stmt net assets'!Y82</f>
        <v>39953097</v>
      </c>
      <c r="AB83" s="44"/>
      <c r="AC83" s="44">
        <f>+Y83+'Stmt of activities-GA rev'!AC84-'Stmt of activities-GAexp'!W83-AA83</f>
        <v>0</v>
      </c>
    </row>
    <row r="84" spans="1:29" s="47" customFormat="1" ht="12.75" customHeight="1">
      <c r="A84" s="47" t="s">
        <v>106</v>
      </c>
      <c r="B84" s="51"/>
      <c r="C84" s="47" t="s">
        <v>107</v>
      </c>
      <c r="E84" s="44">
        <v>14680286</v>
      </c>
      <c r="F84" s="44"/>
      <c r="G84" s="44">
        <v>1640736</v>
      </c>
      <c r="H84" s="44"/>
      <c r="I84" s="44">
        <v>1557008</v>
      </c>
      <c r="J84" s="44"/>
      <c r="K84" s="44">
        <v>0</v>
      </c>
      <c r="L84" s="44"/>
      <c r="M84" s="44">
        <v>5196310</v>
      </c>
      <c r="N84" s="44"/>
      <c r="O84" s="44">
        <v>0</v>
      </c>
      <c r="P84" s="44"/>
      <c r="Q84" s="44">
        <v>8023535</v>
      </c>
      <c r="R84" s="44"/>
      <c r="S84" s="44">
        <v>312238</v>
      </c>
      <c r="T84" s="44"/>
      <c r="U84" s="44">
        <v>567264</v>
      </c>
      <c r="V84" s="44"/>
      <c r="W84" s="44">
        <f t="shared" si="2"/>
        <v>31977377</v>
      </c>
      <c r="X84" s="44"/>
      <c r="Y84" s="44">
        <v>76581923</v>
      </c>
      <c r="Z84" s="44"/>
      <c r="AA84" s="44">
        <f>+'Stmt net assets'!Y83</f>
        <v>81556708</v>
      </c>
      <c r="AB84" s="44"/>
      <c r="AC84" s="44">
        <f>+Y84+'Stmt of activities-GA rev'!AC85-'Stmt of activities-GAexp'!W84-AA84</f>
        <v>0</v>
      </c>
    </row>
    <row r="85" spans="1:29" s="47" customFormat="1" ht="12.75" customHeight="1">
      <c r="A85" s="47" t="s">
        <v>108</v>
      </c>
      <c r="B85" s="51"/>
      <c r="C85" s="47" t="s">
        <v>45</v>
      </c>
      <c r="E85" s="44">
        <v>8842560</v>
      </c>
      <c r="F85" s="44"/>
      <c r="G85" s="44">
        <f>21436+3344237</f>
        <v>3365673</v>
      </c>
      <c r="H85" s="44"/>
      <c r="I85" s="44">
        <v>447047</v>
      </c>
      <c r="J85" s="44"/>
      <c r="K85" s="44">
        <v>783419</v>
      </c>
      <c r="L85" s="44"/>
      <c r="M85" s="44">
        <v>0</v>
      </c>
      <c r="N85" s="44"/>
      <c r="O85" s="44">
        <v>0</v>
      </c>
      <c r="P85" s="44"/>
      <c r="Q85" s="44">
        <v>3812586</v>
      </c>
      <c r="R85" s="44"/>
      <c r="S85" s="44">
        <v>0</v>
      </c>
      <c r="T85" s="44"/>
      <c r="U85" s="44">
        <v>153993</v>
      </c>
      <c r="V85" s="44"/>
      <c r="W85" s="44">
        <f t="shared" si="2"/>
        <v>17405278</v>
      </c>
      <c r="X85" s="44"/>
      <c r="Y85" s="44">
        <v>44268023</v>
      </c>
      <c r="Z85" s="44"/>
      <c r="AA85" s="44">
        <f>+'Stmt net assets'!Y84</f>
        <v>44269006</v>
      </c>
      <c r="AB85" s="44"/>
      <c r="AC85" s="44">
        <f>+Y85+'Stmt of activities-GA rev'!AC86-'Stmt of activities-GAexp'!W85-AA85</f>
        <v>0</v>
      </c>
    </row>
    <row r="86" spans="1:29" s="44" customFormat="1" ht="12.75" customHeight="1">
      <c r="A86" s="44" t="s">
        <v>109</v>
      </c>
      <c r="B86" s="65"/>
      <c r="C86" s="44" t="s">
        <v>110</v>
      </c>
      <c r="E86" s="44">
        <v>5710825</v>
      </c>
      <c r="G86" s="44">
        <v>251450</v>
      </c>
      <c r="I86" s="44">
        <v>179015</v>
      </c>
      <c r="K86" s="44">
        <v>1001329</v>
      </c>
      <c r="M86" s="44">
        <v>1392724</v>
      </c>
      <c r="O86" s="44">
        <v>0</v>
      </c>
      <c r="Q86" s="44">
        <v>1764308</v>
      </c>
      <c r="S86" s="44">
        <v>16022</v>
      </c>
      <c r="U86" s="44">
        <v>29707</v>
      </c>
      <c r="W86" s="44">
        <f t="shared" si="2"/>
        <v>10345380</v>
      </c>
      <c r="Y86" s="44">
        <v>14741851</v>
      </c>
      <c r="AA86" s="44">
        <f>+'Stmt net assets'!Y85</f>
        <v>14535174</v>
      </c>
      <c r="AC86" s="44">
        <f>+Y86+'Stmt of activities-GA rev'!AC87-'Stmt of activities-GAexp'!W86-AA86</f>
        <v>0</v>
      </c>
    </row>
    <row r="87" spans="1:29" s="47" customFormat="1" ht="12.75" customHeight="1">
      <c r="A87" s="47" t="s">
        <v>43</v>
      </c>
      <c r="B87" s="51"/>
      <c r="C87" s="47" t="s">
        <v>111</v>
      </c>
      <c r="E87" s="44">
        <f>3489828+1794200+317139</f>
        <v>5601167</v>
      </c>
      <c r="F87" s="44"/>
      <c r="G87" s="44">
        <v>21911</v>
      </c>
      <c r="H87" s="44"/>
      <c r="I87" s="44">
        <v>345357</v>
      </c>
      <c r="J87" s="44"/>
      <c r="K87" s="44">
        <v>95314</v>
      </c>
      <c r="L87" s="44"/>
      <c r="M87" s="44">
        <v>3490439</v>
      </c>
      <c r="N87" s="44"/>
      <c r="O87" s="44">
        <v>57355</v>
      </c>
      <c r="P87" s="44"/>
      <c r="Q87" s="44">
        <v>2618300</v>
      </c>
      <c r="R87" s="44"/>
      <c r="S87" s="44">
        <v>0</v>
      </c>
      <c r="T87" s="44"/>
      <c r="U87" s="44">
        <v>585256</v>
      </c>
      <c r="V87" s="44"/>
      <c r="W87" s="44">
        <f t="shared" si="2"/>
        <v>12815099</v>
      </c>
      <c r="X87" s="44"/>
      <c r="Y87" s="44">
        <v>47303992</v>
      </c>
      <c r="Z87" s="44"/>
      <c r="AA87" s="44">
        <f>+'Stmt net assets'!Y86</f>
        <v>46925510</v>
      </c>
      <c r="AB87" s="44"/>
      <c r="AC87" s="44">
        <f>+Y87+'Stmt of activities-GA rev'!AC88-'Stmt of activities-GAexp'!W87-AA87</f>
        <v>0</v>
      </c>
    </row>
    <row r="88" spans="1:29" s="47" customFormat="1" ht="12.75" customHeight="1">
      <c r="A88" s="47" t="s">
        <v>112</v>
      </c>
      <c r="B88" s="51"/>
      <c r="C88" s="47" t="s">
        <v>76</v>
      </c>
      <c r="E88" s="44">
        <v>5527250</v>
      </c>
      <c r="F88" s="44"/>
      <c r="G88" s="44">
        <v>11118</v>
      </c>
      <c r="H88" s="44"/>
      <c r="I88" s="44">
        <v>2213110</v>
      </c>
      <c r="J88" s="44"/>
      <c r="K88" s="44">
        <f>609384+124159</f>
        <v>733543</v>
      </c>
      <c r="L88" s="44"/>
      <c r="M88" s="44">
        <v>3487774</v>
      </c>
      <c r="N88" s="44"/>
      <c r="O88" s="44">
        <v>0</v>
      </c>
      <c r="P88" s="44"/>
      <c r="Q88" s="44">
        <v>2278024</v>
      </c>
      <c r="R88" s="44"/>
      <c r="S88" s="44">
        <v>0</v>
      </c>
      <c r="T88" s="44"/>
      <c r="U88" s="44">
        <v>193860</v>
      </c>
      <c r="V88" s="44"/>
      <c r="W88" s="44">
        <f t="shared" si="2"/>
        <v>14444679</v>
      </c>
      <c r="X88" s="44"/>
      <c r="Y88" s="44">
        <v>34819792</v>
      </c>
      <c r="Z88" s="44"/>
      <c r="AA88" s="44">
        <f>+'Stmt net assets'!Y87</f>
        <v>33365426</v>
      </c>
      <c r="AB88" s="44"/>
      <c r="AC88" s="44">
        <f>+Y88+'Stmt of activities-GA rev'!AC89-'Stmt of activities-GAexp'!W88-AA88</f>
        <v>0</v>
      </c>
    </row>
    <row r="89" spans="1:29" s="47" customFormat="1" ht="12.75" customHeight="1">
      <c r="A89" s="47" t="s">
        <v>113</v>
      </c>
      <c r="B89" s="51"/>
      <c r="C89" s="47" t="s">
        <v>43</v>
      </c>
      <c r="E89" s="44">
        <v>8519978</v>
      </c>
      <c r="F89" s="44"/>
      <c r="G89" s="44">
        <v>174923</v>
      </c>
      <c r="H89" s="44"/>
      <c r="I89" s="44">
        <v>2564826</v>
      </c>
      <c r="J89" s="44"/>
      <c r="K89" s="44">
        <v>5597590</v>
      </c>
      <c r="L89" s="44"/>
      <c r="M89" s="44">
        <v>4940366</v>
      </c>
      <c r="N89" s="44"/>
      <c r="O89" s="44">
        <v>1468793</v>
      </c>
      <c r="P89" s="44"/>
      <c r="Q89" s="44">
        <v>4315989</v>
      </c>
      <c r="R89" s="44"/>
      <c r="S89" s="44">
        <v>0</v>
      </c>
      <c r="T89" s="44"/>
      <c r="U89" s="44">
        <v>778936</v>
      </c>
      <c r="V89" s="44"/>
      <c r="W89" s="44">
        <f t="shared" si="2"/>
        <v>28361401</v>
      </c>
      <c r="X89" s="44"/>
      <c r="Y89" s="44">
        <v>90648870</v>
      </c>
      <c r="Z89" s="44"/>
      <c r="AA89" s="44">
        <f>+'Stmt net assets'!Y88</f>
        <v>97861969</v>
      </c>
      <c r="AB89" s="44"/>
      <c r="AC89" s="44">
        <f>+Y89+'Stmt of activities-GA rev'!AC90-'Stmt of activities-GAexp'!W89-AA89</f>
        <v>0</v>
      </c>
    </row>
    <row r="90" spans="1:29" s="47" customFormat="1" ht="12.75" customHeight="1">
      <c r="A90" s="47" t="s">
        <v>493</v>
      </c>
      <c r="B90" s="51"/>
      <c r="C90" s="47" t="s">
        <v>57</v>
      </c>
      <c r="E90" s="44">
        <f>1605982+1558823</f>
        <v>3164805</v>
      </c>
      <c r="F90" s="44"/>
      <c r="G90" s="44">
        <v>366745</v>
      </c>
      <c r="H90" s="44"/>
      <c r="I90" s="44">
        <v>236674</v>
      </c>
      <c r="J90" s="44"/>
      <c r="K90" s="44">
        <v>267385</v>
      </c>
      <c r="L90" s="44"/>
      <c r="M90" s="44">
        <v>1472559</v>
      </c>
      <c r="N90" s="44"/>
      <c r="O90" s="44">
        <v>0</v>
      </c>
      <c r="P90" s="44"/>
      <c r="Q90" s="44">
        <v>1321247</v>
      </c>
      <c r="R90" s="44"/>
      <c r="S90" s="44">
        <v>0</v>
      </c>
      <c r="T90" s="44"/>
      <c r="U90" s="44">
        <v>219721</v>
      </c>
      <c r="V90" s="44"/>
      <c r="W90" s="44">
        <f>SUM(E90:U90)</f>
        <v>7049136</v>
      </c>
      <c r="X90" s="44"/>
      <c r="Y90" s="44">
        <v>14481563</v>
      </c>
      <c r="Z90" s="44"/>
      <c r="AA90" s="44">
        <f>+'Stmt net assets'!Y89</f>
        <v>15084977</v>
      </c>
      <c r="AB90" s="44"/>
      <c r="AC90" s="44">
        <f>+Y90+'Stmt of activities-GA rev'!AC91-'Stmt of activities-GAexp'!W90-AA90</f>
        <v>0</v>
      </c>
    </row>
    <row r="91" spans="1:29" s="47" customFormat="1" ht="12.75" customHeight="1">
      <c r="A91" s="47" t="s">
        <v>114</v>
      </c>
      <c r="B91" s="51"/>
      <c r="C91" s="47" t="s">
        <v>27</v>
      </c>
      <c r="E91" s="44">
        <v>13198000</v>
      </c>
      <c r="F91" s="44"/>
      <c r="G91" s="44">
        <v>694889</v>
      </c>
      <c r="H91" s="44"/>
      <c r="I91" s="44">
        <v>1923507</v>
      </c>
      <c r="J91" s="44"/>
      <c r="K91" s="44">
        <v>212148</v>
      </c>
      <c r="L91" s="44"/>
      <c r="M91" s="44">
        <v>4175789</v>
      </c>
      <c r="N91" s="44"/>
      <c r="O91" s="44">
        <v>2329338</v>
      </c>
      <c r="P91" s="44"/>
      <c r="Q91" s="44">
        <v>9646258</v>
      </c>
      <c r="R91" s="44"/>
      <c r="S91" s="44">
        <v>0</v>
      </c>
      <c r="T91" s="44"/>
      <c r="U91" s="44">
        <v>1656757</v>
      </c>
      <c r="V91" s="44"/>
      <c r="W91" s="44">
        <f>SUM(E91:U91)</f>
        <v>33836686</v>
      </c>
      <c r="X91" s="44"/>
      <c r="Y91" s="44">
        <v>4185269</v>
      </c>
      <c r="Z91" s="44"/>
      <c r="AA91" s="44">
        <f>+'Stmt net assets'!Y90</f>
        <v>-590863</v>
      </c>
      <c r="AB91" s="44"/>
      <c r="AC91" s="44">
        <f>+Y91+'Stmt of activities-GA rev'!AC92-'Stmt of activities-GAexp'!W91-AA91</f>
        <v>0</v>
      </c>
    </row>
    <row r="92" spans="1:29" s="47" customFormat="1" ht="12.75" customHeight="1">
      <c r="A92" s="47" t="s">
        <v>115</v>
      </c>
      <c r="B92" s="51"/>
      <c r="C92" s="47" t="s">
        <v>19</v>
      </c>
      <c r="E92" s="44">
        <v>1930215</v>
      </c>
      <c r="F92" s="44"/>
      <c r="G92" s="44">
        <v>0</v>
      </c>
      <c r="H92" s="44"/>
      <c r="I92" s="44">
        <v>125284</v>
      </c>
      <c r="J92" s="44"/>
      <c r="K92" s="44">
        <v>399872</v>
      </c>
      <c r="L92" s="44"/>
      <c r="M92" s="44">
        <v>1231428</v>
      </c>
      <c r="N92" s="44"/>
      <c r="O92" s="44">
        <v>0</v>
      </c>
      <c r="P92" s="44"/>
      <c r="Q92" s="44">
        <v>771483</v>
      </c>
      <c r="R92" s="44"/>
      <c r="S92" s="44">
        <v>0</v>
      </c>
      <c r="T92" s="44"/>
      <c r="U92" s="44">
        <v>162318</v>
      </c>
      <c r="V92" s="44"/>
      <c r="W92" s="44">
        <f t="shared" si="2"/>
        <v>4620600</v>
      </c>
      <c r="X92" s="44"/>
      <c r="Y92" s="44">
        <v>9132200</v>
      </c>
      <c r="Z92" s="44"/>
      <c r="AA92" s="44">
        <f>+'Stmt net assets'!Y91</f>
        <v>9436277</v>
      </c>
      <c r="AB92" s="44"/>
      <c r="AC92" s="44">
        <f>+Y92+'Stmt of activities-GA rev'!AC93-'Stmt of activities-GAexp'!W92-AA92</f>
        <v>0</v>
      </c>
    </row>
    <row r="93" spans="1:29" s="47" customFormat="1" ht="12.75" customHeight="1">
      <c r="A93" s="47" t="s">
        <v>116</v>
      </c>
      <c r="B93" s="51"/>
      <c r="C93" s="47" t="s">
        <v>80</v>
      </c>
      <c r="E93" s="44">
        <v>3019284</v>
      </c>
      <c r="F93" s="44"/>
      <c r="G93" s="44">
        <v>630108</v>
      </c>
      <c r="H93" s="44"/>
      <c r="I93" s="44">
        <v>58911</v>
      </c>
      <c r="J93" s="44"/>
      <c r="K93" s="44">
        <v>1241338</v>
      </c>
      <c r="L93" s="44"/>
      <c r="M93" s="44">
        <v>2218387</v>
      </c>
      <c r="N93" s="44"/>
      <c r="O93" s="44">
        <v>479761</v>
      </c>
      <c r="P93" s="44"/>
      <c r="Q93" s="44">
        <v>2340557</v>
      </c>
      <c r="R93" s="44"/>
      <c r="S93" s="44">
        <v>0</v>
      </c>
      <c r="T93" s="44"/>
      <c r="U93" s="44">
        <v>242478</v>
      </c>
      <c r="V93" s="44"/>
      <c r="W93" s="44">
        <f t="shared" si="2"/>
        <v>10230824</v>
      </c>
      <c r="X93" s="44"/>
      <c r="Y93" s="44">
        <v>34341614</v>
      </c>
      <c r="Z93" s="44"/>
      <c r="AA93" s="44">
        <f>+'Stmt net assets'!Y92</f>
        <v>32937961</v>
      </c>
      <c r="AB93" s="44"/>
      <c r="AC93" s="44">
        <f>+Y93+'Stmt of activities-GA rev'!AC94-'Stmt of activities-GAexp'!W93-AA93</f>
        <v>0</v>
      </c>
    </row>
    <row r="94" spans="1:29" s="47" customFormat="1" ht="12.75" customHeight="1">
      <c r="A94" s="47" t="s">
        <v>117</v>
      </c>
      <c r="B94" s="51"/>
      <c r="C94" s="47" t="s">
        <v>43</v>
      </c>
      <c r="E94" s="44">
        <v>4382097</v>
      </c>
      <c r="F94" s="44"/>
      <c r="G94" s="44">
        <v>34345</v>
      </c>
      <c r="H94" s="44"/>
      <c r="I94" s="44">
        <v>775985</v>
      </c>
      <c r="J94" s="44"/>
      <c r="K94" s="44">
        <v>0</v>
      </c>
      <c r="L94" s="44"/>
      <c r="M94" s="44">
        <v>1397206</v>
      </c>
      <c r="N94" s="44"/>
      <c r="O94" s="44">
        <v>107153</v>
      </c>
      <c r="P94" s="44"/>
      <c r="Q94" s="44">
        <v>2075789</v>
      </c>
      <c r="R94" s="44"/>
      <c r="S94" s="44">
        <v>0</v>
      </c>
      <c r="T94" s="44"/>
      <c r="U94" s="44">
        <v>36045</v>
      </c>
      <c r="V94" s="44"/>
      <c r="W94" s="44">
        <f t="shared" si="2"/>
        <v>8808620</v>
      </c>
      <c r="X94" s="44"/>
      <c r="Y94" s="44">
        <v>6843903</v>
      </c>
      <c r="Z94" s="44"/>
      <c r="AA94" s="44">
        <f>+'Stmt net assets'!Y93</f>
        <v>8093372</v>
      </c>
      <c r="AB94" s="44"/>
      <c r="AC94" s="44">
        <f>+Y94+'Stmt of activities-GA rev'!AC95-'Stmt of activities-GAexp'!W94-AA94</f>
        <v>0</v>
      </c>
    </row>
    <row r="95" spans="1:29" s="47" customFormat="1" ht="12.75" customHeight="1">
      <c r="A95" s="47" t="s">
        <v>118</v>
      </c>
      <c r="B95" s="51"/>
      <c r="C95" s="47" t="s">
        <v>13</v>
      </c>
      <c r="E95" s="44">
        <v>7176173</v>
      </c>
      <c r="F95" s="44"/>
      <c r="G95" s="44">
        <v>240743</v>
      </c>
      <c r="H95" s="44"/>
      <c r="I95" s="44">
        <v>1201079</v>
      </c>
      <c r="J95" s="44"/>
      <c r="K95" s="44">
        <v>775208</v>
      </c>
      <c r="L95" s="44"/>
      <c r="M95" s="44">
        <v>1664731</v>
      </c>
      <c r="N95" s="44"/>
      <c r="O95" s="44">
        <v>0</v>
      </c>
      <c r="P95" s="44"/>
      <c r="Q95" s="44">
        <v>4511916</v>
      </c>
      <c r="R95" s="44"/>
      <c r="S95" s="44">
        <v>0</v>
      </c>
      <c r="T95" s="44"/>
      <c r="U95" s="44">
        <v>1745262</v>
      </c>
      <c r="V95" s="44"/>
      <c r="W95" s="44">
        <f t="shared" si="2"/>
        <v>17315112</v>
      </c>
      <c r="X95" s="44"/>
      <c r="Y95" s="44">
        <v>66018999</v>
      </c>
      <c r="Z95" s="44"/>
      <c r="AA95" s="44">
        <f>+'Stmt net assets'!Y94</f>
        <v>76942582</v>
      </c>
      <c r="AB95" s="44"/>
      <c r="AC95" s="44">
        <f>+Y95+'Stmt of activities-GA rev'!AC96-'Stmt of activities-GAexp'!W95-AA95</f>
        <v>0</v>
      </c>
    </row>
    <row r="96" spans="1:29" s="47" customFormat="1" ht="12.75" customHeight="1">
      <c r="A96" s="47" t="s">
        <v>120</v>
      </c>
      <c r="B96" s="51"/>
      <c r="C96" s="47" t="s">
        <v>121</v>
      </c>
      <c r="E96" s="44">
        <v>3965413</v>
      </c>
      <c r="F96" s="44"/>
      <c r="G96" s="44">
        <v>18297</v>
      </c>
      <c r="H96" s="44"/>
      <c r="I96" s="44">
        <v>546024</v>
      </c>
      <c r="J96" s="44"/>
      <c r="K96" s="44">
        <v>15141</v>
      </c>
      <c r="L96" s="44"/>
      <c r="M96" s="44">
        <v>3079336</v>
      </c>
      <c r="N96" s="44"/>
      <c r="O96" s="44">
        <v>279168</v>
      </c>
      <c r="P96" s="44"/>
      <c r="Q96" s="44">
        <v>1906376</v>
      </c>
      <c r="R96" s="44"/>
      <c r="S96" s="44">
        <v>0</v>
      </c>
      <c r="T96" s="44"/>
      <c r="U96" s="44">
        <v>160868</v>
      </c>
      <c r="V96" s="44"/>
      <c r="W96" s="44">
        <f t="shared" si="2"/>
        <v>9970623</v>
      </c>
      <c r="X96" s="44"/>
      <c r="Y96" s="44">
        <v>18874447</v>
      </c>
      <c r="Z96" s="44"/>
      <c r="AA96" s="44">
        <f>+'Stmt net assets'!Y95</f>
        <v>22708571</v>
      </c>
      <c r="AB96" s="44"/>
      <c r="AC96" s="44">
        <f>+Y96+'Stmt of activities-GA rev'!AC97-'Stmt of activities-GAexp'!W96-AA96</f>
        <v>0</v>
      </c>
    </row>
    <row r="97" spans="1:29" s="47" customFormat="1" ht="12.75" customHeight="1">
      <c r="A97" s="47" t="s">
        <v>122</v>
      </c>
      <c r="B97" s="51"/>
      <c r="C97" s="47" t="s">
        <v>43</v>
      </c>
      <c r="E97" s="44">
        <v>9682775</v>
      </c>
      <c r="F97" s="44"/>
      <c r="G97" s="44">
        <v>240079</v>
      </c>
      <c r="H97" s="44"/>
      <c r="I97" s="44">
        <v>2461442</v>
      </c>
      <c r="J97" s="44"/>
      <c r="K97" s="44">
        <v>1208483</v>
      </c>
      <c r="L97" s="44"/>
      <c r="M97" s="44">
        <v>11221371</v>
      </c>
      <c r="N97" s="44"/>
      <c r="O97" s="44">
        <v>0</v>
      </c>
      <c r="P97" s="44"/>
      <c r="Q97" s="44">
        <v>8039779</v>
      </c>
      <c r="R97" s="44"/>
      <c r="S97" s="44">
        <v>0</v>
      </c>
      <c r="T97" s="44"/>
      <c r="U97" s="44">
        <v>1855328</v>
      </c>
      <c r="V97" s="44"/>
      <c r="W97" s="44">
        <f t="shared" si="2"/>
        <v>34709257</v>
      </c>
      <c r="X97" s="44"/>
      <c r="Y97" s="44">
        <v>185143124</v>
      </c>
      <c r="Z97" s="44"/>
      <c r="AA97" s="44">
        <f>+'Stmt net assets'!Y96</f>
        <v>195869595</v>
      </c>
      <c r="AB97" s="44"/>
      <c r="AC97" s="44">
        <f>+Y97+'Stmt of activities-GA rev'!AC98-'Stmt of activities-GAexp'!W97-AA97</f>
        <v>0</v>
      </c>
    </row>
    <row r="98" spans="1:29" s="47" customFormat="1" ht="12.75" customHeight="1">
      <c r="A98" s="47" t="s">
        <v>45</v>
      </c>
      <c r="B98" s="51"/>
      <c r="C98" s="47" t="s">
        <v>103</v>
      </c>
      <c r="E98" s="44">
        <v>31189244</v>
      </c>
      <c r="F98" s="44"/>
      <c r="G98" s="44">
        <v>2011188</v>
      </c>
      <c r="H98" s="44"/>
      <c r="I98" s="44">
        <v>3011837</v>
      </c>
      <c r="J98" s="44"/>
      <c r="K98" s="44">
        <v>5088227</v>
      </c>
      <c r="L98" s="44"/>
      <c r="M98" s="44">
        <v>5382362</v>
      </c>
      <c r="N98" s="44"/>
      <c r="O98" s="44">
        <v>6444432</v>
      </c>
      <c r="P98" s="44"/>
      <c r="Q98" s="44">
        <v>8082518</v>
      </c>
      <c r="R98" s="44"/>
      <c r="S98" s="44">
        <v>0</v>
      </c>
      <c r="T98" s="44"/>
      <c r="U98" s="44">
        <v>1731279</v>
      </c>
      <c r="V98" s="44"/>
      <c r="W98" s="44">
        <f t="shared" si="2"/>
        <v>62941087</v>
      </c>
      <c r="X98" s="44"/>
      <c r="Y98" s="44">
        <v>72396912</v>
      </c>
      <c r="Z98" s="44"/>
      <c r="AA98" s="44">
        <f>+'Stmt net assets'!Y97</f>
        <v>72029057</v>
      </c>
      <c r="AB98" s="44"/>
      <c r="AC98" s="44">
        <f>+Y98+'Stmt of activities-GA rev'!AC99-'Stmt of activities-GAexp'!W98-AA98</f>
        <v>0</v>
      </c>
    </row>
    <row r="99" spans="1:29" s="47" customFormat="1" ht="12.75" customHeight="1">
      <c r="A99" s="47" t="s">
        <v>123</v>
      </c>
      <c r="B99" s="51"/>
      <c r="C99" s="47" t="s">
        <v>45</v>
      </c>
      <c r="E99" s="44">
        <v>4683372</v>
      </c>
      <c r="F99" s="44"/>
      <c r="G99" s="44">
        <v>281603</v>
      </c>
      <c r="H99" s="44"/>
      <c r="I99" s="44">
        <v>308959</v>
      </c>
      <c r="J99" s="44"/>
      <c r="K99" s="44">
        <v>125886</v>
      </c>
      <c r="L99" s="44"/>
      <c r="M99" s="44">
        <v>685405</v>
      </c>
      <c r="N99" s="44"/>
      <c r="O99" s="44">
        <v>0</v>
      </c>
      <c r="P99" s="44"/>
      <c r="Q99" s="44">
        <v>839493</v>
      </c>
      <c r="R99" s="44"/>
      <c r="S99" s="44">
        <v>0</v>
      </c>
      <c r="T99" s="44"/>
      <c r="U99" s="44">
        <v>108342</v>
      </c>
      <c r="V99" s="44"/>
      <c r="W99" s="44">
        <f t="shared" si="2"/>
        <v>7033060</v>
      </c>
      <c r="X99" s="44"/>
      <c r="Y99" s="44">
        <v>11216961</v>
      </c>
      <c r="Z99" s="44"/>
      <c r="AA99" s="44">
        <f>+'Stmt net assets'!Y98</f>
        <v>12688044</v>
      </c>
      <c r="AB99" s="44"/>
      <c r="AC99" s="44">
        <f>+Y99+'Stmt of activities-GA rev'!AC100-'Stmt of activities-GAexp'!W99-AA99</f>
        <v>0</v>
      </c>
    </row>
    <row r="100" spans="1:29" s="47" customFormat="1" ht="12.75" customHeight="1">
      <c r="A100" s="47" t="s">
        <v>124</v>
      </c>
      <c r="B100" s="51"/>
      <c r="C100" s="47" t="s">
        <v>125</v>
      </c>
      <c r="E100" s="44">
        <v>4412475</v>
      </c>
      <c r="F100" s="44"/>
      <c r="G100" s="44">
        <v>55000</v>
      </c>
      <c r="H100" s="44"/>
      <c r="I100" s="44">
        <v>1165587</v>
      </c>
      <c r="J100" s="44"/>
      <c r="K100" s="44">
        <v>78069</v>
      </c>
      <c r="L100" s="44"/>
      <c r="M100" s="44">
        <v>1611106</v>
      </c>
      <c r="N100" s="44"/>
      <c r="O100" s="44">
        <v>48759</v>
      </c>
      <c r="P100" s="44"/>
      <c r="Q100" s="44">
        <v>1480358</v>
      </c>
      <c r="R100" s="44"/>
      <c r="S100" s="44">
        <v>0</v>
      </c>
      <c r="T100" s="44"/>
      <c r="U100" s="44">
        <v>211364</v>
      </c>
      <c r="V100" s="44"/>
      <c r="W100" s="44">
        <f t="shared" si="2"/>
        <v>9062718</v>
      </c>
      <c r="X100" s="44"/>
      <c r="Y100" s="44">
        <v>24481299</v>
      </c>
      <c r="Z100" s="44"/>
      <c r="AA100" s="44">
        <f>+'Stmt net assets'!Y99</f>
        <v>30749434</v>
      </c>
      <c r="AB100" s="44"/>
      <c r="AC100" s="44">
        <f>+Y100+'Stmt of activities-GA rev'!AC101-'Stmt of activities-GAexp'!W100-AA100</f>
        <v>0</v>
      </c>
    </row>
    <row r="101" spans="1:29" s="47" customFormat="1" ht="12.75" customHeight="1">
      <c r="A101" s="47" t="s">
        <v>126</v>
      </c>
      <c r="B101" s="51"/>
      <c r="C101" s="47" t="s">
        <v>27</v>
      </c>
      <c r="E101" s="44">
        <v>5990667</v>
      </c>
      <c r="F101" s="44"/>
      <c r="G101" s="44">
        <v>32985</v>
      </c>
      <c r="H101" s="44"/>
      <c r="I101" s="44">
        <v>1641198</v>
      </c>
      <c r="J101" s="44"/>
      <c r="K101" s="44">
        <v>148297</v>
      </c>
      <c r="L101" s="44"/>
      <c r="M101" s="44">
        <v>1314908</v>
      </c>
      <c r="N101" s="44"/>
      <c r="O101" s="44">
        <v>2856537</v>
      </c>
      <c r="P101" s="44"/>
      <c r="Q101" s="44">
        <v>2083686</v>
      </c>
      <c r="R101" s="44"/>
      <c r="S101" s="44">
        <v>0</v>
      </c>
      <c r="T101" s="44"/>
      <c r="U101" s="44">
        <v>738898</v>
      </c>
      <c r="V101" s="44"/>
      <c r="W101" s="44">
        <f t="shared" si="2"/>
        <v>14807176</v>
      </c>
      <c r="X101" s="44"/>
      <c r="Y101" s="44">
        <v>43922658</v>
      </c>
      <c r="Z101" s="44"/>
      <c r="AA101" s="44">
        <f>+'Stmt net assets'!Y100</f>
        <v>43758187</v>
      </c>
      <c r="AB101" s="44"/>
      <c r="AC101" s="44">
        <f>+Y101+'Stmt of activities-GA rev'!AC102-'Stmt of activities-GAexp'!W101-AA101</f>
        <v>0</v>
      </c>
    </row>
    <row r="102" spans="1:29" s="47" customFormat="1" ht="12.75" customHeight="1">
      <c r="A102" s="47" t="s">
        <v>127</v>
      </c>
      <c r="B102" s="51"/>
      <c r="C102" s="47" t="s">
        <v>43</v>
      </c>
      <c r="E102" s="44">
        <v>7625286</v>
      </c>
      <c r="F102" s="44"/>
      <c r="G102" s="44">
        <v>146530</v>
      </c>
      <c r="H102" s="44"/>
      <c r="I102" s="44">
        <v>2700744</v>
      </c>
      <c r="J102" s="44"/>
      <c r="K102" s="44">
        <v>4800863</v>
      </c>
      <c r="L102" s="44"/>
      <c r="M102" s="44">
        <v>4650580</v>
      </c>
      <c r="N102" s="44"/>
      <c r="O102" s="44">
        <v>6487321</v>
      </c>
      <c r="P102" s="44"/>
      <c r="Q102" s="44">
        <v>4217469</v>
      </c>
      <c r="R102" s="44"/>
      <c r="S102" s="44">
        <v>0</v>
      </c>
      <c r="T102" s="44"/>
      <c r="U102" s="44">
        <v>1808435</v>
      </c>
      <c r="V102" s="44"/>
      <c r="W102" s="44">
        <f t="shared" si="2"/>
        <v>32437228</v>
      </c>
      <c r="X102" s="44"/>
      <c r="Y102" s="44">
        <v>208247022</v>
      </c>
      <c r="Z102" s="44"/>
      <c r="AA102" s="44">
        <f>+'Stmt net assets'!Y101</f>
        <v>209751054</v>
      </c>
      <c r="AB102" s="44"/>
      <c r="AC102" s="44">
        <f>+Y102+'Stmt of activities-GA rev'!AC103-'Stmt of activities-GAexp'!W102-AA102</f>
        <v>0</v>
      </c>
    </row>
    <row r="103" spans="1:29" s="47" customFormat="1" ht="12.75" customHeight="1">
      <c r="A103" s="47" t="s">
        <v>128</v>
      </c>
      <c r="B103" s="51"/>
      <c r="C103" s="47" t="s">
        <v>119</v>
      </c>
      <c r="E103" s="44">
        <v>3282169</v>
      </c>
      <c r="F103" s="44"/>
      <c r="G103" s="44">
        <v>53954</v>
      </c>
      <c r="H103" s="44"/>
      <c r="I103" s="44">
        <v>120841</v>
      </c>
      <c r="J103" s="44"/>
      <c r="K103" s="44">
        <v>499284</v>
      </c>
      <c r="L103" s="44"/>
      <c r="M103" s="44">
        <v>554442</v>
      </c>
      <c r="N103" s="44"/>
      <c r="O103" s="44">
        <v>0</v>
      </c>
      <c r="P103" s="44"/>
      <c r="Q103" s="44">
        <f>1233246+259802</f>
        <v>1493048</v>
      </c>
      <c r="R103" s="44"/>
      <c r="S103" s="44">
        <v>0</v>
      </c>
      <c r="T103" s="44"/>
      <c r="U103" s="44">
        <v>15549</v>
      </c>
      <c r="V103" s="44"/>
      <c r="W103" s="44">
        <f t="shared" si="2"/>
        <v>6019287</v>
      </c>
      <c r="X103" s="44"/>
      <c r="Y103" s="44">
        <v>14765936</v>
      </c>
      <c r="Z103" s="44"/>
      <c r="AA103" s="44">
        <f>+'Stmt net assets'!Y102</f>
        <v>15362106</v>
      </c>
      <c r="AB103" s="44"/>
      <c r="AC103" s="44">
        <f>+Y103+'Stmt of activities-GA rev'!AC104-'Stmt of activities-GAexp'!W103-AA103</f>
        <v>0</v>
      </c>
    </row>
    <row r="104" spans="1:29" s="47" customFormat="1" ht="12.75" customHeight="1">
      <c r="A104" s="47" t="s">
        <v>129</v>
      </c>
      <c r="B104" s="51"/>
      <c r="C104" s="47" t="s">
        <v>80</v>
      </c>
      <c r="E104" s="44">
        <v>1910720</v>
      </c>
      <c r="F104" s="44"/>
      <c r="G104" s="44">
        <v>29075</v>
      </c>
      <c r="H104" s="44"/>
      <c r="I104" s="44">
        <v>43205</v>
      </c>
      <c r="J104" s="44"/>
      <c r="K104" s="44">
        <v>320</v>
      </c>
      <c r="L104" s="44"/>
      <c r="M104" s="44">
        <v>1158612</v>
      </c>
      <c r="N104" s="44"/>
      <c r="O104" s="44">
        <v>0</v>
      </c>
      <c r="P104" s="44"/>
      <c r="Q104" s="44">
        <v>390097</v>
      </c>
      <c r="R104" s="44"/>
      <c r="S104" s="44">
        <v>13112</v>
      </c>
      <c r="T104" s="44"/>
      <c r="U104" s="44">
        <v>164929</v>
      </c>
      <c r="V104" s="44"/>
      <c r="W104" s="44">
        <f t="shared" si="2"/>
        <v>3710070</v>
      </c>
      <c r="X104" s="44"/>
      <c r="Y104" s="44">
        <v>2662478</v>
      </c>
      <c r="Z104" s="44"/>
      <c r="AA104" s="44">
        <f>+'Stmt net assets'!Y103</f>
        <v>2869707</v>
      </c>
      <c r="AB104" s="44"/>
      <c r="AC104" s="44">
        <f>+Y104+'Stmt of activities-GA rev'!AC105-'Stmt of activities-GAexp'!W104-AA104</f>
        <v>0</v>
      </c>
    </row>
    <row r="105" spans="1:29" s="47" customFormat="1" ht="12.75" customHeight="1">
      <c r="A105" s="47" t="s">
        <v>130</v>
      </c>
      <c r="B105" s="51"/>
      <c r="C105" s="47" t="s">
        <v>66</v>
      </c>
      <c r="E105" s="44">
        <v>13757978</v>
      </c>
      <c r="F105" s="44"/>
      <c r="G105" s="44">
        <v>0</v>
      </c>
      <c r="H105" s="44"/>
      <c r="I105" s="44">
        <v>301582</v>
      </c>
      <c r="J105" s="44"/>
      <c r="K105" s="44">
        <v>964372</v>
      </c>
      <c r="L105" s="44"/>
      <c r="M105" s="44">
        <v>6708347</v>
      </c>
      <c r="N105" s="44"/>
      <c r="O105" s="44">
        <v>0</v>
      </c>
      <c r="P105" s="44"/>
      <c r="Q105" s="44">
        <v>3224162</v>
      </c>
      <c r="R105" s="44"/>
      <c r="S105" s="44">
        <v>0</v>
      </c>
      <c r="T105" s="44"/>
      <c r="U105" s="44">
        <v>1210321</v>
      </c>
      <c r="V105" s="44"/>
      <c r="W105" s="44">
        <f t="shared" si="2"/>
        <v>26166762</v>
      </c>
      <c r="X105" s="44"/>
      <c r="Y105" s="44">
        <v>108647541</v>
      </c>
      <c r="Z105" s="44"/>
      <c r="AA105" s="44">
        <f>+'Stmt net assets'!Y104</f>
        <v>113576083</v>
      </c>
      <c r="AB105" s="44"/>
      <c r="AC105" s="44">
        <f>+Y105+'Stmt of activities-GA rev'!AC106-'Stmt of activities-GAexp'!W105-AA105</f>
        <v>0</v>
      </c>
    </row>
    <row r="106" spans="1:29" s="47" customFormat="1" ht="12.75" customHeight="1">
      <c r="A106" s="47" t="s">
        <v>131</v>
      </c>
      <c r="B106" s="51"/>
      <c r="C106" s="47" t="s">
        <v>13</v>
      </c>
      <c r="E106" s="44">
        <v>5660201</v>
      </c>
      <c r="F106" s="44"/>
      <c r="G106" s="44">
        <v>527688</v>
      </c>
      <c r="H106" s="44"/>
      <c r="I106" s="44">
        <v>896350</v>
      </c>
      <c r="J106" s="44"/>
      <c r="K106" s="44">
        <v>1264672</v>
      </c>
      <c r="L106" s="44"/>
      <c r="M106" s="44">
        <v>4521706</v>
      </c>
      <c r="N106" s="44"/>
      <c r="O106" s="44">
        <v>0</v>
      </c>
      <c r="P106" s="44"/>
      <c r="Q106" s="44">
        <v>6747620</v>
      </c>
      <c r="R106" s="44"/>
      <c r="S106" s="44">
        <v>0</v>
      </c>
      <c r="T106" s="44"/>
      <c r="U106" s="44">
        <v>1596855</v>
      </c>
      <c r="V106" s="44"/>
      <c r="W106" s="44">
        <f t="shared" si="2"/>
        <v>21215092</v>
      </c>
      <c r="X106" s="44"/>
      <c r="Y106" s="44">
        <v>89296031</v>
      </c>
      <c r="Z106" s="44"/>
      <c r="AA106" s="44">
        <f>+'Stmt net assets'!Y105</f>
        <v>98472552</v>
      </c>
      <c r="AB106" s="44"/>
      <c r="AC106" s="44">
        <f>+Y106+'Stmt of activities-GA rev'!AC107-'Stmt of activities-GAexp'!W106-AA106</f>
        <v>0</v>
      </c>
    </row>
    <row r="107" spans="1:29" s="47" customFormat="1" ht="12.75" customHeight="1">
      <c r="A107" s="47" t="s">
        <v>38</v>
      </c>
      <c r="B107" s="51"/>
      <c r="C107" s="47" t="s">
        <v>132</v>
      </c>
      <c r="E107" s="44">
        <v>3269519</v>
      </c>
      <c r="F107" s="44"/>
      <c r="G107" s="44">
        <v>0</v>
      </c>
      <c r="H107" s="44"/>
      <c r="I107" s="44">
        <v>519079</v>
      </c>
      <c r="J107" s="44"/>
      <c r="K107" s="44">
        <v>0</v>
      </c>
      <c r="L107" s="44"/>
      <c r="M107" s="44">
        <v>642172</v>
      </c>
      <c r="N107" s="44"/>
      <c r="O107" s="44">
        <v>597207</v>
      </c>
      <c r="P107" s="44"/>
      <c r="Q107" s="44">
        <v>1093528</v>
      </c>
      <c r="R107" s="44"/>
      <c r="S107" s="44">
        <v>15935</v>
      </c>
      <c r="T107" s="44"/>
      <c r="U107" s="44">
        <v>129460</v>
      </c>
      <c r="V107" s="44"/>
      <c r="W107" s="44">
        <f t="shared" si="2"/>
        <v>6266900</v>
      </c>
      <c r="X107" s="44"/>
      <c r="Y107" s="44">
        <v>3264952</v>
      </c>
      <c r="Z107" s="44"/>
      <c r="AA107" s="44">
        <f>+'Stmt net assets'!Y106</f>
        <v>3719510</v>
      </c>
      <c r="AB107" s="44"/>
      <c r="AC107" s="44">
        <f>+Y107+'Stmt of activities-GA rev'!AC108-'Stmt of activities-GAexp'!W107-AA107</f>
        <v>0</v>
      </c>
    </row>
    <row r="108" spans="1:29" s="47" customFormat="1" ht="12.75" customHeight="1">
      <c r="A108" s="47" t="s">
        <v>133</v>
      </c>
      <c r="B108" s="51"/>
      <c r="C108" s="47" t="s">
        <v>27</v>
      </c>
      <c r="E108" s="44">
        <v>8396575</v>
      </c>
      <c r="F108" s="44"/>
      <c r="G108" s="44">
        <v>51713</v>
      </c>
      <c r="H108" s="44"/>
      <c r="I108" s="44">
        <v>3178450</v>
      </c>
      <c r="J108" s="44"/>
      <c r="K108" s="44">
        <v>2375832</v>
      </c>
      <c r="L108" s="44"/>
      <c r="M108" s="44">
        <v>4875176</v>
      </c>
      <c r="N108" s="44"/>
      <c r="O108" s="44">
        <v>699018</v>
      </c>
      <c r="P108" s="44"/>
      <c r="Q108" s="44">
        <v>8297104</v>
      </c>
      <c r="R108" s="44"/>
      <c r="S108" s="44">
        <v>0</v>
      </c>
      <c r="T108" s="44"/>
      <c r="U108" s="44">
        <v>1578292</v>
      </c>
      <c r="V108" s="44"/>
      <c r="W108" s="44">
        <f t="shared" si="2"/>
        <v>29452160</v>
      </c>
      <c r="X108" s="44"/>
      <c r="Y108" s="44">
        <v>66860884</v>
      </c>
      <c r="Z108" s="44"/>
      <c r="AA108" s="44">
        <f>+'Stmt net assets'!Y107</f>
        <v>68537334</v>
      </c>
      <c r="AB108" s="44"/>
      <c r="AC108" s="44">
        <f>+Y108+'Stmt of activities-GA rev'!AC109-'Stmt of activities-GAexp'!W108-AA108</f>
        <v>0</v>
      </c>
    </row>
    <row r="109" spans="1:29" s="47" customFormat="1" ht="12.75" customHeight="1">
      <c r="A109" s="47" t="s">
        <v>483</v>
      </c>
      <c r="B109" s="51"/>
      <c r="C109" s="47" t="s">
        <v>45</v>
      </c>
      <c r="E109" s="44">
        <v>4278169</v>
      </c>
      <c r="F109" s="44"/>
      <c r="G109" s="44">
        <v>158812</v>
      </c>
      <c r="H109" s="44"/>
      <c r="I109" s="44">
        <v>1184986</v>
      </c>
      <c r="J109" s="44"/>
      <c r="K109" s="44">
        <v>1469074</v>
      </c>
      <c r="L109" s="44"/>
      <c r="M109" s="44">
        <v>1994587</v>
      </c>
      <c r="N109" s="44"/>
      <c r="O109" s="44">
        <v>0</v>
      </c>
      <c r="P109" s="44"/>
      <c r="Q109" s="44">
        <v>1983376</v>
      </c>
      <c r="R109" s="44"/>
      <c r="S109" s="44">
        <v>0</v>
      </c>
      <c r="T109" s="44"/>
      <c r="U109" s="44">
        <v>38933</v>
      </c>
      <c r="V109" s="44"/>
      <c r="W109" s="44">
        <f t="shared" si="2"/>
        <v>11107937</v>
      </c>
      <c r="X109" s="44"/>
      <c r="Y109" s="44">
        <v>99719474</v>
      </c>
      <c r="Z109" s="44"/>
      <c r="AA109" s="44">
        <f>+'Stmt net assets'!Y108</f>
        <v>110774063</v>
      </c>
      <c r="AB109" s="44"/>
      <c r="AC109" s="44">
        <f>+Y109+'Stmt of activities-GA rev'!AC110-'Stmt of activities-GAexp'!W109-AA109</f>
        <v>0</v>
      </c>
    </row>
    <row r="110" spans="1:29" s="47" customFormat="1" ht="12.75" customHeight="1">
      <c r="A110" s="47" t="s">
        <v>134</v>
      </c>
      <c r="B110" s="51"/>
      <c r="C110" s="47" t="s">
        <v>135</v>
      </c>
      <c r="E110" s="44">
        <v>2947870</v>
      </c>
      <c r="F110" s="44"/>
      <c r="G110" s="44">
        <v>251422</v>
      </c>
      <c r="H110" s="44"/>
      <c r="I110" s="44">
        <v>72438</v>
      </c>
      <c r="J110" s="44"/>
      <c r="K110" s="44">
        <v>241961</v>
      </c>
      <c r="L110" s="44"/>
      <c r="M110" s="44">
        <v>1771182</v>
      </c>
      <c r="N110" s="44"/>
      <c r="O110" s="44">
        <v>0</v>
      </c>
      <c r="P110" s="44"/>
      <c r="Q110" s="44">
        <v>1858884</v>
      </c>
      <c r="R110" s="44"/>
      <c r="S110" s="44">
        <v>0</v>
      </c>
      <c r="T110" s="44"/>
      <c r="U110" s="44">
        <v>162906</v>
      </c>
      <c r="V110" s="44"/>
      <c r="W110" s="44">
        <f t="shared" si="2"/>
        <v>7306663</v>
      </c>
      <c r="X110" s="44"/>
      <c r="Y110" s="44">
        <v>28595612</v>
      </c>
      <c r="Z110" s="44"/>
      <c r="AA110" s="44">
        <f>+'Stmt net assets'!Y109</f>
        <v>27931220</v>
      </c>
      <c r="AB110" s="44"/>
      <c r="AC110" s="44">
        <f>+Y110+'Stmt of activities-GA rev'!AC111-'Stmt of activities-GAexp'!W110-AA110</f>
        <v>0</v>
      </c>
    </row>
    <row r="111" spans="1:29" s="47" customFormat="1" ht="12.75" customHeight="1">
      <c r="A111" s="47" t="s">
        <v>136</v>
      </c>
      <c r="B111" s="51"/>
      <c r="C111" s="47" t="s">
        <v>136</v>
      </c>
      <c r="E111" s="44">
        <v>2199288</v>
      </c>
      <c r="F111" s="44"/>
      <c r="G111" s="44">
        <v>234855</v>
      </c>
      <c r="H111" s="44"/>
      <c r="I111" s="44">
        <v>408900</v>
      </c>
      <c r="J111" s="44"/>
      <c r="K111" s="44">
        <v>608527</v>
      </c>
      <c r="L111" s="44"/>
      <c r="M111" s="44">
        <v>603490</v>
      </c>
      <c r="N111" s="44"/>
      <c r="O111" s="44">
        <v>0</v>
      </c>
      <c r="P111" s="44"/>
      <c r="Q111" s="44">
        <v>1319443</v>
      </c>
      <c r="R111" s="44"/>
      <c r="S111" s="44">
        <v>0</v>
      </c>
      <c r="T111" s="44"/>
      <c r="U111" s="44">
        <v>14070</v>
      </c>
      <c r="V111" s="44"/>
      <c r="W111" s="44">
        <f>SUM(E111:U111)</f>
        <v>5388573</v>
      </c>
      <c r="X111" s="44"/>
      <c r="Y111" s="44">
        <v>13218272</v>
      </c>
      <c r="Z111" s="44"/>
      <c r="AA111" s="44">
        <f>+'Stmt net assets'!Y110</f>
        <v>13396719</v>
      </c>
      <c r="AB111" s="44"/>
      <c r="AC111" s="44">
        <f>+Y111+'Stmt of activities-GA rev'!AC112-'Stmt of activities-GAexp'!W111-AA111</f>
        <v>0</v>
      </c>
    </row>
    <row r="112" spans="1:29" s="47" customFormat="1" ht="12.75" customHeight="1">
      <c r="A112" s="47" t="s">
        <v>137</v>
      </c>
      <c r="B112" s="51"/>
      <c r="C112" s="47" t="s">
        <v>22</v>
      </c>
      <c r="E112" s="44">
        <v>9767636</v>
      </c>
      <c r="F112" s="44"/>
      <c r="G112" s="44">
        <v>567464</v>
      </c>
      <c r="H112" s="44"/>
      <c r="I112" s="44">
        <v>1304088</v>
      </c>
      <c r="J112" s="44"/>
      <c r="K112" s="44">
        <v>1806399</v>
      </c>
      <c r="L112" s="44"/>
      <c r="M112" s="44">
        <v>3242973</v>
      </c>
      <c r="N112" s="44"/>
      <c r="O112" s="44">
        <v>0</v>
      </c>
      <c r="P112" s="44"/>
      <c r="Q112" s="44">
        <v>2697076</v>
      </c>
      <c r="R112" s="44"/>
      <c r="S112" s="44">
        <v>0</v>
      </c>
      <c r="T112" s="44"/>
      <c r="U112" s="44">
        <v>276968</v>
      </c>
      <c r="V112" s="44"/>
      <c r="W112" s="44">
        <f>SUM(E112:U112)</f>
        <v>19662604</v>
      </c>
      <c r="X112" s="44"/>
      <c r="Y112" s="44">
        <v>52375948</v>
      </c>
      <c r="Z112" s="44"/>
      <c r="AA112" s="44">
        <f>+'Stmt net assets'!Y111</f>
        <v>55058879</v>
      </c>
      <c r="AB112" s="44"/>
      <c r="AC112" s="44">
        <f>+Y112+'Stmt of activities-GA rev'!AC113-'Stmt of activities-GAexp'!W112-AA112</f>
        <v>0</v>
      </c>
    </row>
    <row r="113" spans="1:29" s="47" customFormat="1" ht="12.75" hidden="1" customHeight="1">
      <c r="A113" s="47" t="s">
        <v>138</v>
      </c>
      <c r="B113" s="51"/>
      <c r="C113" s="47" t="s">
        <v>139</v>
      </c>
      <c r="E113" s="44">
        <v>2288944</v>
      </c>
      <c r="F113" s="44"/>
      <c r="G113" s="44">
        <v>73500</v>
      </c>
      <c r="H113" s="44"/>
      <c r="I113" s="44">
        <v>129579</v>
      </c>
      <c r="J113" s="44"/>
      <c r="K113" s="44">
        <v>349024</v>
      </c>
      <c r="L113" s="44"/>
      <c r="M113" s="44">
        <v>0</v>
      </c>
      <c r="N113" s="44"/>
      <c r="O113" s="44">
        <v>776000</v>
      </c>
      <c r="P113" s="44"/>
      <c r="Q113" s="44">
        <v>1138919</v>
      </c>
      <c r="R113" s="44"/>
      <c r="S113" s="44">
        <v>97997</v>
      </c>
      <c r="T113" s="44"/>
      <c r="U113" s="44">
        <v>0</v>
      </c>
      <c r="V113" s="44"/>
      <c r="W113" s="44">
        <f t="shared" si="2"/>
        <v>4853963</v>
      </c>
      <c r="X113" s="44"/>
      <c r="Y113" s="44">
        <v>1285015</v>
      </c>
      <c r="Z113" s="44"/>
      <c r="AA113" s="44">
        <f>+'Stmt net assets'!Y112</f>
        <v>0</v>
      </c>
      <c r="AB113" s="44"/>
      <c r="AC113" s="44">
        <f>+Y113+'Stmt of activities-GA rev'!AC114-'Stmt of activities-GAexp'!W113-AA113</f>
        <v>4899428</v>
      </c>
    </row>
    <row r="114" spans="1:29" s="47" customFormat="1" ht="12.75" customHeight="1">
      <c r="A114" s="47" t="s">
        <v>140</v>
      </c>
      <c r="B114" s="51"/>
      <c r="C114" s="47" t="s">
        <v>66</v>
      </c>
      <c r="E114" s="44">
        <v>21782002</v>
      </c>
      <c r="F114" s="44"/>
      <c r="G114" s="44">
        <v>0</v>
      </c>
      <c r="H114" s="44"/>
      <c r="I114" s="44">
        <v>12234615</v>
      </c>
      <c r="J114" s="44"/>
      <c r="K114" s="44">
        <v>0</v>
      </c>
      <c r="L114" s="44"/>
      <c r="M114" s="44">
        <v>0</v>
      </c>
      <c r="N114" s="44"/>
      <c r="O114" s="44">
        <v>12263789</v>
      </c>
      <c r="P114" s="44"/>
      <c r="Q114" s="44">
        <v>17232295</v>
      </c>
      <c r="R114" s="44"/>
      <c r="S114" s="44">
        <v>0</v>
      </c>
      <c r="T114" s="44"/>
      <c r="U114" s="44">
        <v>1148457</v>
      </c>
      <c r="V114" s="44"/>
      <c r="W114" s="44">
        <f t="shared" si="2"/>
        <v>64661158</v>
      </c>
      <c r="X114" s="44"/>
      <c r="Y114" s="44">
        <v>149496260</v>
      </c>
      <c r="Z114" s="44"/>
      <c r="AA114" s="44">
        <f>+'Stmt net assets'!Y113</f>
        <v>157442927</v>
      </c>
      <c r="AB114" s="44"/>
      <c r="AC114" s="44">
        <f>+Y114+'Stmt of activities-GA rev'!AC115-'Stmt of activities-GAexp'!W114-AA114</f>
        <v>0</v>
      </c>
    </row>
    <row r="115" spans="1:29" s="47" customFormat="1" ht="12.75" customHeight="1">
      <c r="A115" s="47" t="s">
        <v>479</v>
      </c>
      <c r="B115" s="51"/>
      <c r="C115" s="47" t="s">
        <v>92</v>
      </c>
      <c r="E115" s="44">
        <v>2450431</v>
      </c>
      <c r="F115" s="44"/>
      <c r="G115" s="44">
        <v>74289</v>
      </c>
      <c r="H115" s="44"/>
      <c r="I115" s="44">
        <v>460008</v>
      </c>
      <c r="J115" s="44"/>
      <c r="K115" s="44">
        <v>77395</v>
      </c>
      <c r="L115" s="44"/>
      <c r="M115" s="44">
        <v>2145854</v>
      </c>
      <c r="N115" s="44"/>
      <c r="O115" s="44">
        <v>0</v>
      </c>
      <c r="P115" s="44"/>
      <c r="Q115" s="44">
        <v>1982854</v>
      </c>
      <c r="R115" s="44"/>
      <c r="S115" s="44">
        <v>0</v>
      </c>
      <c r="T115" s="44"/>
      <c r="U115" s="44">
        <v>225359</v>
      </c>
      <c r="V115" s="44"/>
      <c r="W115" s="44">
        <f t="shared" si="2"/>
        <v>7416190</v>
      </c>
      <c r="X115" s="44"/>
      <c r="Y115" s="44">
        <v>17852123</v>
      </c>
      <c r="Z115" s="44"/>
      <c r="AA115" s="44">
        <f>+'Stmt net assets'!Y114</f>
        <v>17084394</v>
      </c>
      <c r="AB115" s="44"/>
      <c r="AC115" s="44">
        <f>+Y115+'Stmt of activities-GA rev'!AC116-'Stmt of activities-GAexp'!W115-AA115</f>
        <v>0</v>
      </c>
    </row>
    <row r="116" spans="1:29" s="47" customFormat="1" ht="12.75" customHeight="1">
      <c r="A116" s="47" t="s">
        <v>141</v>
      </c>
      <c r="B116" s="51"/>
      <c r="C116" s="47" t="s">
        <v>27</v>
      </c>
      <c r="E116" s="44">
        <f>12035903+11028498</f>
        <v>23064401</v>
      </c>
      <c r="F116" s="44"/>
      <c r="G116" s="44">
        <v>4211759</v>
      </c>
      <c r="H116" s="44"/>
      <c r="I116" s="44">
        <v>2159191</v>
      </c>
      <c r="J116" s="44"/>
      <c r="K116" s="44">
        <v>6798564</v>
      </c>
      <c r="L116" s="44"/>
      <c r="M116" s="44">
        <v>3480710</v>
      </c>
      <c r="N116" s="44"/>
      <c r="O116" s="44">
        <v>5450051</v>
      </c>
      <c r="P116" s="44"/>
      <c r="Q116" s="44">
        <v>9599299</v>
      </c>
      <c r="R116" s="44"/>
      <c r="S116" s="44">
        <v>0</v>
      </c>
      <c r="T116" s="44"/>
      <c r="U116" s="44">
        <v>1898099</v>
      </c>
      <c r="V116" s="44"/>
      <c r="W116" s="44">
        <f t="shared" si="2"/>
        <v>56662074</v>
      </c>
      <c r="X116" s="44"/>
      <c r="Y116" s="44">
        <v>32484413</v>
      </c>
      <c r="Z116" s="44"/>
      <c r="AA116" s="44">
        <f>+'Stmt net assets'!Y115</f>
        <v>30099712</v>
      </c>
      <c r="AB116" s="44"/>
      <c r="AC116" s="44">
        <f>+Y116+'Stmt of activities-GA rev'!AC117-'Stmt of activities-GAexp'!W116-AA116</f>
        <v>0</v>
      </c>
    </row>
    <row r="117" spans="1:29" s="47" customFormat="1" ht="12.75" customHeight="1">
      <c r="A117" s="47" t="s">
        <v>142</v>
      </c>
      <c r="B117" s="51"/>
      <c r="C117" s="47" t="s">
        <v>102</v>
      </c>
      <c r="E117" s="44">
        <v>16857036</v>
      </c>
      <c r="F117" s="44"/>
      <c r="G117" s="44">
        <v>889715</v>
      </c>
      <c r="H117" s="44"/>
      <c r="I117" s="44">
        <v>2278778</v>
      </c>
      <c r="J117" s="44"/>
      <c r="K117" s="44">
        <v>670861</v>
      </c>
      <c r="L117" s="44"/>
      <c r="M117" s="44">
        <v>5109759</v>
      </c>
      <c r="N117" s="44"/>
      <c r="O117" s="44">
        <v>0</v>
      </c>
      <c r="P117" s="44"/>
      <c r="Q117" s="44">
        <v>9635268</v>
      </c>
      <c r="R117" s="44"/>
      <c r="S117" s="44">
        <v>0</v>
      </c>
      <c r="T117" s="44"/>
      <c r="U117" s="44">
        <v>474299</v>
      </c>
      <c r="V117" s="44"/>
      <c r="W117" s="44">
        <f t="shared" si="2"/>
        <v>35915716</v>
      </c>
      <c r="X117" s="44"/>
      <c r="Y117" s="44">
        <v>36286426</v>
      </c>
      <c r="Z117" s="44"/>
      <c r="AA117" s="44">
        <f>+'Stmt net assets'!Y116</f>
        <v>39746946</v>
      </c>
      <c r="AB117" s="44"/>
      <c r="AC117" s="44">
        <f>+Y117+'Stmt of activities-GA rev'!AC118-'Stmt of activities-GAexp'!W117-AA117</f>
        <v>0</v>
      </c>
    </row>
    <row r="118" spans="1:29" s="47" customFormat="1" ht="12.75" customHeight="1">
      <c r="A118" s="47" t="s">
        <v>143</v>
      </c>
      <c r="B118" s="51"/>
      <c r="C118" s="47" t="s">
        <v>111</v>
      </c>
      <c r="E118" s="44">
        <v>6452978</v>
      </c>
      <c r="F118" s="44"/>
      <c r="G118" s="44">
        <v>217542</v>
      </c>
      <c r="H118" s="44"/>
      <c r="I118" s="44">
        <v>421657</v>
      </c>
      <c r="J118" s="44"/>
      <c r="K118" s="44">
        <v>851330</v>
      </c>
      <c r="L118" s="44"/>
      <c r="M118" s="44">
        <v>3770075</v>
      </c>
      <c r="N118" s="44"/>
      <c r="O118" s="44">
        <v>0</v>
      </c>
      <c r="P118" s="44"/>
      <c r="Q118" s="44">
        <v>4689257</v>
      </c>
      <c r="R118" s="44"/>
      <c r="S118" s="44">
        <v>830741</v>
      </c>
      <c r="T118" s="44"/>
      <c r="U118" s="44">
        <v>386205</v>
      </c>
      <c r="V118" s="44"/>
      <c r="W118" s="44">
        <f t="shared" si="2"/>
        <v>17619785</v>
      </c>
      <c r="X118" s="44"/>
      <c r="Y118" s="44">
        <v>52751217</v>
      </c>
      <c r="Z118" s="44"/>
      <c r="AA118" s="44">
        <f>+'Stmt net assets'!Y117</f>
        <v>54022033</v>
      </c>
      <c r="AB118" s="44"/>
      <c r="AC118" s="44">
        <f>+Y118+'Stmt of activities-GA rev'!AC119-'Stmt of activities-GAexp'!W118-AA118</f>
        <v>0</v>
      </c>
    </row>
    <row r="119" spans="1:29" s="47" customFormat="1" ht="12.75" customHeight="1">
      <c r="A119" s="47" t="s">
        <v>144</v>
      </c>
      <c r="B119" s="51"/>
      <c r="C119" s="47" t="s">
        <v>88</v>
      </c>
      <c r="E119" s="44">
        <v>15475457</v>
      </c>
      <c r="F119" s="44"/>
      <c r="G119" s="44">
        <v>0</v>
      </c>
      <c r="H119" s="44"/>
      <c r="I119" s="44">
        <v>1162245</v>
      </c>
      <c r="J119" s="44"/>
      <c r="K119" s="44">
        <v>3042188</v>
      </c>
      <c r="L119" s="44"/>
      <c r="M119" s="44">
        <v>4691638</v>
      </c>
      <c r="N119" s="44"/>
      <c r="O119" s="44">
        <v>0</v>
      </c>
      <c r="P119" s="44"/>
      <c r="Q119" s="44">
        <v>9131888</v>
      </c>
      <c r="R119" s="44"/>
      <c r="S119" s="44">
        <v>0</v>
      </c>
      <c r="T119" s="44"/>
      <c r="U119" s="44">
        <v>128003</v>
      </c>
      <c r="V119" s="44"/>
      <c r="W119" s="44">
        <f t="shared" si="2"/>
        <v>33631419</v>
      </c>
      <c r="X119" s="44"/>
      <c r="Y119" s="44">
        <v>48035041</v>
      </c>
      <c r="Z119" s="44"/>
      <c r="AA119" s="44">
        <f>+'Stmt net assets'!Y118</f>
        <v>53189321</v>
      </c>
      <c r="AB119" s="44"/>
      <c r="AC119" s="44">
        <f>+Y119+'Stmt of activities-GA rev'!AC120-'Stmt of activities-GAexp'!W119-AA119</f>
        <v>0</v>
      </c>
    </row>
    <row r="120" spans="1:29" s="47" customFormat="1" ht="12.75" customHeight="1">
      <c r="A120" s="47" t="s">
        <v>36</v>
      </c>
      <c r="B120" s="51"/>
      <c r="C120" s="47" t="s">
        <v>145</v>
      </c>
      <c r="E120" s="44">
        <v>2270779</v>
      </c>
      <c r="F120" s="44"/>
      <c r="G120" s="44">
        <v>279489</v>
      </c>
      <c r="H120" s="44"/>
      <c r="I120" s="44">
        <v>139820</v>
      </c>
      <c r="J120" s="44"/>
      <c r="K120" s="44">
        <v>50366</v>
      </c>
      <c r="L120" s="44"/>
      <c r="M120" s="44">
        <v>1041882</v>
      </c>
      <c r="N120" s="44"/>
      <c r="O120" s="44">
        <v>0</v>
      </c>
      <c r="P120" s="44"/>
      <c r="Q120" s="44">
        <v>489147</v>
      </c>
      <c r="R120" s="44"/>
      <c r="S120" s="44">
        <v>0</v>
      </c>
      <c r="T120" s="44"/>
      <c r="U120" s="44">
        <v>23386</v>
      </c>
      <c r="V120" s="44"/>
      <c r="W120" s="44">
        <f t="shared" si="2"/>
        <v>4294869</v>
      </c>
      <c r="X120" s="44"/>
      <c r="Y120" s="44">
        <v>8020639</v>
      </c>
      <c r="Z120" s="44"/>
      <c r="AA120" s="44">
        <f>+'Stmt net assets'!Y119</f>
        <v>8142433</v>
      </c>
      <c r="AB120" s="44"/>
      <c r="AC120" s="44">
        <f>+Y120+'Stmt of activities-GA rev'!AC121-'Stmt of activities-GAexp'!W120-AA120</f>
        <v>0</v>
      </c>
    </row>
    <row r="121" spans="1:29" s="47" customFormat="1" ht="12.75" customHeight="1">
      <c r="A121" s="47" t="s">
        <v>146</v>
      </c>
      <c r="B121" s="51"/>
      <c r="C121" s="47" t="s">
        <v>147</v>
      </c>
      <c r="E121" s="44">
        <v>3222828</v>
      </c>
      <c r="F121" s="44"/>
      <c r="G121" s="44">
        <v>2000</v>
      </c>
      <c r="H121" s="44"/>
      <c r="I121" s="44">
        <v>332543</v>
      </c>
      <c r="J121" s="44"/>
      <c r="K121" s="44">
        <v>312692</v>
      </c>
      <c r="L121" s="44"/>
      <c r="M121" s="44">
        <v>1733237</v>
      </c>
      <c r="N121" s="44"/>
      <c r="O121" s="44">
        <v>0</v>
      </c>
      <c r="P121" s="44"/>
      <c r="Q121" s="44">
        <v>929568</v>
      </c>
      <c r="R121" s="44"/>
      <c r="S121" s="44">
        <v>0</v>
      </c>
      <c r="T121" s="44"/>
      <c r="U121" s="44">
        <v>39400</v>
      </c>
      <c r="V121" s="44"/>
      <c r="W121" s="44">
        <f t="shared" si="2"/>
        <v>6572268</v>
      </c>
      <c r="X121" s="44"/>
      <c r="Y121" s="44">
        <v>18048941</v>
      </c>
      <c r="Z121" s="44"/>
      <c r="AA121" s="44">
        <f>+'Stmt net assets'!Y120</f>
        <v>16769374</v>
      </c>
      <c r="AB121" s="44"/>
      <c r="AC121" s="44">
        <f>+Y121+'Stmt of activities-GA rev'!AC122-'Stmt of activities-GAexp'!W121-AA121</f>
        <v>0</v>
      </c>
    </row>
    <row r="122" spans="1:29" s="47" customFormat="1" ht="12.75" customHeight="1">
      <c r="A122" s="47" t="s">
        <v>17</v>
      </c>
      <c r="B122" s="51"/>
      <c r="C122" s="47" t="s">
        <v>17</v>
      </c>
      <c r="E122" s="44">
        <v>19390489</v>
      </c>
      <c r="F122" s="44"/>
      <c r="G122" s="44">
        <v>1995300</v>
      </c>
      <c r="H122" s="44"/>
      <c r="I122" s="44">
        <v>501112</v>
      </c>
      <c r="J122" s="44"/>
      <c r="K122" s="44">
        <f>2926740+1104662</f>
        <v>4031402</v>
      </c>
      <c r="L122" s="44"/>
      <c r="M122" s="44">
        <v>14435681</v>
      </c>
      <c r="N122" s="44"/>
      <c r="O122" s="44">
        <v>0</v>
      </c>
      <c r="P122" s="44"/>
      <c r="Q122" s="44">
        <v>12812199</v>
      </c>
      <c r="R122" s="44"/>
      <c r="S122" s="44">
        <v>0</v>
      </c>
      <c r="T122" s="44"/>
      <c r="U122" s="44">
        <v>1950140</v>
      </c>
      <c r="V122" s="44"/>
      <c r="W122" s="44">
        <f t="shared" si="2"/>
        <v>55116323</v>
      </c>
      <c r="X122" s="44"/>
      <c r="Y122" s="44">
        <v>138088794</v>
      </c>
      <c r="Z122" s="44"/>
      <c r="AA122" s="44">
        <f>+'Stmt net assets'!Y121</f>
        <v>126642429</v>
      </c>
      <c r="AB122" s="44"/>
      <c r="AC122" s="44">
        <f>+Y122+'Stmt of activities-GA rev'!AC123-'Stmt of activities-GAexp'!W122-AA122</f>
        <v>0</v>
      </c>
    </row>
    <row r="123" spans="1:29" s="47" customFormat="1" ht="12.75" customHeight="1">
      <c r="A123" s="47" t="s">
        <v>148</v>
      </c>
      <c r="B123" s="51"/>
      <c r="C123" s="47" t="s">
        <v>15</v>
      </c>
      <c r="E123" s="44">
        <v>2284434</v>
      </c>
      <c r="F123" s="44"/>
      <c r="G123" s="44">
        <v>18274</v>
      </c>
      <c r="H123" s="44"/>
      <c r="I123" s="44">
        <v>375795</v>
      </c>
      <c r="J123" s="44"/>
      <c r="K123" s="44">
        <v>193968</v>
      </c>
      <c r="L123" s="44"/>
      <c r="M123" s="44">
        <v>762015</v>
      </c>
      <c r="N123" s="44"/>
      <c r="O123" s="44">
        <v>0</v>
      </c>
      <c r="P123" s="44"/>
      <c r="Q123" s="44">
        <v>709418</v>
      </c>
      <c r="R123" s="44"/>
      <c r="S123" s="44">
        <v>0</v>
      </c>
      <c r="T123" s="44"/>
      <c r="U123" s="44">
        <v>36998</v>
      </c>
      <c r="V123" s="44"/>
      <c r="W123" s="44">
        <f t="shared" si="2"/>
        <v>4380902</v>
      </c>
      <c r="X123" s="44"/>
      <c r="Y123" s="44">
        <v>4218672</v>
      </c>
      <c r="Z123" s="44"/>
      <c r="AA123" s="44">
        <f>+'Stmt net assets'!Y122</f>
        <v>4903057</v>
      </c>
      <c r="AB123" s="44"/>
      <c r="AC123" s="44">
        <f>+Y123+'Stmt of activities-GA rev'!AC124-'Stmt of activities-GAexp'!W123-AA123</f>
        <v>0</v>
      </c>
    </row>
    <row r="124" spans="1:29" s="47" customFormat="1" ht="12.75" customHeight="1">
      <c r="A124" s="47" t="s">
        <v>149</v>
      </c>
      <c r="B124" s="51"/>
      <c r="C124" s="47" t="s">
        <v>45</v>
      </c>
      <c r="E124" s="44">
        <v>4612689</v>
      </c>
      <c r="F124" s="44"/>
      <c r="G124" s="44">
        <v>0</v>
      </c>
      <c r="H124" s="44"/>
      <c r="I124" s="44">
        <v>767098</v>
      </c>
      <c r="J124" s="44"/>
      <c r="K124" s="44">
        <v>202433</v>
      </c>
      <c r="L124" s="44"/>
      <c r="M124" s="44">
        <v>822605</v>
      </c>
      <c r="N124" s="44"/>
      <c r="O124" s="44">
        <v>0</v>
      </c>
      <c r="P124" s="44"/>
      <c r="Q124" s="44">
        <v>3852615</v>
      </c>
      <c r="R124" s="44"/>
      <c r="S124" s="44">
        <v>0</v>
      </c>
      <c r="T124" s="44"/>
      <c r="U124" s="44">
        <v>216768</v>
      </c>
      <c r="V124" s="44"/>
      <c r="W124" s="44">
        <f t="shared" si="2"/>
        <v>10474208</v>
      </c>
      <c r="X124" s="44"/>
      <c r="Y124" s="44">
        <v>18748195</v>
      </c>
      <c r="Z124" s="44"/>
      <c r="AA124" s="44">
        <f>+'Stmt net assets'!Y123</f>
        <v>18323839</v>
      </c>
      <c r="AB124" s="44"/>
      <c r="AC124" s="44">
        <f>+Y124+'Stmt of activities-GA rev'!AC125-'Stmt of activities-GAexp'!W124-AA124</f>
        <v>0</v>
      </c>
    </row>
    <row r="125" spans="1:29" s="47" customFormat="1" ht="12.75" customHeight="1">
      <c r="A125" s="47" t="s">
        <v>150</v>
      </c>
      <c r="B125" s="51"/>
      <c r="C125" s="47" t="s">
        <v>27</v>
      </c>
      <c r="E125" s="44">
        <v>8417169</v>
      </c>
      <c r="F125" s="44"/>
      <c r="G125" s="44">
        <v>55004</v>
      </c>
      <c r="H125" s="44"/>
      <c r="I125" s="44">
        <v>1334711</v>
      </c>
      <c r="J125" s="44"/>
      <c r="K125" s="44">
        <v>625720</v>
      </c>
      <c r="L125" s="44"/>
      <c r="M125" s="44">
        <v>422306</v>
      </c>
      <c r="N125" s="44"/>
      <c r="O125" s="44">
        <v>3229880</v>
      </c>
      <c r="P125" s="44"/>
      <c r="Q125" s="44">
        <v>4582416</v>
      </c>
      <c r="R125" s="44"/>
      <c r="S125" s="44">
        <v>0</v>
      </c>
      <c r="T125" s="44"/>
      <c r="U125" s="44">
        <v>127770</v>
      </c>
      <c r="V125" s="44"/>
      <c r="W125" s="44">
        <f t="shared" si="2"/>
        <v>18794976</v>
      </c>
      <c r="X125" s="44"/>
      <c r="Y125" s="44">
        <v>95809046</v>
      </c>
      <c r="Z125" s="44"/>
      <c r="AA125" s="44">
        <f>+'Stmt net assets'!Y124</f>
        <v>95912693</v>
      </c>
      <c r="AB125" s="44"/>
      <c r="AC125" s="44">
        <f>+Y125+'Stmt of activities-GA rev'!AC126-'Stmt of activities-GAexp'!W125-AA125</f>
        <v>0</v>
      </c>
    </row>
    <row r="126" spans="1:29" s="47" customFormat="1" ht="12.75" customHeight="1">
      <c r="A126" s="47" t="s">
        <v>151</v>
      </c>
      <c r="B126" s="51"/>
      <c r="C126" s="47" t="s">
        <v>13</v>
      </c>
      <c r="E126" s="44">
        <v>5133323</v>
      </c>
      <c r="F126" s="44"/>
      <c r="G126" s="44">
        <v>199031</v>
      </c>
      <c r="H126" s="44"/>
      <c r="I126" s="44">
        <v>1465785</v>
      </c>
      <c r="J126" s="44"/>
      <c r="K126" s="44">
        <v>506544</v>
      </c>
      <c r="L126" s="44"/>
      <c r="M126" s="44">
        <v>384407</v>
      </c>
      <c r="N126" s="44"/>
      <c r="O126" s="44">
        <v>258416</v>
      </c>
      <c r="P126" s="44"/>
      <c r="Q126" s="44">
        <v>3221817</v>
      </c>
      <c r="R126" s="44"/>
      <c r="S126" s="44">
        <v>0</v>
      </c>
      <c r="T126" s="44"/>
      <c r="U126" s="44">
        <v>503650</v>
      </c>
      <c r="V126" s="44"/>
      <c r="W126" s="44">
        <f t="shared" si="2"/>
        <v>11672973</v>
      </c>
      <c r="X126" s="44"/>
      <c r="Y126" s="44">
        <v>32150263</v>
      </c>
      <c r="Z126" s="44"/>
      <c r="AA126" s="44">
        <f>+'Stmt net assets'!Y125</f>
        <v>37423035</v>
      </c>
      <c r="AB126" s="44"/>
      <c r="AC126" s="44">
        <f>+Y126+'Stmt of activities-GA rev'!AC127-'Stmt of activities-GAexp'!W126-AA126</f>
        <v>0</v>
      </c>
    </row>
    <row r="127" spans="1:29" s="47" customFormat="1" ht="12.75" customHeight="1">
      <c r="A127" s="47" t="s">
        <v>482</v>
      </c>
      <c r="B127" s="51"/>
      <c r="C127" s="47" t="s">
        <v>45</v>
      </c>
      <c r="E127" s="44">
        <v>2853055</v>
      </c>
      <c r="F127" s="44"/>
      <c r="G127" s="44">
        <v>0</v>
      </c>
      <c r="H127" s="44"/>
      <c r="I127" s="44">
        <v>250342</v>
      </c>
      <c r="J127" s="44"/>
      <c r="K127" s="44">
        <v>129955</v>
      </c>
      <c r="L127" s="44"/>
      <c r="M127" s="44">
        <v>787918</v>
      </c>
      <c r="N127" s="44"/>
      <c r="O127" s="44">
        <v>502338</v>
      </c>
      <c r="P127" s="44"/>
      <c r="Q127" s="44">
        <v>989918</v>
      </c>
      <c r="R127" s="44"/>
      <c r="S127" s="44">
        <v>0</v>
      </c>
      <c r="T127" s="44"/>
      <c r="U127" s="44">
        <v>48845</v>
      </c>
      <c r="V127" s="44"/>
      <c r="W127" s="44">
        <f t="shared" si="2"/>
        <v>5562371</v>
      </c>
      <c r="X127" s="44"/>
      <c r="Y127" s="44">
        <v>5958413</v>
      </c>
      <c r="Z127" s="44"/>
      <c r="AA127" s="44">
        <f>+'Stmt net assets'!Y126</f>
        <v>7239666</v>
      </c>
      <c r="AB127" s="44"/>
      <c r="AC127" s="44">
        <f>+Y127+'Stmt of activities-GA rev'!AC128-'Stmt of activities-GAexp'!W127-AA127</f>
        <v>0</v>
      </c>
    </row>
    <row r="128" spans="1:29" s="47" customFormat="1" ht="12.75" customHeight="1">
      <c r="A128" s="47" t="s">
        <v>152</v>
      </c>
      <c r="B128" s="51"/>
      <c r="C128" s="47" t="s">
        <v>153</v>
      </c>
      <c r="E128" s="44">
        <v>27231624</v>
      </c>
      <c r="F128" s="44"/>
      <c r="G128" s="44">
        <v>141884</v>
      </c>
      <c r="H128" s="44"/>
      <c r="I128" s="44">
        <v>1231940</v>
      </c>
      <c r="J128" s="44"/>
      <c r="K128" s="44">
        <v>1829654</v>
      </c>
      <c r="L128" s="44"/>
      <c r="M128" s="44">
        <v>12695342</v>
      </c>
      <c r="N128" s="44"/>
      <c r="O128" s="44">
        <v>0</v>
      </c>
      <c r="P128" s="44"/>
      <c r="Q128" s="44">
        <v>9278220</v>
      </c>
      <c r="R128" s="44"/>
      <c r="S128" s="44">
        <v>0</v>
      </c>
      <c r="T128" s="44"/>
      <c r="U128" s="44">
        <v>242973</v>
      </c>
      <c r="V128" s="44"/>
      <c r="W128" s="44">
        <f t="shared" si="2"/>
        <v>52651637</v>
      </c>
      <c r="X128" s="44"/>
      <c r="Y128" s="44">
        <v>62804202</v>
      </c>
      <c r="Z128" s="44"/>
      <c r="AA128" s="44">
        <f>+'Stmt net assets'!Y127</f>
        <v>61533144</v>
      </c>
      <c r="AB128" s="44"/>
      <c r="AC128" s="44">
        <f>+Y128+'Stmt of activities-GA rev'!AC129-'Stmt of activities-GAexp'!W128-AA128</f>
        <v>0</v>
      </c>
    </row>
    <row r="129" spans="1:29" s="138" customFormat="1" ht="12.75" hidden="1" customHeight="1">
      <c r="A129" s="138" t="s">
        <v>154</v>
      </c>
      <c r="B129" s="140"/>
      <c r="C129" s="138" t="s">
        <v>27</v>
      </c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>
        <f t="shared" si="2"/>
        <v>0</v>
      </c>
      <c r="X129" s="137"/>
      <c r="Y129" s="137"/>
      <c r="Z129" s="137"/>
      <c r="AA129" s="137">
        <f>+'Stmt net assets'!Y128</f>
        <v>0</v>
      </c>
      <c r="AB129" s="137"/>
      <c r="AC129" s="44">
        <f>+Y129+'Stmt of activities-GA rev'!AC130-'Stmt of activities-GAexp'!W129-AA129</f>
        <v>0</v>
      </c>
    </row>
    <row r="130" spans="1:29" s="47" customFormat="1" ht="12.75" customHeight="1">
      <c r="A130" s="47" t="s">
        <v>155</v>
      </c>
      <c r="B130" s="51"/>
      <c r="C130" s="47" t="s">
        <v>40</v>
      </c>
      <c r="E130" s="44">
        <f>3010509+3160582</f>
        <v>6171091</v>
      </c>
      <c r="F130" s="44"/>
      <c r="G130" s="44">
        <v>861847</v>
      </c>
      <c r="H130" s="44"/>
      <c r="I130" s="44">
        <v>627009</v>
      </c>
      <c r="J130" s="44"/>
      <c r="K130" s="44">
        <v>589387</v>
      </c>
      <c r="L130" s="44"/>
      <c r="M130" s="44">
        <f>2653434+27274</f>
        <v>2680708</v>
      </c>
      <c r="N130" s="44"/>
      <c r="O130" s="44">
        <v>0</v>
      </c>
      <c r="P130" s="44"/>
      <c r="Q130" s="44">
        <f>3515803+1013344</f>
        <v>4529147</v>
      </c>
      <c r="R130" s="44"/>
      <c r="S130" s="44">
        <v>1914575</v>
      </c>
      <c r="T130" s="44"/>
      <c r="U130" s="44">
        <v>50713</v>
      </c>
      <c r="V130" s="44"/>
      <c r="W130" s="44">
        <f t="shared" si="2"/>
        <v>17424477</v>
      </c>
      <c r="X130" s="44"/>
      <c r="Y130" s="44">
        <v>28660021</v>
      </c>
      <c r="Z130" s="44"/>
      <c r="AA130" s="44">
        <f>+'Stmt net assets'!Y129</f>
        <v>29502091</v>
      </c>
      <c r="AB130" s="44"/>
      <c r="AC130" s="44">
        <f>+Y130+'Stmt of activities-GA rev'!AC131-'Stmt of activities-GAexp'!W130-AA130</f>
        <v>0</v>
      </c>
    </row>
    <row r="131" spans="1:29" s="47" customFormat="1" ht="12.75" customHeight="1">
      <c r="A131" s="47" t="s">
        <v>156</v>
      </c>
      <c r="B131" s="51"/>
      <c r="C131" s="47" t="s">
        <v>156</v>
      </c>
      <c r="E131" s="44">
        <v>13133723</v>
      </c>
      <c r="F131" s="44"/>
      <c r="G131" s="44">
        <v>1169331</v>
      </c>
      <c r="H131" s="44"/>
      <c r="I131" s="44">
        <v>1401953</v>
      </c>
      <c r="J131" s="44"/>
      <c r="K131" s="44">
        <v>729756</v>
      </c>
      <c r="L131" s="44"/>
      <c r="M131" s="44">
        <v>6216734</v>
      </c>
      <c r="N131" s="44"/>
      <c r="O131" s="44">
        <v>0</v>
      </c>
      <c r="P131" s="44"/>
      <c r="Q131" s="44">
        <v>4148279</v>
      </c>
      <c r="R131" s="44"/>
      <c r="S131" s="44">
        <v>0</v>
      </c>
      <c r="T131" s="44"/>
      <c r="U131" s="44">
        <v>215063</v>
      </c>
      <c r="V131" s="44"/>
      <c r="W131" s="44">
        <f t="shared" si="2"/>
        <v>27014839</v>
      </c>
      <c r="X131" s="44"/>
      <c r="Y131" s="44">
        <v>61901181</v>
      </c>
      <c r="Z131" s="44"/>
      <c r="AA131" s="44">
        <f>+'Stmt net assets'!Y130</f>
        <v>62160819</v>
      </c>
      <c r="AB131" s="44"/>
      <c r="AC131" s="44">
        <f>+Y131+'Stmt of activities-GA rev'!AC132-'Stmt of activities-GAexp'!W131-AA131</f>
        <v>0</v>
      </c>
    </row>
    <row r="132" spans="1:29" s="47" customFormat="1" ht="12.75" customHeight="1">
      <c r="A132" s="47" t="s">
        <v>157</v>
      </c>
      <c r="B132" s="51"/>
      <c r="C132" s="47" t="s">
        <v>33</v>
      </c>
      <c r="E132" s="44">
        <v>2257524</v>
      </c>
      <c r="F132" s="44"/>
      <c r="G132" s="44">
        <v>77220</v>
      </c>
      <c r="H132" s="44"/>
      <c r="I132" s="44">
        <v>92841</v>
      </c>
      <c r="J132" s="44"/>
      <c r="K132" s="44">
        <v>301542</v>
      </c>
      <c r="L132" s="44"/>
      <c r="M132" s="44">
        <v>712679</v>
      </c>
      <c r="N132" s="44"/>
      <c r="O132" s="44">
        <v>0</v>
      </c>
      <c r="P132" s="44"/>
      <c r="Q132" s="44">
        <v>594542</v>
      </c>
      <c r="R132" s="44"/>
      <c r="S132" s="44">
        <v>0</v>
      </c>
      <c r="T132" s="44"/>
      <c r="U132" s="44">
        <v>28447</v>
      </c>
      <c r="V132" s="44"/>
      <c r="W132" s="44">
        <f t="shared" si="2"/>
        <v>4064795</v>
      </c>
      <c r="X132" s="44"/>
      <c r="Y132" s="44">
        <v>6969410</v>
      </c>
      <c r="Z132" s="44"/>
      <c r="AA132" s="44">
        <f>+'Stmt net assets'!Y131</f>
        <v>6579956</v>
      </c>
      <c r="AB132" s="44"/>
      <c r="AC132" s="44">
        <f>+Y132+'Stmt of activities-GA rev'!AC133-'Stmt of activities-GAexp'!W132-AA132</f>
        <v>0</v>
      </c>
    </row>
    <row r="133" spans="1:29" s="47" customFormat="1" ht="12.75" customHeight="1">
      <c r="A133" s="47" t="s">
        <v>158</v>
      </c>
      <c r="B133" s="51"/>
      <c r="C133" s="47" t="s">
        <v>159</v>
      </c>
      <c r="E133" s="44">
        <v>6996140</v>
      </c>
      <c r="F133" s="44"/>
      <c r="G133" s="44">
        <v>524249</v>
      </c>
      <c r="H133" s="44"/>
      <c r="I133" s="44">
        <v>372573</v>
      </c>
      <c r="J133" s="44"/>
      <c r="K133" s="44">
        <v>1000616</v>
      </c>
      <c r="L133" s="44"/>
      <c r="M133" s="44">
        <v>2962282</v>
      </c>
      <c r="N133" s="44"/>
      <c r="O133" s="44">
        <v>0</v>
      </c>
      <c r="P133" s="44"/>
      <c r="Q133" s="44">
        <v>2520151</v>
      </c>
      <c r="R133" s="44"/>
      <c r="S133" s="44">
        <v>0</v>
      </c>
      <c r="T133" s="44"/>
      <c r="U133" s="44">
        <v>1492372</v>
      </c>
      <c r="V133" s="44"/>
      <c r="W133" s="44">
        <f t="shared" si="2"/>
        <v>15868383</v>
      </c>
      <c r="X133" s="44"/>
      <c r="Y133" s="44">
        <v>30683774</v>
      </c>
      <c r="Z133" s="44"/>
      <c r="AA133" s="44">
        <f>+'Stmt net assets'!Y132</f>
        <v>30525673</v>
      </c>
      <c r="AB133" s="44"/>
      <c r="AC133" s="44">
        <f>+Y133+'Stmt of activities-GA rev'!AC134-'Stmt of activities-GAexp'!W133-AA133</f>
        <v>0</v>
      </c>
    </row>
    <row r="134" spans="1:29" s="47" customFormat="1" ht="12.75" customHeight="1">
      <c r="B134" s="51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8" t="s">
        <v>485</v>
      </c>
      <c r="AB134" s="44"/>
      <c r="AC134" s="44"/>
    </row>
    <row r="135" spans="1:29" s="46" customFormat="1" ht="12.75" customHeight="1">
      <c r="A135" s="46" t="s">
        <v>160</v>
      </c>
      <c r="B135" s="66"/>
      <c r="C135" s="46" t="s">
        <v>111</v>
      </c>
      <c r="E135" s="46">
        <v>12057909</v>
      </c>
      <c r="G135" s="46">
        <v>0</v>
      </c>
      <c r="I135" s="46">
        <v>2643993</v>
      </c>
      <c r="K135" s="46">
        <v>1690262</v>
      </c>
      <c r="M135" s="46">
        <v>6688077</v>
      </c>
      <c r="O135" s="46">
        <v>252588</v>
      </c>
      <c r="Q135" s="46">
        <v>8820685</v>
      </c>
      <c r="S135" s="46">
        <v>0</v>
      </c>
      <c r="U135" s="46">
        <v>2238341</v>
      </c>
      <c r="W135" s="46">
        <f t="shared" si="2"/>
        <v>34391855</v>
      </c>
      <c r="Y135" s="46">
        <v>145771676</v>
      </c>
      <c r="AA135" s="46">
        <f>+'Stmt net assets'!Y134</f>
        <v>154338721</v>
      </c>
      <c r="AC135" s="46">
        <f>+Y135+'Stmt of activities-GA rev'!AC136-'Stmt of activities-GAexp'!W135-AA135</f>
        <v>0</v>
      </c>
    </row>
    <row r="136" spans="1:29" s="47" customFormat="1" ht="12.75" customHeight="1">
      <c r="A136" s="47" t="s">
        <v>161</v>
      </c>
      <c r="B136" s="51"/>
      <c r="C136" s="47" t="s">
        <v>15</v>
      </c>
      <c r="E136" s="44">
        <v>9640662</v>
      </c>
      <c r="F136" s="44"/>
      <c r="G136" s="44">
        <v>598937</v>
      </c>
      <c r="H136" s="44"/>
      <c r="I136" s="44">
        <v>3120281</v>
      </c>
      <c r="J136" s="44"/>
      <c r="K136" s="44">
        <v>1019211</v>
      </c>
      <c r="L136" s="44"/>
      <c r="M136" s="44">
        <v>3652323</v>
      </c>
      <c r="N136" s="44"/>
      <c r="O136" s="44">
        <v>104718</v>
      </c>
      <c r="P136" s="44"/>
      <c r="Q136" s="44">
        <v>5911744</v>
      </c>
      <c r="R136" s="44"/>
      <c r="S136" s="44">
        <v>598175</v>
      </c>
      <c r="T136" s="44"/>
      <c r="U136" s="44">
        <v>1350141</v>
      </c>
      <c r="V136" s="44"/>
      <c r="W136" s="44">
        <f t="shared" si="2"/>
        <v>25996192</v>
      </c>
      <c r="X136" s="44"/>
      <c r="Y136" s="44">
        <v>26531535</v>
      </c>
      <c r="Z136" s="44"/>
      <c r="AA136" s="44">
        <f>+'Stmt net assets'!Y135</f>
        <v>26731879</v>
      </c>
      <c r="AB136" s="44"/>
      <c r="AC136" s="44">
        <f>+Y136+'Stmt of activities-GA rev'!AC137-'Stmt of activities-GAexp'!W136-AA136</f>
        <v>0</v>
      </c>
    </row>
    <row r="137" spans="1:29" s="47" customFormat="1" ht="12.75" customHeight="1">
      <c r="A137" s="47" t="s">
        <v>162</v>
      </c>
      <c r="B137" s="51"/>
      <c r="C137" s="47" t="s">
        <v>163</v>
      </c>
      <c r="E137" s="44">
        <v>10439543</v>
      </c>
      <c r="F137" s="44"/>
      <c r="G137" s="44">
        <v>178810</v>
      </c>
      <c r="H137" s="44"/>
      <c r="I137" s="44">
        <v>2604989</v>
      </c>
      <c r="J137" s="44"/>
      <c r="K137" s="44">
        <v>928646</v>
      </c>
      <c r="L137" s="44"/>
      <c r="M137" s="44">
        <v>3359247</v>
      </c>
      <c r="N137" s="44"/>
      <c r="O137" s="44">
        <v>1532995</v>
      </c>
      <c r="P137" s="44"/>
      <c r="Q137" s="44">
        <v>5075066</v>
      </c>
      <c r="R137" s="44"/>
      <c r="S137" s="44">
        <v>0</v>
      </c>
      <c r="T137" s="44"/>
      <c r="U137" s="44">
        <v>1124575</v>
      </c>
      <c r="V137" s="44"/>
      <c r="W137" s="44">
        <f t="shared" si="2"/>
        <v>25243871</v>
      </c>
      <c r="X137" s="44"/>
      <c r="Y137" s="44">
        <v>80388717</v>
      </c>
      <c r="Z137" s="44"/>
      <c r="AA137" s="44">
        <f>+'Stmt net assets'!Y136</f>
        <v>83859001</v>
      </c>
      <c r="AB137" s="44"/>
      <c r="AC137" s="44">
        <f>+Y137+'Stmt of activities-GA rev'!AC138-'Stmt of activities-GAexp'!W137-AA137</f>
        <v>0</v>
      </c>
    </row>
    <row r="138" spans="1:29" s="47" customFormat="1" ht="12.75" customHeight="1">
      <c r="A138" s="47" t="s">
        <v>164</v>
      </c>
      <c r="B138" s="51"/>
      <c r="C138" s="47" t="s">
        <v>27</v>
      </c>
      <c r="E138" s="44">
        <v>10281140</v>
      </c>
      <c r="F138" s="44"/>
      <c r="G138" s="44">
        <v>332563</v>
      </c>
      <c r="H138" s="44"/>
      <c r="I138" s="44">
        <v>1579932</v>
      </c>
      <c r="J138" s="44"/>
      <c r="K138" s="44">
        <v>898880</v>
      </c>
      <c r="L138" s="44"/>
      <c r="M138" s="44">
        <v>4789313</v>
      </c>
      <c r="N138" s="44"/>
      <c r="O138" s="44">
        <v>1225830</v>
      </c>
      <c r="P138" s="44"/>
      <c r="Q138" s="44">
        <v>2380259</v>
      </c>
      <c r="R138" s="44"/>
      <c r="S138" s="44">
        <v>0</v>
      </c>
      <c r="T138" s="44"/>
      <c r="U138" s="44">
        <v>301207</v>
      </c>
      <c r="V138" s="44"/>
      <c r="W138" s="44">
        <f t="shared" si="2"/>
        <v>21789124</v>
      </c>
      <c r="X138" s="44"/>
      <c r="Y138" s="44">
        <v>47250861</v>
      </c>
      <c r="Z138" s="44"/>
      <c r="AA138" s="44">
        <f>+'Stmt net assets'!Y137</f>
        <v>51348261</v>
      </c>
      <c r="AB138" s="44"/>
      <c r="AC138" s="44">
        <f>+Y138+'Stmt of activities-GA rev'!AC139-'Stmt of activities-GAexp'!W138-AA138</f>
        <v>0</v>
      </c>
    </row>
    <row r="139" spans="1:29" s="47" customFormat="1" ht="12.75" customHeight="1">
      <c r="A139" s="47" t="s">
        <v>53</v>
      </c>
      <c r="B139" s="51"/>
      <c r="C139" s="47" t="s">
        <v>53</v>
      </c>
      <c r="E139" s="44">
        <v>6883360</v>
      </c>
      <c r="F139" s="44"/>
      <c r="G139" s="44">
        <v>148402</v>
      </c>
      <c r="H139" s="44"/>
      <c r="I139" s="44">
        <v>697722</v>
      </c>
      <c r="J139" s="44"/>
      <c r="K139" s="44">
        <v>888567</v>
      </c>
      <c r="L139" s="44"/>
      <c r="M139" s="44">
        <v>3161731</v>
      </c>
      <c r="N139" s="44"/>
      <c r="O139" s="44">
        <v>62520</v>
      </c>
      <c r="P139" s="44"/>
      <c r="Q139" s="44">
        <v>5995288</v>
      </c>
      <c r="R139" s="44"/>
      <c r="S139" s="44">
        <v>0</v>
      </c>
      <c r="T139" s="44"/>
      <c r="U139" s="44">
        <v>129566</v>
      </c>
      <c r="V139" s="44"/>
      <c r="W139" s="44">
        <f t="shared" si="2"/>
        <v>17967156</v>
      </c>
      <c r="X139" s="44"/>
      <c r="Y139" s="44">
        <v>43133549</v>
      </c>
      <c r="Z139" s="44"/>
      <c r="AA139" s="44">
        <f>+'Stmt net assets'!Y138</f>
        <v>48956778</v>
      </c>
      <c r="AB139" s="44"/>
      <c r="AC139" s="44">
        <f>+Y139+'Stmt of activities-GA rev'!AC140-'Stmt of activities-GAexp'!W139-AA139</f>
        <v>0</v>
      </c>
    </row>
    <row r="140" spans="1:29" s="47" customFormat="1" ht="12.75" customHeight="1">
      <c r="A140" s="47" t="s">
        <v>165</v>
      </c>
      <c r="B140" s="51"/>
      <c r="C140" s="47" t="s">
        <v>92</v>
      </c>
      <c r="E140" s="44">
        <v>22773525</v>
      </c>
      <c r="F140" s="44"/>
      <c r="G140" s="44">
        <v>0</v>
      </c>
      <c r="H140" s="44"/>
      <c r="I140" s="44">
        <v>9225254</v>
      </c>
      <c r="J140" s="44"/>
      <c r="K140" s="44">
        <v>3952351</v>
      </c>
      <c r="L140" s="44"/>
      <c r="M140" s="44">
        <v>13482845</v>
      </c>
      <c r="N140" s="44"/>
      <c r="O140" s="44">
        <v>0</v>
      </c>
      <c r="P140" s="44"/>
      <c r="Q140" s="44">
        <v>7300405</v>
      </c>
      <c r="R140" s="44"/>
      <c r="S140" s="44">
        <v>0</v>
      </c>
      <c r="T140" s="44"/>
      <c r="U140" s="44">
        <v>1538100</v>
      </c>
      <c r="V140" s="44"/>
      <c r="W140" s="44">
        <f t="shared" si="2"/>
        <v>58272480</v>
      </c>
      <c r="X140" s="44"/>
      <c r="Y140" s="44">
        <v>181378772</v>
      </c>
      <c r="Z140" s="44"/>
      <c r="AA140" s="44">
        <f>+'Stmt net assets'!Y139</f>
        <v>183354812</v>
      </c>
      <c r="AB140" s="44"/>
      <c r="AC140" s="44">
        <f>+Y140+'Stmt of activities-GA rev'!AC141-'Stmt of activities-GAexp'!W140-AA140</f>
        <v>0</v>
      </c>
    </row>
    <row r="141" spans="1:29" s="47" customFormat="1" ht="12.75" customHeight="1">
      <c r="A141" s="47" t="s">
        <v>166</v>
      </c>
      <c r="B141" s="51"/>
      <c r="C141" s="47" t="s">
        <v>92</v>
      </c>
      <c r="E141" s="44">
        <v>2388315</v>
      </c>
      <c r="F141" s="44"/>
      <c r="G141" s="44">
        <v>65819</v>
      </c>
      <c r="H141" s="44"/>
      <c r="I141" s="44">
        <v>54358</v>
      </c>
      <c r="J141" s="44"/>
      <c r="K141" s="44">
        <v>0</v>
      </c>
      <c r="L141" s="44"/>
      <c r="M141" s="44">
        <v>605399</v>
      </c>
      <c r="N141" s="44"/>
      <c r="O141" s="44">
        <v>285393</v>
      </c>
      <c r="P141" s="44"/>
      <c r="Q141" s="44">
        <v>629162</v>
      </c>
      <c r="R141" s="44"/>
      <c r="S141" s="44">
        <v>2318</v>
      </c>
      <c r="T141" s="44"/>
      <c r="U141" s="44">
        <v>40060</v>
      </c>
      <c r="V141" s="44"/>
      <c r="W141" s="44">
        <f t="shared" si="2"/>
        <v>4070824</v>
      </c>
      <c r="X141" s="44"/>
      <c r="Y141" s="44">
        <v>3531832</v>
      </c>
      <c r="Z141" s="44"/>
      <c r="AA141" s="44">
        <f>+'Stmt net assets'!Y140</f>
        <v>4158107</v>
      </c>
      <c r="AB141" s="44"/>
      <c r="AC141" s="44">
        <f>+Y141+'Stmt of activities-GA rev'!AC142-'Stmt of activities-GAexp'!W141-AA141</f>
        <v>0</v>
      </c>
    </row>
    <row r="142" spans="1:29" s="47" customFormat="1" ht="12.75" customHeight="1">
      <c r="A142" s="47" t="s">
        <v>167</v>
      </c>
      <c r="B142" s="51"/>
      <c r="C142" s="47" t="s">
        <v>66</v>
      </c>
      <c r="E142" s="44">
        <v>8779507</v>
      </c>
      <c r="F142" s="44"/>
      <c r="G142" s="44">
        <v>3475</v>
      </c>
      <c r="H142" s="44"/>
      <c r="I142" s="44">
        <v>2077411</v>
      </c>
      <c r="J142" s="44"/>
      <c r="K142" s="44">
        <v>916536</v>
      </c>
      <c r="L142" s="44"/>
      <c r="M142" s="44">
        <v>1951024</v>
      </c>
      <c r="N142" s="44"/>
      <c r="O142" s="44">
        <v>868692</v>
      </c>
      <c r="P142" s="44"/>
      <c r="Q142" s="44">
        <v>5297905</v>
      </c>
      <c r="R142" s="44"/>
      <c r="S142" s="44">
        <v>0</v>
      </c>
      <c r="T142" s="44"/>
      <c r="U142" s="44">
        <v>144190</v>
      </c>
      <c r="V142" s="44"/>
      <c r="W142" s="44">
        <f t="shared" si="2"/>
        <v>20038740</v>
      </c>
      <c r="X142" s="44"/>
      <c r="Y142" s="44">
        <v>44560752</v>
      </c>
      <c r="Z142" s="44"/>
      <c r="AA142" s="44">
        <f>+'Stmt net assets'!Y141</f>
        <v>46040737</v>
      </c>
      <c r="AB142" s="44"/>
      <c r="AC142" s="44">
        <f>+Y142+'Stmt of activities-GA rev'!AC143-'Stmt of activities-GAexp'!W142-AA142</f>
        <v>0</v>
      </c>
    </row>
    <row r="143" spans="1:29" s="47" customFormat="1" ht="12.75" customHeight="1">
      <c r="A143" s="44" t="s">
        <v>168</v>
      </c>
      <c r="B143" s="51"/>
      <c r="C143" s="44" t="s">
        <v>27</v>
      </c>
      <c r="E143" s="44">
        <v>8083872</v>
      </c>
      <c r="F143" s="44"/>
      <c r="G143" s="44">
        <v>263939</v>
      </c>
      <c r="H143" s="44"/>
      <c r="I143" s="44">
        <v>3159631</v>
      </c>
      <c r="J143" s="44"/>
      <c r="K143" s="44">
        <v>809582</v>
      </c>
      <c r="L143" s="44"/>
      <c r="M143" s="44">
        <v>2679466</v>
      </c>
      <c r="N143" s="44"/>
      <c r="O143" s="44">
        <v>948598</v>
      </c>
      <c r="P143" s="44"/>
      <c r="Q143" s="44">
        <v>6871475</v>
      </c>
      <c r="R143" s="44"/>
      <c r="S143" s="44">
        <v>0</v>
      </c>
      <c r="T143" s="44"/>
      <c r="U143" s="44">
        <v>836386</v>
      </c>
      <c r="V143" s="44"/>
      <c r="W143" s="44">
        <f t="shared" si="2"/>
        <v>23652949</v>
      </c>
      <c r="X143" s="44"/>
      <c r="Y143" s="44">
        <v>42809365</v>
      </c>
      <c r="Z143" s="44"/>
      <c r="AA143" s="44">
        <f>+'Stmt net assets'!Y142</f>
        <v>43895159</v>
      </c>
      <c r="AB143" s="44"/>
      <c r="AC143" s="44">
        <f>+Y143+'Stmt of activities-GA rev'!AC144-'Stmt of activities-GAexp'!W143-AA143</f>
        <v>0</v>
      </c>
    </row>
    <row r="144" spans="1:29" s="47" customFormat="1" ht="12.75" customHeight="1">
      <c r="A144" s="47" t="s">
        <v>169</v>
      </c>
      <c r="B144" s="51"/>
      <c r="C144" s="47" t="s">
        <v>103</v>
      </c>
      <c r="E144" s="44">
        <v>23497908</v>
      </c>
      <c r="F144" s="44"/>
      <c r="G144" s="44">
        <v>1031292</v>
      </c>
      <c r="H144" s="44"/>
      <c r="I144" s="44">
        <v>1564970</v>
      </c>
      <c r="J144" s="44"/>
      <c r="K144" s="44">
        <v>11735786</v>
      </c>
      <c r="L144" s="44"/>
      <c r="M144" s="44">
        <v>8890452</v>
      </c>
      <c r="N144" s="44"/>
      <c r="O144" s="44">
        <v>0</v>
      </c>
      <c r="P144" s="44"/>
      <c r="Q144" s="44">
        <v>4232858</v>
      </c>
      <c r="R144" s="44"/>
      <c r="S144" s="44">
        <v>1427497</v>
      </c>
      <c r="T144" s="44"/>
      <c r="U144" s="44">
        <v>1497226</v>
      </c>
      <c r="V144" s="44"/>
      <c r="W144" s="44">
        <f t="shared" si="2"/>
        <v>53877989</v>
      </c>
      <c r="X144" s="44"/>
      <c r="Y144" s="44">
        <v>94816762</v>
      </c>
      <c r="Z144" s="44"/>
      <c r="AA144" s="44">
        <f>+'Stmt net assets'!Y143</f>
        <v>93527616</v>
      </c>
      <c r="AB144" s="44"/>
      <c r="AC144" s="44">
        <f>+Y144+'Stmt of activities-GA rev'!AC145-'Stmt of activities-GAexp'!W144-AA144</f>
        <v>0</v>
      </c>
    </row>
    <row r="145" spans="1:29" s="47" customFormat="1" ht="12.75" customHeight="1">
      <c r="A145" s="47" t="s">
        <v>170</v>
      </c>
      <c r="B145" s="51"/>
      <c r="C145" s="47" t="s">
        <v>171</v>
      </c>
      <c r="E145" s="44">
        <v>3686561</v>
      </c>
      <c r="F145" s="44"/>
      <c r="G145" s="44">
        <v>500241</v>
      </c>
      <c r="H145" s="44"/>
      <c r="I145" s="44">
        <v>377140</v>
      </c>
      <c r="J145" s="44"/>
      <c r="K145" s="44">
        <v>0</v>
      </c>
      <c r="L145" s="44"/>
      <c r="M145" s="44">
        <v>335747</v>
      </c>
      <c r="N145" s="44"/>
      <c r="O145" s="44">
        <v>636523</v>
      </c>
      <c r="P145" s="44"/>
      <c r="Q145" s="44">
        <v>1373930</v>
      </c>
      <c r="R145" s="44"/>
      <c r="S145" s="44">
        <v>27879</v>
      </c>
      <c r="T145" s="44"/>
      <c r="U145" s="44">
        <v>218333</v>
      </c>
      <c r="V145" s="44"/>
      <c r="W145" s="44">
        <f t="shared" si="2"/>
        <v>7156354</v>
      </c>
      <c r="X145" s="44"/>
      <c r="Y145" s="44">
        <v>8915584</v>
      </c>
      <c r="Z145" s="44"/>
      <c r="AA145" s="44">
        <f>+'Stmt net assets'!Y144</f>
        <v>9762015</v>
      </c>
      <c r="AB145" s="44"/>
      <c r="AC145" s="44">
        <f>+Y145+'Stmt of activities-GA rev'!AC146-'Stmt of activities-GAexp'!W145-AA145</f>
        <v>0</v>
      </c>
    </row>
    <row r="146" spans="1:29" s="47" customFormat="1" ht="12.75" customHeight="1">
      <c r="A146" s="47" t="s">
        <v>172</v>
      </c>
      <c r="B146" s="51"/>
      <c r="C146" s="47" t="s">
        <v>103</v>
      </c>
      <c r="E146" s="44">
        <v>5969482</v>
      </c>
      <c r="F146" s="44"/>
      <c r="G146" s="44">
        <v>157668</v>
      </c>
      <c r="H146" s="44"/>
      <c r="I146" s="44">
        <v>6766</v>
      </c>
      <c r="J146" s="44"/>
      <c r="K146" s="44">
        <v>0</v>
      </c>
      <c r="L146" s="44"/>
      <c r="M146" s="44">
        <v>2208735</v>
      </c>
      <c r="N146" s="44"/>
      <c r="O146" s="44">
        <v>0</v>
      </c>
      <c r="P146" s="44"/>
      <c r="Q146" s="44">
        <v>1675987</v>
      </c>
      <c r="R146" s="44"/>
      <c r="S146" s="44">
        <v>228317</v>
      </c>
      <c r="T146" s="44"/>
      <c r="U146" s="44">
        <v>1003232</v>
      </c>
      <c r="V146" s="44"/>
      <c r="W146" s="44">
        <f t="shared" si="2"/>
        <v>11250187</v>
      </c>
      <c r="X146" s="44"/>
      <c r="Y146" s="44">
        <v>44602408</v>
      </c>
      <c r="Z146" s="44"/>
      <c r="AA146" s="44">
        <f>+'Stmt net assets'!Y145</f>
        <v>46562337</v>
      </c>
      <c r="AB146" s="44"/>
      <c r="AC146" s="44">
        <f>+Y146+'Stmt of activities-GA rev'!AC147-'Stmt of activities-GAexp'!W146-AA146</f>
        <v>0</v>
      </c>
    </row>
    <row r="147" spans="1:29" s="47" customFormat="1" ht="12.75" customHeight="1">
      <c r="A147" s="47" t="s">
        <v>66</v>
      </c>
      <c r="B147" s="51"/>
      <c r="C147" s="47" t="s">
        <v>45</v>
      </c>
      <c r="E147" s="44">
        <v>4963698</v>
      </c>
      <c r="F147" s="44"/>
      <c r="G147" s="44">
        <v>0</v>
      </c>
      <c r="H147" s="44"/>
      <c r="I147" s="44">
        <v>1200793</v>
      </c>
      <c r="J147" s="44"/>
      <c r="K147" s="44">
        <v>497739</v>
      </c>
      <c r="L147" s="44"/>
      <c r="M147" s="44">
        <v>0</v>
      </c>
      <c r="N147" s="44"/>
      <c r="O147" s="44">
        <v>2748023</v>
      </c>
      <c r="P147" s="44"/>
      <c r="Q147" s="44">
        <v>3349254</v>
      </c>
      <c r="R147" s="44"/>
      <c r="S147" s="44">
        <v>0</v>
      </c>
      <c r="T147" s="44"/>
      <c r="U147" s="44">
        <v>306573</v>
      </c>
      <c r="V147" s="44"/>
      <c r="W147" s="44">
        <f t="shared" si="2"/>
        <v>13066080</v>
      </c>
      <c r="X147" s="44"/>
      <c r="Y147" s="44">
        <v>56625917</v>
      </c>
      <c r="Z147" s="44"/>
      <c r="AA147" s="44">
        <f>+'Stmt net assets'!Y146</f>
        <v>59501370</v>
      </c>
      <c r="AB147" s="44"/>
      <c r="AC147" s="44">
        <f>+Y147+'Stmt of activities-GA rev'!AC148-'Stmt of activities-GAexp'!W147-AA147</f>
        <v>0</v>
      </c>
    </row>
    <row r="148" spans="1:29" s="47" customFormat="1" ht="12.75" customHeight="1">
      <c r="A148" s="47" t="s">
        <v>173</v>
      </c>
      <c r="B148" s="51"/>
      <c r="C148" s="47" t="s">
        <v>66</v>
      </c>
      <c r="E148" s="44">
        <v>9464073</v>
      </c>
      <c r="F148" s="44"/>
      <c r="G148" s="44">
        <v>143740</v>
      </c>
      <c r="H148" s="44"/>
      <c r="I148" s="44">
        <v>2743499</v>
      </c>
      <c r="J148" s="44"/>
      <c r="K148" s="44">
        <v>282996</v>
      </c>
      <c r="L148" s="44"/>
      <c r="M148" s="44">
        <v>3725382</v>
      </c>
      <c r="N148" s="44"/>
      <c r="O148" s="44">
        <v>339454</v>
      </c>
      <c r="P148" s="44"/>
      <c r="Q148" s="44">
        <v>5093678</v>
      </c>
      <c r="R148" s="44"/>
      <c r="S148" s="44">
        <v>0</v>
      </c>
      <c r="T148" s="44"/>
      <c r="U148" s="44">
        <v>268152</v>
      </c>
      <c r="V148" s="44"/>
      <c r="W148" s="44">
        <f t="shared" ref="W148:W214" si="3">SUM(E148:U148)</f>
        <v>22060974</v>
      </c>
      <c r="X148" s="44"/>
      <c r="Y148" s="44">
        <v>47036354</v>
      </c>
      <c r="Z148" s="44"/>
      <c r="AA148" s="44">
        <f>+'Stmt net assets'!Y147</f>
        <v>50233131</v>
      </c>
      <c r="AB148" s="44"/>
      <c r="AC148" s="44">
        <f>+Y148+'Stmt of activities-GA rev'!AC149-'Stmt of activities-GAexp'!W148-AA148</f>
        <v>0</v>
      </c>
    </row>
    <row r="149" spans="1:29" s="47" customFormat="1" ht="12.75" customHeight="1">
      <c r="A149" s="47" t="s">
        <v>174</v>
      </c>
      <c r="B149" s="51"/>
      <c r="C149" s="47" t="s">
        <v>45</v>
      </c>
      <c r="E149" s="44">
        <v>1865490</v>
      </c>
      <c r="F149" s="44"/>
      <c r="G149" s="44">
        <v>0</v>
      </c>
      <c r="H149" s="44"/>
      <c r="I149" s="44">
        <v>202029</v>
      </c>
      <c r="J149" s="44"/>
      <c r="K149" s="44">
        <v>99046</v>
      </c>
      <c r="L149" s="44"/>
      <c r="M149" s="44">
        <v>479983</v>
      </c>
      <c r="N149" s="44"/>
      <c r="O149" s="44">
        <v>426733</v>
      </c>
      <c r="P149" s="44"/>
      <c r="Q149" s="44">
        <v>606883</v>
      </c>
      <c r="R149" s="44"/>
      <c r="S149" s="44">
        <v>0</v>
      </c>
      <c r="T149" s="44"/>
      <c r="U149" s="44">
        <v>74312</v>
      </c>
      <c r="V149" s="44"/>
      <c r="W149" s="44">
        <f t="shared" si="3"/>
        <v>3754476</v>
      </c>
      <c r="X149" s="44"/>
      <c r="Y149" s="44">
        <v>2579035</v>
      </c>
      <c r="Z149" s="44"/>
      <c r="AA149" s="44">
        <f>+'Stmt net assets'!Y148</f>
        <v>2811111</v>
      </c>
      <c r="AB149" s="44"/>
      <c r="AC149" s="44">
        <f>+Y149+'Stmt of activities-GA rev'!AC150-'Stmt of activities-GAexp'!W149-AA149</f>
        <v>0</v>
      </c>
    </row>
    <row r="150" spans="1:29" s="47" customFormat="1" ht="12.75" customHeight="1">
      <c r="A150" s="47" t="s">
        <v>175</v>
      </c>
      <c r="B150" s="51"/>
      <c r="C150" s="47" t="s">
        <v>176</v>
      </c>
      <c r="E150" s="44">
        <v>5599365</v>
      </c>
      <c r="F150" s="44"/>
      <c r="G150" s="44">
        <v>666167</v>
      </c>
      <c r="H150" s="44"/>
      <c r="I150" s="44">
        <v>777880</v>
      </c>
      <c r="J150" s="44"/>
      <c r="K150" s="44">
        <v>745733</v>
      </c>
      <c r="L150" s="44"/>
      <c r="M150" s="44">
        <v>2097746</v>
      </c>
      <c r="N150" s="44"/>
      <c r="O150" s="44">
        <v>0</v>
      </c>
      <c r="P150" s="44"/>
      <c r="Q150" s="44">
        <v>4627294</v>
      </c>
      <c r="R150" s="44"/>
      <c r="S150" s="44">
        <v>0</v>
      </c>
      <c r="T150" s="44"/>
      <c r="U150" s="44">
        <v>355174</v>
      </c>
      <c r="V150" s="44"/>
      <c r="W150" s="44">
        <f t="shared" si="3"/>
        <v>14869359</v>
      </c>
      <c r="X150" s="44"/>
      <c r="Y150" s="44">
        <v>42293170</v>
      </c>
      <c r="Z150" s="44"/>
      <c r="AA150" s="44">
        <f>+'Stmt net assets'!Y149</f>
        <v>45247900</v>
      </c>
      <c r="AB150" s="44"/>
      <c r="AC150" s="44">
        <f>+Y150+'Stmt of activities-GA rev'!AC151-'Stmt of activities-GAexp'!W150-AA150</f>
        <v>0</v>
      </c>
    </row>
    <row r="151" spans="1:29" s="47" customFormat="1" ht="12.75" customHeight="1">
      <c r="A151" s="47" t="s">
        <v>177</v>
      </c>
      <c r="B151" s="51"/>
      <c r="C151" s="47" t="s">
        <v>13</v>
      </c>
      <c r="E151" s="44">
        <v>1471715</v>
      </c>
      <c r="F151" s="44"/>
      <c r="G151" s="44">
        <v>39042</v>
      </c>
      <c r="H151" s="44"/>
      <c r="I151" s="44">
        <v>32311</v>
      </c>
      <c r="J151" s="44"/>
      <c r="K151" s="44">
        <v>0</v>
      </c>
      <c r="L151" s="44"/>
      <c r="M151" s="44">
        <v>397279</v>
      </c>
      <c r="N151" s="44"/>
      <c r="O151" s="44">
        <v>0</v>
      </c>
      <c r="P151" s="44"/>
      <c r="Q151" s="44">
        <v>834230</v>
      </c>
      <c r="R151" s="44"/>
      <c r="S151" s="44">
        <v>0</v>
      </c>
      <c r="T151" s="44"/>
      <c r="U151" s="44">
        <v>89081</v>
      </c>
      <c r="V151" s="44"/>
      <c r="W151" s="44">
        <f t="shared" si="3"/>
        <v>2863658</v>
      </c>
      <c r="X151" s="44"/>
      <c r="Y151" s="44">
        <v>8045363</v>
      </c>
      <c r="Z151" s="44"/>
      <c r="AA151" s="44">
        <f>+'Stmt net assets'!Y150</f>
        <v>8454441</v>
      </c>
      <c r="AB151" s="44"/>
      <c r="AC151" s="44">
        <f>+Y151+'Stmt of activities-GA rev'!AC152-'Stmt of activities-GAexp'!W151-AA151</f>
        <v>0</v>
      </c>
    </row>
    <row r="152" spans="1:29" s="47" customFormat="1" ht="12.75" customHeight="1">
      <c r="A152" s="47" t="s">
        <v>178</v>
      </c>
      <c r="B152" s="51"/>
      <c r="C152" s="47" t="s">
        <v>179</v>
      </c>
      <c r="E152" s="44">
        <v>3424326</v>
      </c>
      <c r="F152" s="44"/>
      <c r="G152" s="44">
        <v>137358</v>
      </c>
      <c r="H152" s="44"/>
      <c r="I152" s="44">
        <v>885586</v>
      </c>
      <c r="J152" s="44"/>
      <c r="K152" s="44">
        <v>725183</v>
      </c>
      <c r="L152" s="44"/>
      <c r="M152" s="44">
        <v>1364559</v>
      </c>
      <c r="N152" s="44"/>
      <c r="O152" s="44">
        <v>0</v>
      </c>
      <c r="P152" s="44"/>
      <c r="Q152" s="44">
        <v>1067981</v>
      </c>
      <c r="R152" s="44"/>
      <c r="S152" s="44">
        <v>0</v>
      </c>
      <c r="T152" s="44"/>
      <c r="U152" s="44">
        <v>100392</v>
      </c>
      <c r="V152" s="44"/>
      <c r="W152" s="44">
        <f t="shared" si="3"/>
        <v>7705385</v>
      </c>
      <c r="X152" s="44"/>
      <c r="Y152" s="44">
        <v>33428911</v>
      </c>
      <c r="Z152" s="44"/>
      <c r="AA152" s="44">
        <f>+'Stmt net assets'!Y151</f>
        <v>33750337</v>
      </c>
      <c r="AB152" s="44"/>
      <c r="AC152" s="44">
        <f>+Y152+'Stmt of activities-GA rev'!AC153-'Stmt of activities-GAexp'!W152-AA152</f>
        <v>0</v>
      </c>
    </row>
    <row r="153" spans="1:29" s="138" customFormat="1" ht="12.75" hidden="1" customHeight="1">
      <c r="A153" s="138" t="s">
        <v>180</v>
      </c>
      <c r="B153" s="140"/>
      <c r="C153" s="138" t="s">
        <v>20</v>
      </c>
      <c r="E153" s="137">
        <v>0</v>
      </c>
      <c r="F153" s="137"/>
      <c r="G153" s="137">
        <v>0</v>
      </c>
      <c r="H153" s="137"/>
      <c r="I153" s="137">
        <v>0</v>
      </c>
      <c r="J153" s="137"/>
      <c r="K153" s="137">
        <v>0</v>
      </c>
      <c r="L153" s="137"/>
      <c r="M153" s="137">
        <v>0</v>
      </c>
      <c r="N153" s="137"/>
      <c r="O153" s="137">
        <v>0</v>
      </c>
      <c r="P153" s="137"/>
      <c r="Q153" s="137">
        <v>0</v>
      </c>
      <c r="R153" s="137"/>
      <c r="S153" s="137">
        <v>0</v>
      </c>
      <c r="T153" s="137"/>
      <c r="U153" s="137">
        <v>0</v>
      </c>
      <c r="V153" s="137"/>
      <c r="W153" s="137">
        <f t="shared" si="3"/>
        <v>0</v>
      </c>
      <c r="X153" s="137"/>
      <c r="Y153" s="137">
        <v>0</v>
      </c>
      <c r="Z153" s="137"/>
      <c r="AA153" s="137">
        <f>+'Stmt net assets'!Y152</f>
        <v>0</v>
      </c>
      <c r="AB153" s="137"/>
      <c r="AC153" s="44">
        <f>+Y153+'Stmt of activities-GA rev'!AC154-'Stmt of activities-GAexp'!W153-AA153</f>
        <v>0</v>
      </c>
    </row>
    <row r="154" spans="1:29" s="47" customFormat="1" ht="12.75" customHeight="1">
      <c r="A154" s="47" t="s">
        <v>182</v>
      </c>
      <c r="B154" s="51"/>
      <c r="C154" s="47" t="s">
        <v>183</v>
      </c>
      <c r="E154" s="44">
        <v>609869</v>
      </c>
      <c r="F154" s="44"/>
      <c r="G154" s="44">
        <v>682550</v>
      </c>
      <c r="H154" s="44"/>
      <c r="I154" s="44">
        <v>32230</v>
      </c>
      <c r="J154" s="44"/>
      <c r="K154" s="44">
        <v>16937</v>
      </c>
      <c r="L154" s="44"/>
      <c r="M154" s="44">
        <v>366482</v>
      </c>
      <c r="N154" s="44"/>
      <c r="O154" s="44">
        <v>0</v>
      </c>
      <c r="P154" s="44"/>
      <c r="Q154" s="44">
        <v>774775</v>
      </c>
      <c r="R154" s="44"/>
      <c r="S154" s="44">
        <v>0</v>
      </c>
      <c r="T154" s="44"/>
      <c r="U154" s="44">
        <v>164337</v>
      </c>
      <c r="V154" s="44"/>
      <c r="W154" s="44">
        <f t="shared" si="3"/>
        <v>2647180</v>
      </c>
      <c r="X154" s="44"/>
      <c r="Y154" s="44">
        <v>3384621</v>
      </c>
      <c r="Z154" s="44"/>
      <c r="AA154" s="44">
        <f>+'Stmt net assets'!Y153</f>
        <v>3648881</v>
      </c>
      <c r="AB154" s="44"/>
      <c r="AC154" s="44">
        <f>+Y154+'Stmt of activities-GA rev'!AC155-'Stmt of activities-GAexp'!W154-AA154</f>
        <v>0</v>
      </c>
    </row>
    <row r="155" spans="1:29" s="47" customFormat="1" ht="12.75" customHeight="1">
      <c r="A155" s="47" t="s">
        <v>491</v>
      </c>
      <c r="B155" s="51"/>
      <c r="C155" s="47" t="s">
        <v>13</v>
      </c>
      <c r="E155" s="44">
        <v>3641635</v>
      </c>
      <c r="F155" s="44"/>
      <c r="G155" s="44">
        <v>123511</v>
      </c>
      <c r="H155" s="44"/>
      <c r="I155" s="44">
        <v>35465</v>
      </c>
      <c r="J155" s="44"/>
      <c r="K155" s="44">
        <v>114115</v>
      </c>
      <c r="L155" s="44"/>
      <c r="M155" s="44">
        <v>889008</v>
      </c>
      <c r="N155" s="44"/>
      <c r="O155" s="44">
        <v>0</v>
      </c>
      <c r="P155" s="44"/>
      <c r="Q155" s="44">
        <v>971381</v>
      </c>
      <c r="R155" s="44"/>
      <c r="S155" s="44">
        <v>0</v>
      </c>
      <c r="T155" s="44"/>
      <c r="U155" s="44">
        <v>7210</v>
      </c>
      <c r="V155" s="44"/>
      <c r="W155" s="44">
        <f>SUM(E155:U155)</f>
        <v>5782325</v>
      </c>
      <c r="X155" s="44"/>
      <c r="Y155" s="44">
        <v>5491849</v>
      </c>
      <c r="Z155" s="44"/>
      <c r="AA155" s="44">
        <f>+'Stmt net assets'!Y154</f>
        <v>6398894</v>
      </c>
      <c r="AB155" s="44"/>
      <c r="AC155" s="44">
        <f>+Y155+'Stmt of activities-GA rev'!AC156-'Stmt of activities-GAexp'!W155-AA155</f>
        <v>0</v>
      </c>
    </row>
    <row r="156" spans="1:29" s="47" customFormat="1" ht="12.75" customHeight="1">
      <c r="A156" s="47" t="s">
        <v>184</v>
      </c>
      <c r="B156" s="51"/>
      <c r="C156" s="47" t="s">
        <v>89</v>
      </c>
      <c r="E156" s="44">
        <v>4189089</v>
      </c>
      <c r="F156" s="44"/>
      <c r="G156" s="44">
        <v>673419</v>
      </c>
      <c r="H156" s="44"/>
      <c r="I156" s="44">
        <v>929185</v>
      </c>
      <c r="J156" s="44"/>
      <c r="K156" s="44">
        <v>551363</v>
      </c>
      <c r="L156" s="44"/>
      <c r="M156" s="44">
        <v>1556387</v>
      </c>
      <c r="N156" s="44"/>
      <c r="O156" s="44">
        <v>1217526</v>
      </c>
      <c r="P156" s="44"/>
      <c r="Q156" s="44">
        <v>4230004</v>
      </c>
      <c r="R156" s="44"/>
      <c r="S156" s="44">
        <v>0</v>
      </c>
      <c r="T156" s="44"/>
      <c r="U156" s="44">
        <v>143833</v>
      </c>
      <c r="V156" s="44"/>
      <c r="W156" s="44">
        <f t="shared" si="3"/>
        <v>13490806</v>
      </c>
      <c r="X156" s="44"/>
      <c r="Y156" s="44">
        <v>28970336</v>
      </c>
      <c r="Z156" s="44"/>
      <c r="AA156" s="44">
        <f>+'Stmt net assets'!Y155</f>
        <v>31334346</v>
      </c>
      <c r="AB156" s="44"/>
      <c r="AC156" s="44">
        <f>+Y156+'Stmt of activities-GA rev'!AC157-'Stmt of activities-GAexp'!W156-AA156</f>
        <v>0</v>
      </c>
    </row>
    <row r="157" spans="1:29" s="47" customFormat="1" ht="12.75" customHeight="1">
      <c r="A157" s="47" t="s">
        <v>181</v>
      </c>
      <c r="B157" s="51"/>
      <c r="C157" s="47" t="s">
        <v>125</v>
      </c>
      <c r="E157" s="44">
        <v>18150460</v>
      </c>
      <c r="F157" s="44"/>
      <c r="G157" s="44">
        <v>2375792</v>
      </c>
      <c r="H157" s="44"/>
      <c r="I157" s="44">
        <v>524374</v>
      </c>
      <c r="J157" s="44"/>
      <c r="K157" s="44">
        <v>2921535</v>
      </c>
      <c r="L157" s="44"/>
      <c r="M157" s="44">
        <v>5927546</v>
      </c>
      <c r="N157" s="44"/>
      <c r="O157" s="44">
        <v>0</v>
      </c>
      <c r="P157" s="44"/>
      <c r="Q157" s="44">
        <v>9020333</v>
      </c>
      <c r="R157" s="44"/>
      <c r="S157" s="44">
        <v>0</v>
      </c>
      <c r="T157" s="44"/>
      <c r="U157" s="44">
        <v>900691</v>
      </c>
      <c r="V157" s="44"/>
      <c r="W157" s="44">
        <f t="shared" si="3"/>
        <v>39820731</v>
      </c>
      <c r="X157" s="44"/>
      <c r="Y157" s="44">
        <v>58357817</v>
      </c>
      <c r="Z157" s="44"/>
      <c r="AA157" s="44">
        <f>+'Stmt net assets'!Y156</f>
        <v>61150431</v>
      </c>
      <c r="AB157" s="44"/>
      <c r="AC157" s="44">
        <f>+Y157+'Stmt of activities-GA rev'!AC158-'Stmt of activities-GAexp'!W157-AA157</f>
        <v>0</v>
      </c>
    </row>
    <row r="158" spans="1:29" s="47" customFormat="1" ht="12.75" customHeight="1">
      <c r="A158" s="47" t="s">
        <v>185</v>
      </c>
      <c r="B158" s="51"/>
      <c r="C158" s="47" t="s">
        <v>80</v>
      </c>
      <c r="E158" s="44">
        <v>7832121</v>
      </c>
      <c r="F158" s="44"/>
      <c r="G158" s="44">
        <v>345366</v>
      </c>
      <c r="H158" s="44"/>
      <c r="I158" s="44">
        <v>514706</v>
      </c>
      <c r="J158" s="44"/>
      <c r="K158" s="44">
        <v>982283</v>
      </c>
      <c r="L158" s="44"/>
      <c r="M158" s="44">
        <v>1470338</v>
      </c>
      <c r="N158" s="44"/>
      <c r="O158" s="44"/>
      <c r="P158" s="44"/>
      <c r="Q158" s="44">
        <v>1883969</v>
      </c>
      <c r="R158" s="44"/>
      <c r="S158" s="44">
        <v>152198</v>
      </c>
      <c r="T158" s="44"/>
      <c r="U158" s="44">
        <v>145832</v>
      </c>
      <c r="V158" s="44"/>
      <c r="W158" s="44">
        <f t="shared" si="3"/>
        <v>13326813</v>
      </c>
      <c r="X158" s="44"/>
      <c r="Y158" s="44">
        <v>27219627</v>
      </c>
      <c r="Z158" s="44"/>
      <c r="AA158" s="44">
        <f>+'Stmt net assets'!Y157</f>
        <v>29146183</v>
      </c>
      <c r="AB158" s="44"/>
      <c r="AC158" s="44">
        <f>+Y158+'Stmt of activities-GA rev'!AC159-'Stmt of activities-GAexp'!W158-AA158</f>
        <v>0</v>
      </c>
    </row>
    <row r="159" spans="1:29" s="47" customFormat="1" ht="12.75" customHeight="1">
      <c r="A159" s="44" t="s">
        <v>186</v>
      </c>
      <c r="B159" s="44"/>
      <c r="C159" s="44" t="s">
        <v>15</v>
      </c>
      <c r="D159" s="44"/>
      <c r="E159" s="44">
        <v>4406487</v>
      </c>
      <c r="F159" s="44"/>
      <c r="G159" s="44">
        <v>1703059</v>
      </c>
      <c r="H159" s="44"/>
      <c r="I159" s="44">
        <v>1356650</v>
      </c>
      <c r="J159" s="44"/>
      <c r="K159" s="44">
        <v>547013</v>
      </c>
      <c r="L159" s="44"/>
      <c r="M159" s="44">
        <v>3213072</v>
      </c>
      <c r="N159" s="44"/>
      <c r="O159" s="44">
        <v>558990</v>
      </c>
      <c r="P159" s="44"/>
      <c r="Q159" s="44">
        <v>2253710</v>
      </c>
      <c r="R159" s="44"/>
      <c r="S159" s="44">
        <v>0</v>
      </c>
      <c r="T159" s="44"/>
      <c r="U159" s="44">
        <v>184341</v>
      </c>
      <c r="V159" s="44"/>
      <c r="W159" s="44">
        <f t="shared" si="3"/>
        <v>14223322</v>
      </c>
      <c r="X159" s="44"/>
      <c r="Y159" s="44">
        <v>35284244</v>
      </c>
      <c r="Z159" s="44"/>
      <c r="AA159" s="44">
        <f>+'Stmt net assets'!Y158</f>
        <v>34759336</v>
      </c>
      <c r="AB159" s="44"/>
      <c r="AC159" s="44">
        <f>+Y159+'Stmt of activities-GA rev'!AC160-'Stmt of activities-GAexp'!W159-AA159</f>
        <v>0</v>
      </c>
    </row>
    <row r="160" spans="1:29" s="44" customFormat="1" ht="12.75" customHeight="1">
      <c r="A160" s="44" t="s">
        <v>187</v>
      </c>
      <c r="B160" s="65"/>
      <c r="C160" s="44" t="s">
        <v>27</v>
      </c>
      <c r="E160" s="44">
        <v>14721998</v>
      </c>
      <c r="G160" s="44">
        <v>573722</v>
      </c>
      <c r="I160" s="44">
        <v>2381717</v>
      </c>
      <c r="K160" s="44">
        <v>350965</v>
      </c>
      <c r="M160" s="44">
        <v>9931100</v>
      </c>
      <c r="O160" s="44">
        <v>1809305</v>
      </c>
      <c r="Q160" s="44">
        <v>4000468</v>
      </c>
      <c r="S160" s="44">
        <v>0</v>
      </c>
      <c r="U160" s="44">
        <v>2125469</v>
      </c>
      <c r="W160" s="44">
        <f t="shared" si="3"/>
        <v>35894744</v>
      </c>
      <c r="Y160" s="44">
        <v>49212020</v>
      </c>
      <c r="AA160" s="44">
        <f>+'Stmt net assets'!Y159</f>
        <v>48906743</v>
      </c>
      <c r="AC160" s="44">
        <f>+Y160+'Stmt of activities-GA rev'!AC161-'Stmt of activities-GAexp'!W160-AA160</f>
        <v>0</v>
      </c>
    </row>
    <row r="161" spans="1:30" s="47" customFormat="1" ht="12.75" customHeight="1">
      <c r="A161" s="47" t="s">
        <v>189</v>
      </c>
      <c r="B161" s="51"/>
      <c r="C161" s="47" t="s">
        <v>17</v>
      </c>
      <c r="E161" s="44">
        <v>9516878</v>
      </c>
      <c r="F161" s="44"/>
      <c r="G161" s="44">
        <v>386746</v>
      </c>
      <c r="H161" s="44"/>
      <c r="I161" s="44">
        <v>384355</v>
      </c>
      <c r="J161" s="44"/>
      <c r="K161" s="44">
        <v>1439878</v>
      </c>
      <c r="L161" s="44"/>
      <c r="M161" s="44">
        <v>5596613</v>
      </c>
      <c r="N161" s="44"/>
      <c r="O161" s="44">
        <v>0</v>
      </c>
      <c r="P161" s="44"/>
      <c r="Q161" s="44">
        <v>6536677</v>
      </c>
      <c r="R161" s="44"/>
      <c r="S161" s="44">
        <v>0</v>
      </c>
      <c r="T161" s="44"/>
      <c r="U161" s="44">
        <v>306226</v>
      </c>
      <c r="V161" s="44"/>
      <c r="W161" s="44">
        <f t="shared" si="3"/>
        <v>24167373</v>
      </c>
      <c r="X161" s="44"/>
      <c r="Y161" s="44">
        <v>66664217</v>
      </c>
      <c r="Z161" s="44"/>
      <c r="AA161" s="44">
        <f>+'Stmt net assets'!Y160</f>
        <v>70174070</v>
      </c>
      <c r="AB161" s="44"/>
      <c r="AC161" s="44">
        <f>+Y161+'Stmt of activities-GA rev'!AC162-'Stmt of activities-GAexp'!W161-AA161</f>
        <v>0</v>
      </c>
    </row>
    <row r="162" spans="1:30" s="47" customFormat="1" ht="12.75" customHeight="1">
      <c r="A162" s="47" t="s">
        <v>188</v>
      </c>
      <c r="B162" s="51"/>
      <c r="C162" s="47" t="s">
        <v>27</v>
      </c>
      <c r="E162" s="44">
        <v>11344348</v>
      </c>
      <c r="F162" s="44"/>
      <c r="G162" s="44">
        <v>463984</v>
      </c>
      <c r="H162" s="44"/>
      <c r="I162" s="44">
        <v>493705</v>
      </c>
      <c r="J162" s="44"/>
      <c r="K162" s="44">
        <v>785460</v>
      </c>
      <c r="L162" s="44"/>
      <c r="M162" s="44">
        <v>4927856</v>
      </c>
      <c r="N162" s="44"/>
      <c r="O162" s="44">
        <v>3184060</v>
      </c>
      <c r="P162" s="44"/>
      <c r="Q162" s="44">
        <v>3413918</v>
      </c>
      <c r="R162" s="44"/>
      <c r="S162" s="44">
        <v>0</v>
      </c>
      <c r="T162" s="44"/>
      <c r="U162" s="44">
        <v>335766</v>
      </c>
      <c r="V162" s="44"/>
      <c r="W162" s="44">
        <f t="shared" si="3"/>
        <v>24949097</v>
      </c>
      <c r="X162" s="44"/>
      <c r="Y162" s="44">
        <v>107360353</v>
      </c>
      <c r="Z162" s="44"/>
      <c r="AA162" s="44">
        <f>+'Stmt net assets'!Y161</f>
        <v>114071627</v>
      </c>
      <c r="AB162" s="44"/>
      <c r="AC162" s="44">
        <f>+Y162+'Stmt of activities-GA rev'!AC163-'Stmt of activities-GAexp'!W162-AA162</f>
        <v>0</v>
      </c>
    </row>
    <row r="163" spans="1:30" s="47" customFormat="1" ht="12.75" customHeight="1">
      <c r="A163" s="47" t="s">
        <v>190</v>
      </c>
      <c r="B163" s="51"/>
      <c r="C163" s="47" t="s">
        <v>47</v>
      </c>
      <c r="E163" s="44">
        <v>2882349</v>
      </c>
      <c r="F163" s="44"/>
      <c r="G163" s="44">
        <v>7869</v>
      </c>
      <c r="H163" s="44"/>
      <c r="I163" s="44">
        <v>98108</v>
      </c>
      <c r="J163" s="44"/>
      <c r="K163" s="44">
        <v>582319</v>
      </c>
      <c r="L163" s="44"/>
      <c r="M163" s="44">
        <v>3151017</v>
      </c>
      <c r="N163" s="44"/>
      <c r="O163" s="44">
        <v>416410</v>
      </c>
      <c r="P163" s="44"/>
      <c r="Q163" s="44">
        <v>1763014</v>
      </c>
      <c r="R163" s="44"/>
      <c r="S163" s="44">
        <v>0</v>
      </c>
      <c r="T163" s="44"/>
      <c r="U163" s="44">
        <v>82050</v>
      </c>
      <c r="V163" s="44"/>
      <c r="W163" s="44">
        <f t="shared" si="3"/>
        <v>8983136</v>
      </c>
      <c r="X163" s="44"/>
      <c r="Y163" s="44">
        <v>9823809</v>
      </c>
      <c r="Z163" s="44"/>
      <c r="AA163" s="44">
        <f>+'Stmt net assets'!Y162</f>
        <v>9164805</v>
      </c>
      <c r="AB163" s="44"/>
      <c r="AC163" s="44">
        <f>+Y163+'Stmt of activities-GA rev'!AC164-'Stmt of activities-GAexp'!W163-AA163</f>
        <v>0</v>
      </c>
    </row>
    <row r="164" spans="1:30" s="47" customFormat="1" ht="12.75" customHeight="1">
      <c r="A164" s="47" t="s">
        <v>191</v>
      </c>
      <c r="B164" s="51"/>
      <c r="C164" s="47" t="s">
        <v>13</v>
      </c>
      <c r="E164" s="44">
        <v>2761813</v>
      </c>
      <c r="F164" s="44"/>
      <c r="G164" s="44">
        <v>167598</v>
      </c>
      <c r="H164" s="44"/>
      <c r="I164" s="44">
        <v>170573</v>
      </c>
      <c r="J164" s="44"/>
      <c r="K164" s="44">
        <v>258587</v>
      </c>
      <c r="L164" s="44"/>
      <c r="M164" s="44">
        <v>1497432</v>
      </c>
      <c r="N164" s="44"/>
      <c r="O164" s="44">
        <v>0</v>
      </c>
      <c r="P164" s="44"/>
      <c r="Q164" s="44">
        <v>2578275</v>
      </c>
      <c r="R164" s="44"/>
      <c r="S164" s="44">
        <v>0</v>
      </c>
      <c r="T164" s="44"/>
      <c r="U164" s="44">
        <v>174121</v>
      </c>
      <c r="V164" s="44"/>
      <c r="W164" s="44">
        <f t="shared" si="3"/>
        <v>7608399</v>
      </c>
      <c r="X164" s="44"/>
      <c r="Y164" s="44">
        <v>12351990</v>
      </c>
      <c r="Z164" s="44"/>
      <c r="AA164" s="44">
        <f>+'Stmt net assets'!Y163</f>
        <v>16406516</v>
      </c>
      <c r="AB164" s="44"/>
      <c r="AC164" s="44">
        <f>+Y164+'Stmt of activities-GA rev'!AC165-'Stmt of activities-GAexp'!W164-AA164</f>
        <v>0</v>
      </c>
    </row>
    <row r="165" spans="1:30" s="47" customFormat="1" ht="12.75" customHeight="1">
      <c r="A165" s="47" t="s">
        <v>192</v>
      </c>
      <c r="B165" s="51"/>
      <c r="C165" s="47" t="s">
        <v>38</v>
      </c>
      <c r="E165" s="44">
        <v>5153655</v>
      </c>
      <c r="F165" s="44"/>
      <c r="G165" s="44">
        <v>141475</v>
      </c>
      <c r="H165" s="44"/>
      <c r="I165" s="44">
        <v>1956351</v>
      </c>
      <c r="J165" s="44"/>
      <c r="K165" s="44">
        <v>697354</v>
      </c>
      <c r="L165" s="44"/>
      <c r="M165" s="44">
        <v>2154058</v>
      </c>
      <c r="N165" s="44"/>
      <c r="O165" s="44">
        <v>0</v>
      </c>
      <c r="P165" s="44"/>
      <c r="Q165" s="44">
        <v>2390952</v>
      </c>
      <c r="R165" s="44"/>
      <c r="S165" s="44">
        <v>0</v>
      </c>
      <c r="T165" s="44"/>
      <c r="U165" s="44">
        <v>93240</v>
      </c>
      <c r="V165" s="44"/>
      <c r="W165" s="44">
        <f t="shared" si="3"/>
        <v>12587085</v>
      </c>
      <c r="X165" s="44"/>
      <c r="Y165" s="44">
        <v>29531034</v>
      </c>
      <c r="Z165" s="44"/>
      <c r="AA165" s="44">
        <f>+'Stmt net assets'!Y164</f>
        <v>29807126</v>
      </c>
      <c r="AB165" s="44"/>
      <c r="AC165" s="44">
        <f>+Y165+'Stmt of activities-GA rev'!AC166-'Stmt of activities-GAexp'!W165-AA165</f>
        <v>0</v>
      </c>
    </row>
    <row r="166" spans="1:30" s="138" customFormat="1" ht="12.75" hidden="1" customHeight="1">
      <c r="A166" s="138" t="s">
        <v>193</v>
      </c>
      <c r="B166" s="140"/>
      <c r="C166" s="138" t="s">
        <v>45</v>
      </c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>
        <f t="shared" si="3"/>
        <v>0</v>
      </c>
      <c r="X166" s="137"/>
      <c r="Y166" s="137"/>
      <c r="Z166" s="137"/>
      <c r="AA166" s="137">
        <f>+'Stmt net assets'!Y165</f>
        <v>0</v>
      </c>
      <c r="AB166" s="137"/>
      <c r="AC166" s="44">
        <f>+Y166+'Stmt of activities-GA rev'!AC167-'Stmt of activities-GAexp'!W166-AA166</f>
        <v>0</v>
      </c>
      <c r="AD166" s="141"/>
    </row>
    <row r="167" spans="1:30" s="47" customFormat="1" ht="12.75" customHeight="1">
      <c r="A167" s="47" t="s">
        <v>194</v>
      </c>
      <c r="B167" s="51"/>
      <c r="C167" s="47" t="s">
        <v>66</v>
      </c>
      <c r="E167" s="44">
        <v>4930310</v>
      </c>
      <c r="F167" s="44"/>
      <c r="G167" s="44">
        <v>101379</v>
      </c>
      <c r="H167" s="44"/>
      <c r="I167" s="44">
        <v>1012377</v>
      </c>
      <c r="J167" s="44"/>
      <c r="K167" s="44">
        <v>1787659</v>
      </c>
      <c r="L167" s="44"/>
      <c r="M167" s="44">
        <v>1032984</v>
      </c>
      <c r="N167" s="44"/>
      <c r="O167" s="44">
        <v>724276</v>
      </c>
      <c r="P167" s="44"/>
      <c r="Q167" s="44">
        <v>3525701</v>
      </c>
      <c r="R167" s="44"/>
      <c r="S167" s="44">
        <v>0</v>
      </c>
      <c r="T167" s="44"/>
      <c r="U167" s="44">
        <v>319578</v>
      </c>
      <c r="V167" s="44"/>
      <c r="W167" s="44">
        <f t="shared" si="3"/>
        <v>13434264</v>
      </c>
      <c r="X167" s="44"/>
      <c r="Y167" s="44">
        <v>46187377</v>
      </c>
      <c r="Z167" s="44"/>
      <c r="AA167" s="44">
        <f>+'Stmt net assets'!Y166</f>
        <v>54607231</v>
      </c>
      <c r="AB167" s="44"/>
      <c r="AC167" s="44">
        <f>+Y167+'Stmt of activities-GA rev'!AC168-'Stmt of activities-GAexp'!W167-AA167</f>
        <v>0</v>
      </c>
    </row>
    <row r="168" spans="1:30" s="47" customFormat="1" ht="12.75" customHeight="1">
      <c r="A168" s="47" t="s">
        <v>195</v>
      </c>
      <c r="B168" s="51"/>
      <c r="C168" s="47" t="s">
        <v>17</v>
      </c>
      <c r="E168" s="44">
        <v>2892389</v>
      </c>
      <c r="F168" s="44"/>
      <c r="G168" s="44">
        <v>116219</v>
      </c>
      <c r="H168" s="44"/>
      <c r="I168" s="44">
        <v>812977</v>
      </c>
      <c r="J168" s="44"/>
      <c r="K168" s="44">
        <v>1134005</v>
      </c>
      <c r="L168" s="44"/>
      <c r="M168" s="44">
        <v>2049031</v>
      </c>
      <c r="N168" s="44"/>
      <c r="O168" s="44">
        <v>105950</v>
      </c>
      <c r="P168" s="44"/>
      <c r="Q168" s="44">
        <v>2798068</v>
      </c>
      <c r="R168" s="44"/>
      <c r="S168" s="44">
        <v>0</v>
      </c>
      <c r="T168" s="44"/>
      <c r="U168" s="44">
        <v>191318</v>
      </c>
      <c r="V168" s="44"/>
      <c r="W168" s="44">
        <f t="shared" si="3"/>
        <v>10099957</v>
      </c>
      <c r="X168" s="44"/>
      <c r="Y168" s="44">
        <v>35502601</v>
      </c>
      <c r="Z168" s="44"/>
      <c r="AA168" s="44">
        <f>+'Stmt net assets'!Y167</f>
        <v>37460547</v>
      </c>
      <c r="AB168" s="44"/>
      <c r="AC168" s="44">
        <f>+Y168+'Stmt of activities-GA rev'!AC169-'Stmt of activities-GAexp'!W168-AA168</f>
        <v>0</v>
      </c>
    </row>
    <row r="169" spans="1:30" s="138" customFormat="1" ht="12.75" hidden="1" customHeight="1">
      <c r="A169" s="137" t="s">
        <v>196</v>
      </c>
      <c r="B169" s="140"/>
      <c r="C169" s="137" t="s">
        <v>27</v>
      </c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>
        <f t="shared" si="3"/>
        <v>0</v>
      </c>
      <c r="X169" s="137"/>
      <c r="Y169" s="137"/>
      <c r="Z169" s="137"/>
      <c r="AA169" s="137">
        <f>+'Stmt net assets'!Y168</f>
        <v>0</v>
      </c>
      <c r="AB169" s="137"/>
      <c r="AC169" s="44">
        <f>+Y169+'Stmt of activities-GA rev'!AC170-'Stmt of activities-GAexp'!W169-AA169</f>
        <v>0</v>
      </c>
    </row>
    <row r="170" spans="1:30" s="138" customFormat="1" ht="12.75" hidden="1" customHeight="1">
      <c r="A170" s="137" t="s">
        <v>386</v>
      </c>
      <c r="B170" s="140"/>
      <c r="C170" s="137" t="s">
        <v>153</v>
      </c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>
        <f t="shared" si="3"/>
        <v>0</v>
      </c>
      <c r="X170" s="137"/>
      <c r="Y170" s="137"/>
      <c r="Z170" s="137"/>
      <c r="AA170" s="137">
        <f>+'Stmt net assets'!Y169</f>
        <v>0</v>
      </c>
      <c r="AB170" s="137"/>
      <c r="AC170" s="44">
        <f>+Y170+'Stmt of activities-GA rev'!AC171-'Stmt of activities-GAexp'!W170-AA170</f>
        <v>0</v>
      </c>
    </row>
    <row r="171" spans="1:30" s="47" customFormat="1" ht="12.75" customHeight="1">
      <c r="A171" s="47" t="s">
        <v>197</v>
      </c>
      <c r="B171" s="51"/>
      <c r="C171" s="47" t="s">
        <v>163</v>
      </c>
      <c r="E171" s="44">
        <v>10213673</v>
      </c>
      <c r="F171" s="44"/>
      <c r="G171" s="44">
        <v>426974</v>
      </c>
      <c r="H171" s="44"/>
      <c r="I171" s="44">
        <v>990836</v>
      </c>
      <c r="J171" s="44"/>
      <c r="K171" s="44">
        <v>1504683</v>
      </c>
      <c r="L171" s="44"/>
      <c r="M171" s="44">
        <v>3702488</v>
      </c>
      <c r="N171" s="44"/>
      <c r="O171" s="44">
        <v>743755</v>
      </c>
      <c r="P171" s="44"/>
      <c r="Q171" s="44">
        <v>4807480</v>
      </c>
      <c r="R171" s="44"/>
      <c r="S171" s="44">
        <v>0</v>
      </c>
      <c r="T171" s="44"/>
      <c r="U171" s="44">
        <v>428746</v>
      </c>
      <c r="V171" s="44"/>
      <c r="W171" s="44">
        <f t="shared" si="3"/>
        <v>22818635</v>
      </c>
      <c r="X171" s="44"/>
      <c r="Y171" s="44">
        <v>56114013</v>
      </c>
      <c r="Z171" s="44"/>
      <c r="AA171" s="44">
        <f>+'Stmt net assets'!Y170</f>
        <v>64831536</v>
      </c>
      <c r="AB171" s="44"/>
      <c r="AC171" s="44">
        <f>+Y171+'Stmt of activities-GA rev'!AC172-'Stmt of activities-GAexp'!W171-AA171</f>
        <v>0</v>
      </c>
    </row>
    <row r="172" spans="1:30" s="47" customFormat="1" ht="12.75" customHeight="1">
      <c r="A172" s="47" t="s">
        <v>198</v>
      </c>
      <c r="B172" s="51"/>
      <c r="C172" s="47" t="s">
        <v>199</v>
      </c>
      <c r="E172" s="44">
        <v>2153349</v>
      </c>
      <c r="F172" s="44"/>
      <c r="G172" s="44">
        <v>187718</v>
      </c>
      <c r="H172" s="44"/>
      <c r="I172" s="44">
        <v>348947</v>
      </c>
      <c r="J172" s="44"/>
      <c r="K172" s="44">
        <v>0</v>
      </c>
      <c r="L172" s="44"/>
      <c r="M172" s="44">
        <v>2289247</v>
      </c>
      <c r="N172" s="44"/>
      <c r="O172" s="44">
        <v>307678</v>
      </c>
      <c r="P172" s="44"/>
      <c r="Q172" s="44">
        <v>1323894</v>
      </c>
      <c r="R172" s="44"/>
      <c r="S172" s="44">
        <v>0</v>
      </c>
      <c r="T172" s="44"/>
      <c r="U172" s="44">
        <v>39260</v>
      </c>
      <c r="V172" s="44"/>
      <c r="W172" s="44">
        <f t="shared" si="3"/>
        <v>6650093</v>
      </c>
      <c r="X172" s="44"/>
      <c r="Y172" s="44">
        <v>46566156</v>
      </c>
      <c r="Z172" s="44"/>
      <c r="AA172" s="44">
        <f>+'Stmt net assets'!Y171</f>
        <v>48144662</v>
      </c>
      <c r="AB172" s="44"/>
      <c r="AC172" s="44">
        <f>+Y172+'Stmt of activities-GA rev'!AC173-'Stmt of activities-GAexp'!W172-AA172</f>
        <v>0</v>
      </c>
    </row>
    <row r="173" spans="1:30" s="47" customFormat="1" ht="12.75" customHeight="1">
      <c r="A173" s="47" t="s">
        <v>200</v>
      </c>
      <c r="B173" s="51"/>
      <c r="C173" s="47" t="s">
        <v>103</v>
      </c>
      <c r="E173" s="44">
        <v>4622258</v>
      </c>
      <c r="F173" s="44"/>
      <c r="G173" s="44">
        <v>164757</v>
      </c>
      <c r="H173" s="44"/>
      <c r="I173" s="44">
        <v>1672883</v>
      </c>
      <c r="J173" s="44"/>
      <c r="K173" s="44">
        <v>755014</v>
      </c>
      <c r="L173" s="44"/>
      <c r="M173" s="44">
        <v>1241629</v>
      </c>
      <c r="N173" s="44"/>
      <c r="O173" s="44">
        <v>0</v>
      </c>
      <c r="P173" s="44"/>
      <c r="Q173" s="44">
        <v>2089077</v>
      </c>
      <c r="R173" s="44"/>
      <c r="S173" s="44">
        <v>0</v>
      </c>
      <c r="T173" s="44"/>
      <c r="U173" s="44">
        <v>160437</v>
      </c>
      <c r="V173" s="44"/>
      <c r="W173" s="44">
        <f t="shared" si="3"/>
        <v>10706055</v>
      </c>
      <c r="X173" s="44"/>
      <c r="Y173" s="44">
        <v>42094934</v>
      </c>
      <c r="Z173" s="44"/>
      <c r="AA173" s="44">
        <f>+'Stmt net assets'!Y172</f>
        <v>46946153</v>
      </c>
      <c r="AB173" s="44"/>
      <c r="AC173" s="44">
        <f>+Y173+'Stmt of activities-GA rev'!AC174-'Stmt of activities-GAexp'!W173-AA173</f>
        <v>0</v>
      </c>
    </row>
    <row r="174" spans="1:30" s="47" customFormat="1" ht="12.75" customHeight="1">
      <c r="A174" s="47" t="s">
        <v>201</v>
      </c>
      <c r="B174" s="51"/>
      <c r="C174" s="47" t="s">
        <v>92</v>
      </c>
      <c r="E174" s="44">
        <v>7507199</v>
      </c>
      <c r="F174" s="44"/>
      <c r="G174" s="44">
        <v>610392</v>
      </c>
      <c r="H174" s="44"/>
      <c r="I174" s="44">
        <v>843478</v>
      </c>
      <c r="J174" s="44"/>
      <c r="K174" s="44">
        <v>548286</v>
      </c>
      <c r="L174" s="44"/>
      <c r="M174" s="44">
        <v>3531244</v>
      </c>
      <c r="N174" s="44"/>
      <c r="O174" s="44">
        <v>0</v>
      </c>
      <c r="P174" s="44"/>
      <c r="Q174" s="44">
        <v>3438595</v>
      </c>
      <c r="R174" s="44"/>
      <c r="S174" s="44">
        <v>0</v>
      </c>
      <c r="T174" s="44"/>
      <c r="U174" s="44">
        <v>329646</v>
      </c>
      <c r="V174" s="44"/>
      <c r="W174" s="44">
        <f t="shared" si="3"/>
        <v>16808840</v>
      </c>
      <c r="X174" s="44"/>
      <c r="Y174" s="44">
        <v>33366724</v>
      </c>
      <c r="Z174" s="44"/>
      <c r="AA174" s="44">
        <f>+'Stmt net assets'!Y173</f>
        <v>36974514</v>
      </c>
      <c r="AB174" s="44"/>
      <c r="AC174" s="44">
        <f>+Y174+'Stmt of activities-GA rev'!AC175-'Stmt of activities-GAexp'!W174-AA174</f>
        <v>0</v>
      </c>
    </row>
    <row r="175" spans="1:30" s="47" customFormat="1" ht="12.75" customHeight="1">
      <c r="A175" s="47" t="s">
        <v>202</v>
      </c>
      <c r="B175" s="51"/>
      <c r="C175" s="47" t="s">
        <v>27</v>
      </c>
      <c r="E175" s="44">
        <v>26920154</v>
      </c>
      <c r="F175" s="44"/>
      <c r="G175" s="44">
        <v>308358</v>
      </c>
      <c r="H175" s="44"/>
      <c r="I175" s="44">
        <v>4628300</v>
      </c>
      <c r="J175" s="44"/>
      <c r="K175" s="44">
        <v>7664099</v>
      </c>
      <c r="L175" s="44"/>
      <c r="M175" s="44">
        <v>5529278</v>
      </c>
      <c r="N175" s="44"/>
      <c r="O175" s="44">
        <v>1471453</v>
      </c>
      <c r="P175" s="44"/>
      <c r="Q175" s="44">
        <v>26453340</v>
      </c>
      <c r="R175" s="44"/>
      <c r="S175" s="44">
        <v>0</v>
      </c>
      <c r="T175" s="44"/>
      <c r="U175" s="44">
        <v>1685603</v>
      </c>
      <c r="V175" s="44"/>
      <c r="W175" s="44">
        <f t="shared" si="3"/>
        <v>74660585</v>
      </c>
      <c r="X175" s="44"/>
      <c r="Y175" s="44">
        <v>41361414</v>
      </c>
      <c r="Z175" s="44"/>
      <c r="AA175" s="44">
        <f>+'Stmt net assets'!Y174</f>
        <v>43291357</v>
      </c>
      <c r="AB175" s="44"/>
      <c r="AC175" s="44">
        <f>+Y175+'Stmt of activities-GA rev'!AC176-'Stmt of activities-GAexp'!W175-AA175</f>
        <v>0</v>
      </c>
    </row>
    <row r="176" spans="1:30" s="47" customFormat="1" ht="12.75" customHeight="1">
      <c r="A176" s="47" t="s">
        <v>203</v>
      </c>
      <c r="B176" s="51"/>
      <c r="C176" s="47" t="s">
        <v>27</v>
      </c>
      <c r="E176" s="44">
        <v>26920154</v>
      </c>
      <c r="F176" s="44"/>
      <c r="G176" s="44">
        <v>308358</v>
      </c>
      <c r="H176" s="44"/>
      <c r="I176" s="44">
        <v>4628300</v>
      </c>
      <c r="J176" s="44"/>
      <c r="K176" s="44">
        <v>7664099</v>
      </c>
      <c r="L176" s="44"/>
      <c r="M176" s="44">
        <v>5529278</v>
      </c>
      <c r="N176" s="44"/>
      <c r="O176" s="44">
        <v>1471453</v>
      </c>
      <c r="P176" s="44"/>
      <c r="Q176" s="44">
        <v>26453340</v>
      </c>
      <c r="R176" s="44"/>
      <c r="S176" s="44">
        <v>0</v>
      </c>
      <c r="T176" s="44"/>
      <c r="U176" s="44">
        <v>1685603</v>
      </c>
      <c r="V176" s="44"/>
      <c r="W176" s="44">
        <f t="shared" si="3"/>
        <v>74660585</v>
      </c>
      <c r="X176" s="44"/>
      <c r="Y176" s="44">
        <v>41361414</v>
      </c>
      <c r="Z176" s="44"/>
      <c r="AA176" s="44">
        <f>+'Stmt net assets'!Y175</f>
        <v>43291357</v>
      </c>
      <c r="AB176" s="44"/>
      <c r="AC176" s="44">
        <f>+Y176+'Stmt of activities-GA rev'!AC177-'Stmt of activities-GAexp'!W176-AA176</f>
        <v>0</v>
      </c>
    </row>
    <row r="177" spans="1:29" s="47" customFormat="1" ht="12.75" customHeight="1">
      <c r="A177" s="47" t="s">
        <v>204</v>
      </c>
      <c r="B177" s="51"/>
      <c r="C177" s="47" t="s">
        <v>125</v>
      </c>
      <c r="E177" s="44">
        <v>1710954</v>
      </c>
      <c r="F177" s="44"/>
      <c r="G177" s="44">
        <v>57500</v>
      </c>
      <c r="H177" s="44"/>
      <c r="I177" s="44">
        <v>257006</v>
      </c>
      <c r="J177" s="44"/>
      <c r="K177" s="44">
        <v>335154</v>
      </c>
      <c r="L177" s="44"/>
      <c r="M177" s="44">
        <v>1128655</v>
      </c>
      <c r="N177" s="44"/>
      <c r="O177" s="44">
        <v>0</v>
      </c>
      <c r="P177" s="44"/>
      <c r="Q177" s="44">
        <v>1063385</v>
      </c>
      <c r="R177" s="44"/>
      <c r="S177" s="44">
        <v>0</v>
      </c>
      <c r="T177" s="44"/>
      <c r="U177" s="44">
        <v>117610</v>
      </c>
      <c r="V177" s="44"/>
      <c r="W177" s="44">
        <f t="shared" si="3"/>
        <v>4670264</v>
      </c>
      <c r="X177" s="44"/>
      <c r="Y177" s="44">
        <v>6181666</v>
      </c>
      <c r="Z177" s="44"/>
      <c r="AA177" s="44">
        <f>+'Stmt net assets'!Y176</f>
        <v>6283589</v>
      </c>
      <c r="AB177" s="44"/>
      <c r="AC177" s="44">
        <f>+Y177+'Stmt of activities-GA rev'!AC178-'Stmt of activities-GAexp'!W177-AA177</f>
        <v>0</v>
      </c>
    </row>
    <row r="178" spans="1:29" s="47" customFormat="1" ht="12.75" customHeight="1">
      <c r="A178" s="47" t="s">
        <v>205</v>
      </c>
      <c r="B178" s="51"/>
      <c r="C178" s="47" t="s">
        <v>27</v>
      </c>
      <c r="E178" s="44">
        <v>5521587</v>
      </c>
      <c r="F178" s="44"/>
      <c r="G178" s="44">
        <v>36173</v>
      </c>
      <c r="H178" s="44"/>
      <c r="I178" s="44">
        <v>0</v>
      </c>
      <c r="J178" s="44"/>
      <c r="K178" s="44">
        <v>341080</v>
      </c>
      <c r="L178" s="44"/>
      <c r="M178" s="44">
        <v>3887378</v>
      </c>
      <c r="N178" s="44"/>
      <c r="O178" s="44">
        <v>1710179</v>
      </c>
      <c r="P178" s="44"/>
      <c r="Q178" s="44">
        <v>1672099</v>
      </c>
      <c r="R178" s="44"/>
      <c r="S178" s="44">
        <v>0</v>
      </c>
      <c r="T178" s="44"/>
      <c r="U178" s="44">
        <v>543446</v>
      </c>
      <c r="V178" s="44"/>
      <c r="W178" s="44">
        <f t="shared" si="3"/>
        <v>13711942</v>
      </c>
      <c r="X178" s="44"/>
      <c r="Y178" s="44">
        <v>19844720</v>
      </c>
      <c r="Z178" s="44"/>
      <c r="AA178" s="44">
        <f>+'Stmt net assets'!Y177</f>
        <v>18823624</v>
      </c>
      <c r="AB178" s="44"/>
      <c r="AC178" s="44">
        <f>+Y178+'Stmt of activities-GA rev'!AC179-'Stmt of activities-GAexp'!W178-AA178</f>
        <v>0</v>
      </c>
    </row>
    <row r="179" spans="1:29" s="47" customFormat="1" ht="12.75" customHeight="1">
      <c r="A179" s="47" t="s">
        <v>206</v>
      </c>
      <c r="B179" s="51"/>
      <c r="C179" s="47" t="s">
        <v>47</v>
      </c>
      <c r="E179" s="44">
        <v>6954371</v>
      </c>
      <c r="F179" s="44"/>
      <c r="G179" s="44">
        <v>29248</v>
      </c>
      <c r="H179" s="44"/>
      <c r="I179" s="44">
        <v>1362437</v>
      </c>
      <c r="J179" s="44"/>
      <c r="K179" s="44">
        <v>1037464</v>
      </c>
      <c r="L179" s="44"/>
      <c r="M179" s="44">
        <v>2109767</v>
      </c>
      <c r="N179" s="44"/>
      <c r="O179" s="44">
        <v>936875</v>
      </c>
      <c r="P179" s="44"/>
      <c r="Q179" s="44">
        <v>2812794</v>
      </c>
      <c r="R179" s="44"/>
      <c r="S179" s="44">
        <v>0</v>
      </c>
      <c r="T179" s="44"/>
      <c r="U179" s="44">
        <v>579092</v>
      </c>
      <c r="V179" s="44"/>
      <c r="W179" s="44">
        <f t="shared" si="3"/>
        <v>15822048</v>
      </c>
      <c r="X179" s="44"/>
      <c r="Y179" s="44">
        <v>59612667</v>
      </c>
      <c r="Z179" s="44"/>
      <c r="AA179" s="44">
        <f>+'Stmt net assets'!Y178</f>
        <v>64694437</v>
      </c>
      <c r="AB179" s="44"/>
      <c r="AC179" s="44">
        <f>+Y179+'Stmt of activities-GA rev'!AC180-'Stmt of activities-GAexp'!W179-AA179</f>
        <v>0</v>
      </c>
    </row>
    <row r="180" spans="1:29" s="47" customFormat="1" ht="12.75" customHeight="1">
      <c r="A180" s="47" t="s">
        <v>207</v>
      </c>
      <c r="B180" s="51"/>
      <c r="C180" s="47" t="s">
        <v>102</v>
      </c>
      <c r="E180" s="44">
        <v>3829576</v>
      </c>
      <c r="F180" s="44"/>
      <c r="G180" s="44">
        <v>122046</v>
      </c>
      <c r="H180" s="44"/>
      <c r="I180" s="44">
        <v>845507</v>
      </c>
      <c r="J180" s="44"/>
      <c r="K180" s="44">
        <v>1276233</v>
      </c>
      <c r="L180" s="44"/>
      <c r="M180" s="44">
        <v>3469100</v>
      </c>
      <c r="N180" s="44"/>
      <c r="O180" s="44">
        <v>0</v>
      </c>
      <c r="P180" s="44"/>
      <c r="Q180" s="44">
        <v>2358695</v>
      </c>
      <c r="R180" s="44"/>
      <c r="S180" s="44">
        <v>0</v>
      </c>
      <c r="T180" s="44"/>
      <c r="U180" s="44">
        <v>589252</v>
      </c>
      <c r="V180" s="44"/>
      <c r="W180" s="44">
        <f t="shared" si="3"/>
        <v>12490409</v>
      </c>
      <c r="X180" s="44"/>
      <c r="Y180" s="44">
        <v>36217076</v>
      </c>
      <c r="Z180" s="44"/>
      <c r="AA180" s="44">
        <f>+'Stmt net assets'!Y179</f>
        <v>35207352</v>
      </c>
      <c r="AB180" s="44"/>
      <c r="AC180" s="44">
        <f>+Y180+'Stmt of activities-GA rev'!AC181-'Stmt of activities-GAexp'!W180-AA180</f>
        <v>0</v>
      </c>
    </row>
    <row r="181" spans="1:29" s="47" customFormat="1" ht="12.75" customHeight="1">
      <c r="A181" s="47" t="s">
        <v>208</v>
      </c>
      <c r="B181" s="51"/>
      <c r="C181" s="47" t="s">
        <v>209</v>
      </c>
      <c r="E181" s="44">
        <v>7878066</v>
      </c>
      <c r="F181" s="44"/>
      <c r="G181" s="44">
        <v>0</v>
      </c>
      <c r="H181" s="44"/>
      <c r="I181" s="44">
        <v>702284</v>
      </c>
      <c r="J181" s="44"/>
      <c r="K181" s="44">
        <v>343948</v>
      </c>
      <c r="L181" s="44"/>
      <c r="M181" s="44">
        <v>0</v>
      </c>
      <c r="N181" s="44"/>
      <c r="O181" s="44">
        <v>0</v>
      </c>
      <c r="P181" s="44"/>
      <c r="Q181" s="44">
        <v>2891558</v>
      </c>
      <c r="R181" s="44"/>
      <c r="S181" s="44">
        <v>3168720</v>
      </c>
      <c r="T181" s="44"/>
      <c r="U181" s="44">
        <v>197747</v>
      </c>
      <c r="V181" s="44"/>
      <c r="W181" s="44">
        <f t="shared" si="3"/>
        <v>15182323</v>
      </c>
      <c r="X181" s="44"/>
      <c r="Y181" s="44">
        <v>55282115</v>
      </c>
      <c r="Z181" s="44"/>
      <c r="AA181" s="44">
        <f>+'Stmt net assets'!Y180</f>
        <v>61940344</v>
      </c>
      <c r="AB181" s="44"/>
      <c r="AC181" s="44">
        <f>+Y181+'Stmt of activities-GA rev'!AC182-'Stmt of activities-GAexp'!W181-AA181</f>
        <v>0</v>
      </c>
    </row>
    <row r="182" spans="1:29" s="47" customFormat="1" ht="12.75" customHeight="1">
      <c r="A182" s="47" t="s">
        <v>210</v>
      </c>
      <c r="B182" s="51"/>
      <c r="C182" s="47" t="s">
        <v>211</v>
      </c>
      <c r="E182" s="44">
        <v>1829292</v>
      </c>
      <c r="F182" s="44"/>
      <c r="G182" s="44">
        <v>217083</v>
      </c>
      <c r="H182" s="44"/>
      <c r="I182" s="44">
        <v>121145</v>
      </c>
      <c r="J182" s="44"/>
      <c r="K182" s="44">
        <v>148151</v>
      </c>
      <c r="L182" s="44"/>
      <c r="M182" s="44">
        <v>729894</v>
      </c>
      <c r="N182" s="44"/>
      <c r="O182" s="44">
        <v>0</v>
      </c>
      <c r="P182" s="44"/>
      <c r="Q182" s="44">
        <v>1452039</v>
      </c>
      <c r="R182" s="44"/>
      <c r="S182" s="44">
        <v>0</v>
      </c>
      <c r="T182" s="44"/>
      <c r="U182" s="44">
        <v>64749</v>
      </c>
      <c r="V182" s="44"/>
      <c r="W182" s="44">
        <f t="shared" si="3"/>
        <v>4562353</v>
      </c>
      <c r="X182" s="44"/>
      <c r="Y182" s="44">
        <v>9084169</v>
      </c>
      <c r="Z182" s="44"/>
      <c r="AA182" s="44">
        <f>+'Stmt net assets'!Y181</f>
        <v>9245169</v>
      </c>
      <c r="AB182" s="44"/>
      <c r="AC182" s="44">
        <f>+Y182+'Stmt of activities-GA rev'!AC183-'Stmt of activities-GAexp'!W182-AA182</f>
        <v>0</v>
      </c>
    </row>
    <row r="183" spans="1:29" s="47" customFormat="1" ht="12.75" customHeight="1">
      <c r="A183" s="47" t="s">
        <v>212</v>
      </c>
      <c r="B183" s="51"/>
      <c r="C183" s="47" t="s">
        <v>213</v>
      </c>
      <c r="E183" s="44">
        <v>7625070</v>
      </c>
      <c r="F183" s="44"/>
      <c r="G183" s="44">
        <v>2861477</v>
      </c>
      <c r="H183" s="44"/>
      <c r="I183" s="44">
        <v>26055</v>
      </c>
      <c r="J183" s="44"/>
      <c r="K183" s="44">
        <v>658037</v>
      </c>
      <c r="L183" s="44"/>
      <c r="M183" s="44">
        <v>2534541</v>
      </c>
      <c r="N183" s="44"/>
      <c r="O183" s="44">
        <v>0</v>
      </c>
      <c r="P183" s="44"/>
      <c r="Q183" s="44">
        <v>4122079</v>
      </c>
      <c r="R183" s="44"/>
      <c r="S183" s="44">
        <v>0</v>
      </c>
      <c r="T183" s="44"/>
      <c r="U183" s="44">
        <v>138677</v>
      </c>
      <c r="V183" s="44"/>
      <c r="W183" s="44">
        <f t="shared" si="3"/>
        <v>17965936</v>
      </c>
      <c r="X183" s="44"/>
      <c r="Y183" s="44">
        <v>25525163</v>
      </c>
      <c r="Z183" s="44"/>
      <c r="AA183" s="44">
        <f>+'Stmt net assets'!Y182</f>
        <v>24450586</v>
      </c>
      <c r="AB183" s="44"/>
      <c r="AC183" s="44">
        <f>+Y183+'Stmt of activities-GA rev'!AC184-'Stmt of activities-GAexp'!W183-AA183</f>
        <v>0</v>
      </c>
    </row>
    <row r="184" spans="1:29" s="47" customFormat="1" ht="12.75" customHeight="1">
      <c r="A184" s="47" t="s">
        <v>214</v>
      </c>
      <c r="B184" s="51"/>
      <c r="C184" s="47" t="s">
        <v>86</v>
      </c>
      <c r="E184" s="44">
        <v>1739711</v>
      </c>
      <c r="F184" s="44"/>
      <c r="G184" s="44">
        <v>0</v>
      </c>
      <c r="H184" s="44"/>
      <c r="I184" s="44">
        <v>1097107</v>
      </c>
      <c r="J184" s="44"/>
      <c r="K184" s="44">
        <v>989893</v>
      </c>
      <c r="L184" s="44"/>
      <c r="M184" s="44">
        <v>0</v>
      </c>
      <c r="N184" s="44"/>
      <c r="O184" s="44">
        <v>1952026</v>
      </c>
      <c r="P184" s="44"/>
      <c r="Q184" s="44">
        <v>1495493</v>
      </c>
      <c r="R184" s="44"/>
      <c r="S184" s="44">
        <v>0</v>
      </c>
      <c r="T184" s="44"/>
      <c r="U184" s="44">
        <v>1290132</v>
      </c>
      <c r="V184" s="44"/>
      <c r="W184" s="44">
        <f t="shared" si="3"/>
        <v>8564362</v>
      </c>
      <c r="X184" s="44"/>
      <c r="Y184" s="44">
        <v>25977285</v>
      </c>
      <c r="Z184" s="44"/>
      <c r="AA184" s="44">
        <f>+'Stmt net assets'!Y183</f>
        <v>26910908</v>
      </c>
      <c r="AB184" s="44"/>
      <c r="AC184" s="44">
        <f>+Y184+'Stmt of activities-GA rev'!AC185-'Stmt of activities-GAexp'!W184-AA184</f>
        <v>0</v>
      </c>
    </row>
    <row r="185" spans="1:29" s="47" customFormat="1" ht="12.75" customHeight="1">
      <c r="A185" s="47" t="s">
        <v>215</v>
      </c>
      <c r="B185" s="51"/>
      <c r="C185" s="47" t="s">
        <v>22</v>
      </c>
      <c r="E185" s="44">
        <v>5599726</v>
      </c>
      <c r="F185" s="44"/>
      <c r="G185" s="44">
        <v>279823</v>
      </c>
      <c r="H185" s="44"/>
      <c r="I185" s="44">
        <v>863034</v>
      </c>
      <c r="J185" s="44"/>
      <c r="K185" s="44">
        <v>1014591</v>
      </c>
      <c r="L185" s="44"/>
      <c r="M185" s="44">
        <v>2009150</v>
      </c>
      <c r="N185" s="44"/>
      <c r="O185" s="44">
        <v>238845</v>
      </c>
      <c r="P185" s="44"/>
      <c r="Q185" s="44">
        <v>2604294</v>
      </c>
      <c r="R185" s="44"/>
      <c r="S185" s="44">
        <v>0</v>
      </c>
      <c r="T185" s="44"/>
      <c r="U185" s="44">
        <v>350951</v>
      </c>
      <c r="V185" s="44"/>
      <c r="W185" s="44">
        <f t="shared" si="3"/>
        <v>12960414</v>
      </c>
      <c r="X185" s="44"/>
      <c r="Y185" s="44">
        <v>52074830</v>
      </c>
      <c r="Z185" s="44"/>
      <c r="AA185" s="44">
        <f>+'Stmt net assets'!Y184</f>
        <v>51512930</v>
      </c>
      <c r="AB185" s="44"/>
      <c r="AC185" s="44">
        <f>+Y185+'Stmt of activities-GA rev'!AC186-'Stmt of activities-GAexp'!W185-AA185</f>
        <v>0</v>
      </c>
    </row>
    <row r="186" spans="1:29" s="47" customFormat="1" ht="12.75" customHeight="1">
      <c r="A186" s="47" t="s">
        <v>216</v>
      </c>
      <c r="B186" s="51"/>
      <c r="C186" s="47" t="s">
        <v>45</v>
      </c>
      <c r="E186" s="44">
        <v>5192753</v>
      </c>
      <c r="F186" s="44"/>
      <c r="G186" s="44">
        <v>10438</v>
      </c>
      <c r="H186" s="44"/>
      <c r="I186" s="44">
        <v>578139</v>
      </c>
      <c r="J186" s="44"/>
      <c r="K186" s="44">
        <v>167284</v>
      </c>
      <c r="L186" s="44"/>
      <c r="M186" s="44">
        <v>1292937</v>
      </c>
      <c r="N186" s="44"/>
      <c r="O186" s="44">
        <v>448601</v>
      </c>
      <c r="P186" s="44"/>
      <c r="Q186" s="44">
        <v>1951398</v>
      </c>
      <c r="R186" s="44"/>
      <c r="S186" s="44">
        <v>0</v>
      </c>
      <c r="T186" s="44"/>
      <c r="U186" s="44">
        <v>103727</v>
      </c>
      <c r="V186" s="44"/>
      <c r="W186" s="44">
        <f t="shared" si="3"/>
        <v>9745277</v>
      </c>
      <c r="X186" s="44"/>
      <c r="Y186" s="44">
        <v>6424197</v>
      </c>
      <c r="Z186" s="44"/>
      <c r="AA186" s="44">
        <f>+'Stmt net assets'!Y185</f>
        <v>7954589</v>
      </c>
      <c r="AB186" s="44"/>
      <c r="AC186" s="44">
        <f>+Y186+'Stmt of activities-GA rev'!AC187-'Stmt of activities-GAexp'!W186-AA186</f>
        <v>0</v>
      </c>
    </row>
    <row r="187" spans="1:29" s="47" customFormat="1" ht="12.75" customHeight="1">
      <c r="A187" s="47" t="s">
        <v>217</v>
      </c>
      <c r="B187" s="51"/>
      <c r="C187" s="47" t="s">
        <v>43</v>
      </c>
      <c r="E187" s="44">
        <v>7198282</v>
      </c>
      <c r="F187" s="44"/>
      <c r="G187" s="44">
        <v>181525</v>
      </c>
      <c r="H187" s="44"/>
      <c r="I187" s="44">
        <v>1032327</v>
      </c>
      <c r="J187" s="44"/>
      <c r="K187" s="44">
        <v>1387674</v>
      </c>
      <c r="L187" s="44"/>
      <c r="M187" s="44">
        <v>3138021</v>
      </c>
      <c r="N187" s="44"/>
      <c r="O187" s="44">
        <v>0</v>
      </c>
      <c r="P187" s="44"/>
      <c r="Q187" s="44">
        <v>3930785</v>
      </c>
      <c r="R187" s="44"/>
      <c r="S187" s="44">
        <v>0</v>
      </c>
      <c r="T187" s="44"/>
      <c r="U187" s="44">
        <v>1158623</v>
      </c>
      <c r="V187" s="44"/>
      <c r="W187" s="44">
        <f t="shared" si="3"/>
        <v>18027237</v>
      </c>
      <c r="X187" s="44"/>
      <c r="Y187" s="44">
        <v>43322323</v>
      </c>
      <c r="Z187" s="44"/>
      <c r="AA187" s="44">
        <f>+'Stmt net assets'!Y186</f>
        <v>45253747</v>
      </c>
      <c r="AB187" s="44"/>
      <c r="AC187" s="44">
        <f>+Y187+'Stmt of activities-GA rev'!AC188-'Stmt of activities-GAexp'!W187-AA187</f>
        <v>0</v>
      </c>
    </row>
    <row r="188" spans="1:29" s="47" customFormat="1" ht="12.75" hidden="1" customHeight="1">
      <c r="A188" s="47" t="s">
        <v>218</v>
      </c>
      <c r="B188" s="51"/>
      <c r="C188" s="47" t="s">
        <v>27</v>
      </c>
      <c r="E188" s="44">
        <v>5841365</v>
      </c>
      <c r="F188" s="44"/>
      <c r="G188" s="44">
        <v>0</v>
      </c>
      <c r="H188" s="44"/>
      <c r="I188" s="44">
        <v>423467</v>
      </c>
      <c r="J188" s="44"/>
      <c r="K188" s="44">
        <v>357229</v>
      </c>
      <c r="L188" s="44"/>
      <c r="M188" s="44">
        <v>1489742</v>
      </c>
      <c r="N188" s="44"/>
      <c r="O188" s="44">
        <v>459866</v>
      </c>
      <c r="P188" s="44"/>
      <c r="Q188" s="44">
        <v>6419524</v>
      </c>
      <c r="R188" s="44"/>
      <c r="S188" s="44">
        <v>0</v>
      </c>
      <c r="T188" s="44"/>
      <c r="U188" s="44">
        <v>759618</v>
      </c>
      <c r="V188" s="44"/>
      <c r="W188" s="44">
        <f t="shared" si="3"/>
        <v>15750811</v>
      </c>
      <c r="X188" s="44"/>
      <c r="Y188" s="44">
        <v>7773412</v>
      </c>
      <c r="Z188" s="44"/>
      <c r="AA188" s="44">
        <f>+'Stmt net assets'!Y187</f>
        <v>6737148</v>
      </c>
      <c r="AB188" s="44"/>
      <c r="AC188" s="44">
        <f>+Y188+'Stmt of activities-GA rev'!AC189-'Stmt of activities-GAexp'!W188-AA188</f>
        <v>-116363</v>
      </c>
    </row>
    <row r="189" spans="1:29" s="47" customFormat="1" ht="12.75" customHeight="1">
      <c r="A189" s="47" t="s">
        <v>219</v>
      </c>
      <c r="B189" s="51"/>
      <c r="C189" s="47" t="s">
        <v>199</v>
      </c>
      <c r="E189" s="44">
        <v>1750009</v>
      </c>
      <c r="F189" s="44"/>
      <c r="G189" s="44">
        <v>97154</v>
      </c>
      <c r="H189" s="44"/>
      <c r="I189" s="44">
        <v>981831</v>
      </c>
      <c r="J189" s="44"/>
      <c r="K189" s="44">
        <v>0</v>
      </c>
      <c r="L189" s="44"/>
      <c r="M189" s="44">
        <v>811937</v>
      </c>
      <c r="N189" s="44"/>
      <c r="O189" s="44">
        <v>364421</v>
      </c>
      <c r="P189" s="44"/>
      <c r="Q189" s="44">
        <v>653436</v>
      </c>
      <c r="R189" s="44"/>
      <c r="S189" s="44">
        <v>0</v>
      </c>
      <c r="T189" s="44"/>
      <c r="U189" s="44">
        <v>61169</v>
      </c>
      <c r="V189" s="44"/>
      <c r="W189" s="44">
        <f t="shared" si="3"/>
        <v>4719957</v>
      </c>
      <c r="X189" s="44"/>
      <c r="Y189" s="44">
        <v>7500948</v>
      </c>
      <c r="Z189" s="44"/>
      <c r="AA189" s="44">
        <f>+'Stmt net assets'!Y188</f>
        <v>7032804</v>
      </c>
      <c r="AB189" s="44"/>
      <c r="AC189" s="44">
        <f>+Y189+'Stmt of activities-GA rev'!AC190-'Stmt of activities-GAexp'!W189-AA189</f>
        <v>0</v>
      </c>
    </row>
    <row r="190" spans="1:29" s="47" customFormat="1" ht="12.75" customHeight="1">
      <c r="A190" s="47" t="s">
        <v>220</v>
      </c>
      <c r="B190" s="51"/>
      <c r="C190" s="47" t="s">
        <v>66</v>
      </c>
      <c r="E190" s="44">
        <v>6116657</v>
      </c>
      <c r="F190" s="44"/>
      <c r="G190" s="44">
        <v>2678</v>
      </c>
      <c r="H190" s="44"/>
      <c r="I190" s="44">
        <v>46111</v>
      </c>
      <c r="J190" s="44"/>
      <c r="K190" s="44">
        <v>520064</v>
      </c>
      <c r="L190" s="44"/>
      <c r="M190" s="44">
        <v>1819920</v>
      </c>
      <c r="N190" s="44"/>
      <c r="O190" s="44">
        <v>0</v>
      </c>
      <c r="P190" s="44"/>
      <c r="Q190" s="44">
        <v>2033823</v>
      </c>
      <c r="R190" s="44"/>
      <c r="S190" s="44">
        <v>0</v>
      </c>
      <c r="T190" s="44"/>
      <c r="U190" s="44">
        <v>167852</v>
      </c>
      <c r="V190" s="44"/>
      <c r="W190" s="44">
        <f>SUM(E190:U190)</f>
        <v>10707105</v>
      </c>
      <c r="X190" s="44"/>
      <c r="Y190" s="44">
        <v>13810891</v>
      </c>
      <c r="Z190" s="44"/>
      <c r="AA190" s="44">
        <f>+'Stmt net assets'!Y189</f>
        <v>17387824</v>
      </c>
      <c r="AB190" s="44"/>
      <c r="AC190" s="44">
        <f>+Y190+'Stmt of activities-GA rev'!AC191-'Stmt of activities-GAexp'!W190-AA190</f>
        <v>0</v>
      </c>
    </row>
    <row r="191" spans="1:29" s="47" customFormat="1" ht="12.75" customHeight="1">
      <c r="A191" s="47" t="s">
        <v>221</v>
      </c>
      <c r="B191" s="51"/>
      <c r="C191" s="47" t="s">
        <v>27</v>
      </c>
      <c r="E191" s="44">
        <v>8863208</v>
      </c>
      <c r="F191" s="44"/>
      <c r="G191" s="44">
        <v>1363640</v>
      </c>
      <c r="H191" s="44"/>
      <c r="I191" s="44">
        <v>4006839</v>
      </c>
      <c r="J191" s="44"/>
      <c r="K191" s="44">
        <v>752811</v>
      </c>
      <c r="L191" s="44"/>
      <c r="M191" s="44">
        <v>2290959</v>
      </c>
      <c r="N191" s="44"/>
      <c r="O191" s="44">
        <v>1663525</v>
      </c>
      <c r="P191" s="44"/>
      <c r="Q191" s="44">
        <v>6704032</v>
      </c>
      <c r="R191" s="44"/>
      <c r="S191" s="44">
        <v>0</v>
      </c>
      <c r="T191" s="44"/>
      <c r="U191" s="44">
        <v>882306</v>
      </c>
      <c r="V191" s="44"/>
      <c r="W191" s="44">
        <f>SUM(E191:U191)</f>
        <v>26527320</v>
      </c>
      <c r="X191" s="44"/>
      <c r="Y191" s="44">
        <v>40313777</v>
      </c>
      <c r="Z191" s="44"/>
      <c r="AA191" s="44">
        <f>+'Stmt net assets'!Y190</f>
        <v>42457416</v>
      </c>
      <c r="AB191" s="44"/>
      <c r="AC191" s="44">
        <f>+Y191+'Stmt of activities-GA rev'!AC192-'Stmt of activities-GAexp'!W191-AA191</f>
        <v>0</v>
      </c>
    </row>
    <row r="192" spans="1:29" s="47" customFormat="1" ht="12.75" customHeight="1">
      <c r="A192" s="47" t="s">
        <v>222</v>
      </c>
      <c r="B192" s="51"/>
      <c r="C192" s="47" t="s">
        <v>47</v>
      </c>
      <c r="E192" s="44">
        <v>2228904</v>
      </c>
      <c r="F192" s="44"/>
      <c r="G192" s="44">
        <v>0</v>
      </c>
      <c r="H192" s="44"/>
      <c r="I192" s="44">
        <v>268673</v>
      </c>
      <c r="J192" s="44"/>
      <c r="K192" s="44">
        <v>0</v>
      </c>
      <c r="L192" s="44"/>
      <c r="M192" s="44">
        <v>974822</v>
      </c>
      <c r="N192" s="44"/>
      <c r="O192" s="44">
        <v>254420</v>
      </c>
      <c r="P192" s="44"/>
      <c r="Q192" s="44">
        <v>1043944</v>
      </c>
      <c r="R192" s="44"/>
      <c r="S192" s="44">
        <v>0</v>
      </c>
      <c r="T192" s="44"/>
      <c r="U192" s="44">
        <v>286154</v>
      </c>
      <c r="V192" s="44"/>
      <c r="W192" s="44">
        <f t="shared" si="3"/>
        <v>5056917</v>
      </c>
      <c r="X192" s="44"/>
      <c r="Y192" s="44">
        <v>1300836</v>
      </c>
      <c r="Z192" s="44"/>
      <c r="AA192" s="44">
        <f>+'Stmt net assets'!Y191</f>
        <v>2771136</v>
      </c>
      <c r="AB192" s="44"/>
      <c r="AC192" s="44">
        <f>+Y192+'Stmt of activities-GA rev'!AC193-'Stmt of activities-GAexp'!W192-AA192</f>
        <v>0</v>
      </c>
    </row>
    <row r="193" spans="1:30" s="47" customFormat="1" ht="12.75" customHeight="1">
      <c r="A193" s="47" t="s">
        <v>223</v>
      </c>
      <c r="B193" s="51"/>
      <c r="C193" s="47" t="s">
        <v>94</v>
      </c>
      <c r="E193" s="44">
        <v>3672803</v>
      </c>
      <c r="F193" s="44"/>
      <c r="G193" s="44">
        <v>0</v>
      </c>
      <c r="H193" s="44"/>
      <c r="I193" s="44">
        <v>560188</v>
      </c>
      <c r="J193" s="44"/>
      <c r="K193" s="44">
        <v>441002</v>
      </c>
      <c r="L193" s="44"/>
      <c r="M193" s="44">
        <v>1943913</v>
      </c>
      <c r="N193" s="44"/>
      <c r="O193" s="44">
        <v>0</v>
      </c>
      <c r="P193" s="44"/>
      <c r="Q193" s="44">
        <v>1181181</v>
      </c>
      <c r="R193" s="44"/>
      <c r="S193" s="44">
        <v>0</v>
      </c>
      <c r="T193" s="44"/>
      <c r="U193" s="44">
        <v>219274</v>
      </c>
      <c r="V193" s="44"/>
      <c r="W193" s="44">
        <f t="shared" si="3"/>
        <v>8018361</v>
      </c>
      <c r="X193" s="44"/>
      <c r="Y193" s="44">
        <v>20030600</v>
      </c>
      <c r="Z193" s="44"/>
      <c r="AA193" s="44">
        <f>+'Stmt net assets'!Y192</f>
        <v>18774124</v>
      </c>
      <c r="AB193" s="44"/>
      <c r="AC193" s="44">
        <f>+Y193+'Stmt of activities-GA rev'!AC194-'Stmt of activities-GAexp'!W193-AA193</f>
        <v>0</v>
      </c>
    </row>
    <row r="194" spans="1:30" s="47" customFormat="1" ht="12.75" customHeight="1">
      <c r="A194" s="47" t="s">
        <v>76</v>
      </c>
      <c r="B194" s="51"/>
      <c r="C194" s="47" t="s">
        <v>132</v>
      </c>
      <c r="E194" s="44">
        <v>11920728</v>
      </c>
      <c r="F194" s="44"/>
      <c r="G194" s="44">
        <v>390069</v>
      </c>
      <c r="H194" s="44"/>
      <c r="I194" s="44">
        <v>724443</v>
      </c>
      <c r="J194" s="44"/>
      <c r="K194" s="44">
        <v>3114975</v>
      </c>
      <c r="L194" s="44"/>
      <c r="M194" s="44">
        <v>4537224</v>
      </c>
      <c r="N194" s="44"/>
      <c r="O194" s="44">
        <v>0</v>
      </c>
      <c r="P194" s="44"/>
      <c r="Q194" s="44">
        <v>4752052</v>
      </c>
      <c r="R194" s="44"/>
      <c r="S194" s="44">
        <v>0</v>
      </c>
      <c r="T194" s="44"/>
      <c r="U194" s="44">
        <v>1347061</v>
      </c>
      <c r="V194" s="44"/>
      <c r="W194" s="44">
        <f t="shared" si="3"/>
        <v>26786552</v>
      </c>
      <c r="X194" s="44"/>
      <c r="Y194" s="44">
        <v>41748513</v>
      </c>
      <c r="Z194" s="44"/>
      <c r="AA194" s="44">
        <f>+'Stmt net assets'!Y193</f>
        <v>42041433</v>
      </c>
      <c r="AB194" s="44"/>
      <c r="AC194" s="44">
        <f>+Y194+'Stmt of activities-GA rev'!AC195-'Stmt of activities-GAexp'!W194-AA194</f>
        <v>0</v>
      </c>
    </row>
    <row r="195" spans="1:30" s="47" customFormat="1" ht="12.75" customHeight="1">
      <c r="A195" s="47" t="s">
        <v>224</v>
      </c>
      <c r="B195" s="51"/>
      <c r="C195" s="47" t="s">
        <v>27</v>
      </c>
      <c r="E195" s="44">
        <v>3697159</v>
      </c>
      <c r="F195" s="44"/>
      <c r="G195" s="44">
        <v>823992</v>
      </c>
      <c r="H195" s="44"/>
      <c r="I195" s="44">
        <v>1236323</v>
      </c>
      <c r="J195" s="44"/>
      <c r="K195" s="44">
        <v>685859</v>
      </c>
      <c r="L195" s="44"/>
      <c r="M195" s="44">
        <v>1914645</v>
      </c>
      <c r="N195" s="44"/>
      <c r="O195" s="44">
        <v>167484</v>
      </c>
      <c r="P195" s="44"/>
      <c r="Q195" s="44">
        <v>2623716</v>
      </c>
      <c r="R195" s="44"/>
      <c r="S195" s="44">
        <v>0</v>
      </c>
      <c r="T195" s="44"/>
      <c r="U195" s="44">
        <v>741489</v>
      </c>
      <c r="V195" s="44"/>
      <c r="W195" s="44">
        <f t="shared" si="3"/>
        <v>11890667</v>
      </c>
      <c r="X195" s="44"/>
      <c r="Y195" s="44">
        <v>14409304</v>
      </c>
      <c r="Z195" s="44"/>
      <c r="AA195" s="44">
        <f>+'Stmt net assets'!Y194</f>
        <v>15272865</v>
      </c>
      <c r="AB195" s="44"/>
      <c r="AC195" s="44">
        <f>+Y195+'Stmt of activities-GA rev'!AC196-'Stmt of activities-GAexp'!W195-AA195</f>
        <v>0</v>
      </c>
    </row>
    <row r="196" spans="1:30" s="47" customFormat="1" ht="12.75" customHeight="1">
      <c r="A196" s="47" t="s">
        <v>225</v>
      </c>
      <c r="B196" s="51"/>
      <c r="C196" s="47" t="s">
        <v>27</v>
      </c>
      <c r="E196" s="44">
        <f>15020795+8185402+697749</f>
        <v>23903946</v>
      </c>
      <c r="F196" s="44"/>
      <c r="G196" s="44">
        <v>563495</v>
      </c>
      <c r="H196" s="44"/>
      <c r="I196" s="44">
        <f>2122995+2011371</f>
        <v>4134366</v>
      </c>
      <c r="J196" s="44"/>
      <c r="K196" s="44">
        <v>7240967</v>
      </c>
      <c r="L196" s="44"/>
      <c r="M196" s="44">
        <v>2181766</v>
      </c>
      <c r="N196" s="44"/>
      <c r="O196" s="44">
        <v>2086620</v>
      </c>
      <c r="P196" s="44"/>
      <c r="Q196" s="44">
        <f>4123743+2303855</f>
        <v>6427598</v>
      </c>
      <c r="R196" s="44"/>
      <c r="S196" s="44">
        <v>3915730</v>
      </c>
      <c r="T196" s="44"/>
      <c r="U196" s="44">
        <v>1048868</v>
      </c>
      <c r="V196" s="44"/>
      <c r="W196" s="44">
        <f t="shared" si="3"/>
        <v>51503356</v>
      </c>
      <c r="X196" s="44"/>
      <c r="Y196" s="44">
        <v>101581043</v>
      </c>
      <c r="Z196" s="44"/>
      <c r="AA196" s="44">
        <f>+'Stmt net assets'!Y195</f>
        <v>102265773</v>
      </c>
      <c r="AB196" s="44"/>
      <c r="AC196" s="44">
        <f>+Y196+'Stmt of activities-GA rev'!AC197-'Stmt of activities-GAexp'!W196-AA196</f>
        <v>0</v>
      </c>
    </row>
    <row r="197" spans="1:30" s="47" customFormat="1" ht="12.75" customHeight="1">
      <c r="A197" s="47" t="s">
        <v>226</v>
      </c>
      <c r="B197" s="51"/>
      <c r="C197" s="47" t="s">
        <v>45</v>
      </c>
      <c r="E197" s="44">
        <v>12781602</v>
      </c>
      <c r="F197" s="44"/>
      <c r="G197" s="44">
        <v>325641</v>
      </c>
      <c r="H197" s="44"/>
      <c r="I197" s="44">
        <v>3199167</v>
      </c>
      <c r="J197" s="44"/>
      <c r="K197" s="44">
        <v>474967</v>
      </c>
      <c r="L197" s="44"/>
      <c r="M197" s="44">
        <v>2368038</v>
      </c>
      <c r="N197" s="44"/>
      <c r="O197" s="44">
        <v>541779</v>
      </c>
      <c r="P197" s="44"/>
      <c r="Q197" s="44">
        <v>4703522</v>
      </c>
      <c r="R197" s="44"/>
      <c r="S197" s="44">
        <v>0</v>
      </c>
      <c r="T197" s="44"/>
      <c r="U197" s="44">
        <v>798793</v>
      </c>
      <c r="V197" s="44"/>
      <c r="W197" s="44">
        <f t="shared" si="3"/>
        <v>25193509</v>
      </c>
      <c r="X197" s="44"/>
      <c r="Y197" s="44">
        <v>24829208</v>
      </c>
      <c r="Z197" s="44"/>
      <c r="AA197" s="44">
        <f>+'Stmt net assets'!Y196</f>
        <v>25909579</v>
      </c>
      <c r="AB197" s="44"/>
      <c r="AC197" s="44">
        <f>+Y197+'Stmt of activities-GA rev'!AC198-'Stmt of activities-GAexp'!W197-AA197</f>
        <v>0</v>
      </c>
      <c r="AD197" s="103"/>
    </row>
    <row r="198" spans="1:30" s="47" customFormat="1" ht="12.75" customHeight="1">
      <c r="B198" s="51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8" t="s">
        <v>485</v>
      </c>
      <c r="AB198" s="44"/>
      <c r="AC198" s="44"/>
      <c r="AD198" s="103"/>
    </row>
    <row r="199" spans="1:30" s="46" customFormat="1" ht="12.75" customHeight="1">
      <c r="A199" s="46" t="s">
        <v>227</v>
      </c>
      <c r="B199" s="66"/>
      <c r="C199" s="46" t="s">
        <v>17</v>
      </c>
      <c r="E199" s="46">
        <v>3065950</v>
      </c>
      <c r="G199" s="46">
        <v>32453</v>
      </c>
      <c r="I199" s="46">
        <v>75277</v>
      </c>
      <c r="K199" s="46">
        <v>670936</v>
      </c>
      <c r="M199" s="46">
        <v>1868812</v>
      </c>
      <c r="O199" s="46">
        <v>591115</v>
      </c>
      <c r="Q199" s="46">
        <v>789666</v>
      </c>
      <c r="S199" s="46">
        <v>0</v>
      </c>
      <c r="U199" s="46">
        <v>125727</v>
      </c>
      <c r="W199" s="46">
        <f t="shared" si="3"/>
        <v>7219936</v>
      </c>
      <c r="Y199" s="46">
        <v>12219070</v>
      </c>
      <c r="AA199" s="46">
        <f>+'Stmt net assets'!Y198</f>
        <v>12194504</v>
      </c>
      <c r="AC199" s="46">
        <f>+Y199+'Stmt of activities-GA rev'!AC200-'Stmt of activities-GAexp'!W199-AA199</f>
        <v>0</v>
      </c>
    </row>
    <row r="200" spans="1:30" s="47" customFormat="1" ht="12.75" customHeight="1">
      <c r="A200" s="47" t="s">
        <v>228</v>
      </c>
      <c r="B200" s="51"/>
      <c r="C200" s="47" t="s">
        <v>153</v>
      </c>
      <c r="E200" s="44">
        <v>2857086</v>
      </c>
      <c r="F200" s="44"/>
      <c r="G200" s="44">
        <v>334043</v>
      </c>
      <c r="H200" s="44"/>
      <c r="I200" s="44">
        <v>78345</v>
      </c>
      <c r="J200" s="44"/>
      <c r="K200" s="44">
        <v>440134</v>
      </c>
      <c r="L200" s="44"/>
      <c r="M200" s="44">
        <v>1257035</v>
      </c>
      <c r="N200" s="44"/>
      <c r="O200" s="44">
        <v>0</v>
      </c>
      <c r="P200" s="44"/>
      <c r="Q200" s="44">
        <v>1331170</v>
      </c>
      <c r="R200" s="44"/>
      <c r="S200" s="44">
        <v>28788</v>
      </c>
      <c r="T200" s="44"/>
      <c r="U200" s="44">
        <v>8211</v>
      </c>
      <c r="V200" s="44"/>
      <c r="W200" s="44">
        <f t="shared" si="3"/>
        <v>6334812</v>
      </c>
      <c r="X200" s="44"/>
      <c r="Y200" s="44">
        <v>19196898</v>
      </c>
      <c r="Z200" s="44"/>
      <c r="AA200" s="44">
        <f>+'Stmt net assets'!Y199</f>
        <v>21334307</v>
      </c>
      <c r="AB200" s="44"/>
      <c r="AC200" s="44">
        <f>+Y200+'Stmt of activities-GA rev'!AC201-'Stmt of activities-GAexp'!W200-AA200</f>
        <v>0</v>
      </c>
    </row>
    <row r="201" spans="1:30" s="47" customFormat="1" ht="12.75" customHeight="1">
      <c r="A201" s="47" t="s">
        <v>229</v>
      </c>
      <c r="B201" s="51"/>
      <c r="C201" s="47" t="s">
        <v>228</v>
      </c>
      <c r="E201" s="44">
        <v>12226710</v>
      </c>
      <c r="F201" s="44"/>
      <c r="G201" s="44">
        <v>227045</v>
      </c>
      <c r="H201" s="44"/>
      <c r="I201" s="44">
        <v>1628824</v>
      </c>
      <c r="J201" s="44"/>
      <c r="K201" s="44">
        <v>1618014</v>
      </c>
      <c r="L201" s="44"/>
      <c r="M201" s="44">
        <v>3163599</v>
      </c>
      <c r="N201" s="44"/>
      <c r="O201" s="44">
        <v>54531</v>
      </c>
      <c r="P201" s="44"/>
      <c r="Q201" s="44">
        <v>1801257</v>
      </c>
      <c r="R201" s="44"/>
      <c r="S201" s="44">
        <v>0</v>
      </c>
      <c r="T201" s="44"/>
      <c r="U201" s="44">
        <v>392921</v>
      </c>
      <c r="V201" s="44"/>
      <c r="W201" s="44">
        <f t="shared" si="3"/>
        <v>21112901</v>
      </c>
      <c r="X201" s="44"/>
      <c r="Y201" s="44">
        <v>57129473</v>
      </c>
      <c r="Z201" s="44"/>
      <c r="AA201" s="44">
        <f>+'Stmt net assets'!Y200</f>
        <v>59380259</v>
      </c>
      <c r="AB201" s="44"/>
      <c r="AC201" s="44">
        <f>+Y201+'Stmt of activities-GA rev'!AC202-'Stmt of activities-GAexp'!W201-AA201</f>
        <v>0</v>
      </c>
    </row>
    <row r="202" spans="1:30" s="47" customFormat="1" ht="12.75" customHeight="1">
      <c r="A202" s="47" t="s">
        <v>230</v>
      </c>
      <c r="B202" s="51"/>
      <c r="C202" s="47" t="s">
        <v>45</v>
      </c>
      <c r="E202" s="44">
        <v>1344204</v>
      </c>
      <c r="F202" s="44"/>
      <c r="G202" s="44">
        <v>4746</v>
      </c>
      <c r="H202" s="44"/>
      <c r="I202" s="44">
        <v>25349</v>
      </c>
      <c r="J202" s="44"/>
      <c r="K202" s="44">
        <v>298739</v>
      </c>
      <c r="L202" s="44"/>
      <c r="M202" s="44">
        <v>279264</v>
      </c>
      <c r="N202" s="44"/>
      <c r="O202" s="44">
        <v>0</v>
      </c>
      <c r="P202" s="44"/>
      <c r="Q202" s="44">
        <v>966348</v>
      </c>
      <c r="R202" s="44"/>
      <c r="S202" s="44">
        <v>0</v>
      </c>
      <c r="T202" s="44"/>
      <c r="U202" s="44">
        <v>8905</v>
      </c>
      <c r="V202" s="44"/>
      <c r="W202" s="44">
        <f t="shared" si="3"/>
        <v>2927555</v>
      </c>
      <c r="X202" s="44"/>
      <c r="Y202" s="44">
        <v>4128011</v>
      </c>
      <c r="Z202" s="44"/>
      <c r="AA202" s="44">
        <f>+'Stmt net assets'!Y201</f>
        <v>4924152</v>
      </c>
      <c r="AB202" s="44"/>
      <c r="AC202" s="44">
        <f>+Y202+'Stmt of activities-GA rev'!AC203-'Stmt of activities-GAexp'!W202-AA202</f>
        <v>0</v>
      </c>
    </row>
    <row r="203" spans="1:30" s="47" customFormat="1" ht="12.75" customHeight="1">
      <c r="A203" s="47" t="s">
        <v>231</v>
      </c>
      <c r="B203" s="51"/>
      <c r="C203" s="47" t="s">
        <v>27</v>
      </c>
      <c r="E203" s="44">
        <v>15245304</v>
      </c>
      <c r="F203" s="44"/>
      <c r="G203" s="44">
        <v>98755</v>
      </c>
      <c r="H203" s="44"/>
      <c r="I203" s="44">
        <v>6385083</v>
      </c>
      <c r="J203" s="44"/>
      <c r="K203" s="44">
        <v>4002244</v>
      </c>
      <c r="L203" s="44"/>
      <c r="M203" s="44">
        <v>13287441</v>
      </c>
      <c r="N203" s="44"/>
      <c r="O203" s="44">
        <v>1982158</v>
      </c>
      <c r="P203" s="44"/>
      <c r="Q203" s="44">
        <v>6361136</v>
      </c>
      <c r="R203" s="44"/>
      <c r="S203" s="44">
        <v>0</v>
      </c>
      <c r="T203" s="44"/>
      <c r="U203" s="44">
        <v>1374360</v>
      </c>
      <c r="V203" s="44"/>
      <c r="W203" s="44">
        <f t="shared" si="3"/>
        <v>48736481</v>
      </c>
      <c r="X203" s="44"/>
      <c r="Y203" s="44">
        <v>123711311</v>
      </c>
      <c r="Z203" s="44"/>
      <c r="AA203" s="44">
        <f>+'Stmt net assets'!Y202</f>
        <v>132131372</v>
      </c>
      <c r="AB203" s="44"/>
      <c r="AC203" s="44">
        <f>+Y203+'Stmt of activities-GA rev'!AC204-'Stmt of activities-GAexp'!W203-AA203</f>
        <v>0</v>
      </c>
    </row>
    <row r="204" spans="1:30" s="47" customFormat="1" ht="12.75" customHeight="1">
      <c r="A204" s="47" t="s">
        <v>232</v>
      </c>
      <c r="B204" s="51"/>
      <c r="C204" s="47" t="s">
        <v>27</v>
      </c>
      <c r="E204" s="44">
        <v>9132175</v>
      </c>
      <c r="F204" s="44"/>
      <c r="G204" s="44">
        <v>135702</v>
      </c>
      <c r="H204" s="44"/>
      <c r="I204" s="44">
        <v>1966483</v>
      </c>
      <c r="J204" s="44"/>
      <c r="K204" s="44">
        <v>236164</v>
      </c>
      <c r="L204" s="44"/>
      <c r="M204" s="44">
        <v>3333162</v>
      </c>
      <c r="N204" s="44"/>
      <c r="O204" s="44">
        <v>3313199</v>
      </c>
      <c r="P204" s="44"/>
      <c r="Q204" s="44">
        <v>2853979</v>
      </c>
      <c r="R204" s="44"/>
      <c r="S204" s="44">
        <v>1055090</v>
      </c>
      <c r="T204" s="44"/>
      <c r="U204" s="44">
        <v>1487180</v>
      </c>
      <c r="V204" s="44"/>
      <c r="W204" s="44">
        <f t="shared" si="3"/>
        <v>23513134</v>
      </c>
      <c r="X204" s="44"/>
      <c r="Y204" s="44">
        <v>43333070</v>
      </c>
      <c r="Z204" s="44"/>
      <c r="AA204" s="44">
        <f>+'Stmt net assets'!Y203</f>
        <v>44845120</v>
      </c>
      <c r="AB204" s="44"/>
      <c r="AC204" s="44">
        <f>+Y204+'Stmt of activities-GA rev'!AC205-'Stmt of activities-GAexp'!W204-AA204</f>
        <v>0</v>
      </c>
    </row>
    <row r="205" spans="1:30" s="47" customFormat="1" ht="12.75" customHeight="1">
      <c r="A205" s="47" t="s">
        <v>233</v>
      </c>
      <c r="B205" s="51"/>
      <c r="C205" s="47" t="s">
        <v>111</v>
      </c>
      <c r="E205" s="44">
        <v>2697240</v>
      </c>
      <c r="F205" s="44"/>
      <c r="G205" s="44">
        <v>11518</v>
      </c>
      <c r="H205" s="44"/>
      <c r="I205" s="44">
        <v>534363</v>
      </c>
      <c r="J205" s="44"/>
      <c r="K205" s="44">
        <v>736720</v>
      </c>
      <c r="L205" s="44"/>
      <c r="M205" s="44">
        <v>2194691</v>
      </c>
      <c r="N205" s="44"/>
      <c r="O205" s="44">
        <v>0</v>
      </c>
      <c r="P205" s="44"/>
      <c r="Q205" s="44">
        <v>4076554</v>
      </c>
      <c r="R205" s="44"/>
      <c r="S205" s="44">
        <v>0</v>
      </c>
      <c r="T205" s="44"/>
      <c r="U205" s="44">
        <v>466493</v>
      </c>
      <c r="V205" s="44"/>
      <c r="W205" s="44">
        <f t="shared" si="3"/>
        <v>10717579</v>
      </c>
      <c r="X205" s="44"/>
      <c r="Y205" s="44">
        <v>47718256</v>
      </c>
      <c r="Z205" s="44"/>
      <c r="AA205" s="44">
        <f>+'Stmt net assets'!Y204</f>
        <v>50090963</v>
      </c>
      <c r="AB205" s="44"/>
      <c r="AC205" s="44">
        <f>+Y205+'Stmt of activities-GA rev'!AC206-'Stmt of activities-GAexp'!W205-AA205</f>
        <v>0</v>
      </c>
    </row>
    <row r="206" spans="1:30" s="47" customFormat="1" ht="12.75" customHeight="1">
      <c r="A206" s="47" t="s">
        <v>234</v>
      </c>
      <c r="B206" s="51"/>
      <c r="C206" s="47" t="s">
        <v>45</v>
      </c>
      <c r="E206" s="44">
        <v>8012932</v>
      </c>
      <c r="F206" s="44"/>
      <c r="G206" s="44">
        <v>307216</v>
      </c>
      <c r="H206" s="44"/>
      <c r="I206" s="44">
        <v>2122880</v>
      </c>
      <c r="J206" s="44"/>
      <c r="K206" s="44">
        <v>665349</v>
      </c>
      <c r="L206" s="44"/>
      <c r="M206" s="44">
        <v>2754111</v>
      </c>
      <c r="N206" s="44"/>
      <c r="O206" s="44">
        <v>0</v>
      </c>
      <c r="P206" s="44"/>
      <c r="Q206" s="44">
        <v>5878925</v>
      </c>
      <c r="R206" s="44"/>
      <c r="S206" s="44">
        <v>0</v>
      </c>
      <c r="T206" s="44"/>
      <c r="U206" s="44">
        <v>379544</v>
      </c>
      <c r="V206" s="44"/>
      <c r="W206" s="44">
        <f t="shared" si="3"/>
        <v>20120957</v>
      </c>
      <c r="X206" s="44"/>
      <c r="Y206" s="44">
        <v>42648829</v>
      </c>
      <c r="Z206" s="44"/>
      <c r="AA206" s="44">
        <f>+'Stmt net assets'!Y205</f>
        <v>47987413</v>
      </c>
      <c r="AB206" s="44"/>
      <c r="AC206" s="44">
        <f>+Y206+'Stmt of activities-GA rev'!AC207-'Stmt of activities-GAexp'!W206-AA206</f>
        <v>0</v>
      </c>
    </row>
    <row r="207" spans="1:30" s="47" customFormat="1" ht="12.75" customHeight="1">
      <c r="A207" s="47" t="s">
        <v>235</v>
      </c>
      <c r="C207" s="47" t="s">
        <v>183</v>
      </c>
      <c r="E207" s="44">
        <v>29778813</v>
      </c>
      <c r="F207" s="44"/>
      <c r="G207" s="44">
        <v>183960</v>
      </c>
      <c r="H207" s="44"/>
      <c r="I207" s="44">
        <v>3007541</v>
      </c>
      <c r="J207" s="44"/>
      <c r="K207" s="44">
        <v>8990028</v>
      </c>
      <c r="L207" s="44"/>
      <c r="M207" s="44">
        <v>5715359</v>
      </c>
      <c r="N207" s="44"/>
      <c r="O207" s="44">
        <v>323072</v>
      </c>
      <c r="P207" s="44"/>
      <c r="Q207" s="44">
        <v>11762865</v>
      </c>
      <c r="R207" s="44"/>
      <c r="S207" s="44">
        <v>0</v>
      </c>
      <c r="T207" s="44"/>
      <c r="U207" s="44">
        <v>770465</v>
      </c>
      <c r="V207" s="44"/>
      <c r="W207" s="44">
        <f t="shared" si="3"/>
        <v>60532103</v>
      </c>
      <c r="X207" s="44"/>
      <c r="Y207" s="44">
        <v>85658063</v>
      </c>
      <c r="Z207" s="44"/>
      <c r="AA207" s="44">
        <f>+'Stmt net assets'!Y206</f>
        <v>95134334</v>
      </c>
      <c r="AB207" s="44"/>
      <c r="AC207" s="44">
        <f>+Y207+'Stmt of activities-GA rev'!AC208-'Stmt of activities-GAexp'!W207-AA207</f>
        <v>0</v>
      </c>
    </row>
    <row r="208" spans="1:30" s="47" customFormat="1" ht="12.75" customHeight="1">
      <c r="A208" s="47" t="s">
        <v>236</v>
      </c>
      <c r="B208" s="51"/>
      <c r="C208" s="47" t="s">
        <v>45</v>
      </c>
      <c r="E208" s="44">
        <v>4635384</v>
      </c>
      <c r="F208" s="44"/>
      <c r="G208" s="44">
        <v>93939</v>
      </c>
      <c r="H208" s="44"/>
      <c r="I208" s="44">
        <v>424911</v>
      </c>
      <c r="J208" s="44"/>
      <c r="K208" s="44">
        <v>0</v>
      </c>
      <c r="L208" s="44"/>
      <c r="M208" s="44">
        <v>862062</v>
      </c>
      <c r="N208" s="44"/>
      <c r="O208" s="44">
        <v>620</v>
      </c>
      <c r="P208" s="44"/>
      <c r="Q208" s="44">
        <v>3947575</v>
      </c>
      <c r="R208" s="44"/>
      <c r="S208" s="44">
        <v>1116301</v>
      </c>
      <c r="T208" s="44"/>
      <c r="U208" s="44">
        <v>84289</v>
      </c>
      <c r="V208" s="44"/>
      <c r="W208" s="44">
        <f t="shared" si="3"/>
        <v>11165081</v>
      </c>
      <c r="X208" s="44"/>
      <c r="Y208" s="44">
        <v>16774683</v>
      </c>
      <c r="Z208" s="44"/>
      <c r="AA208" s="44">
        <f>+'Stmt net assets'!Y207</f>
        <v>18748840</v>
      </c>
      <c r="AB208" s="44"/>
      <c r="AC208" s="44">
        <f>+Y208+'Stmt of activities-GA rev'!AC209-'Stmt of activities-GAexp'!W208-AA208</f>
        <v>0</v>
      </c>
    </row>
    <row r="209" spans="1:29" s="47" customFormat="1" ht="12.75" customHeight="1">
      <c r="A209" s="47" t="s">
        <v>237</v>
      </c>
      <c r="B209" s="51"/>
      <c r="C209" s="47" t="s">
        <v>33</v>
      </c>
      <c r="E209" s="44">
        <v>998378</v>
      </c>
      <c r="F209" s="44"/>
      <c r="G209" s="44">
        <v>33189</v>
      </c>
      <c r="H209" s="44"/>
      <c r="I209" s="44">
        <v>455819</v>
      </c>
      <c r="J209" s="44"/>
      <c r="K209" s="44">
        <v>613317</v>
      </c>
      <c r="L209" s="44"/>
      <c r="M209" s="44">
        <v>581580</v>
      </c>
      <c r="N209" s="44"/>
      <c r="O209" s="44">
        <v>0</v>
      </c>
      <c r="P209" s="44"/>
      <c r="Q209" s="44">
        <v>359279</v>
      </c>
      <c r="R209" s="44"/>
      <c r="S209" s="44">
        <v>0</v>
      </c>
      <c r="T209" s="44"/>
      <c r="U209" s="44">
        <v>53704</v>
      </c>
      <c r="V209" s="44"/>
      <c r="W209" s="44">
        <f t="shared" si="3"/>
        <v>3095266</v>
      </c>
      <c r="X209" s="44"/>
      <c r="Y209" s="44">
        <v>6292161</v>
      </c>
      <c r="Z209" s="44"/>
      <c r="AA209" s="44">
        <f>+'Stmt net assets'!Y208</f>
        <v>6505028</v>
      </c>
      <c r="AB209" s="44"/>
      <c r="AC209" s="44">
        <f>+Y209+'Stmt of activities-GA rev'!AC210-'Stmt of activities-GAexp'!W209-AA209</f>
        <v>0</v>
      </c>
    </row>
    <row r="210" spans="1:29" s="47" customFormat="1" ht="12.75" customHeight="1">
      <c r="A210" s="47" t="s">
        <v>238</v>
      </c>
      <c r="B210" s="51"/>
      <c r="C210" s="47" t="s">
        <v>239</v>
      </c>
      <c r="E210" s="44">
        <v>2967425</v>
      </c>
      <c r="F210" s="44"/>
      <c r="G210" s="44">
        <v>2773</v>
      </c>
      <c r="H210" s="44"/>
      <c r="I210" s="44">
        <v>409977</v>
      </c>
      <c r="J210" s="44"/>
      <c r="K210" s="44">
        <v>60528</v>
      </c>
      <c r="L210" s="44"/>
      <c r="M210" s="44">
        <v>1590529</v>
      </c>
      <c r="N210" s="44"/>
      <c r="O210" s="44">
        <v>0</v>
      </c>
      <c r="P210" s="44"/>
      <c r="Q210" s="44">
        <v>1309383</v>
      </c>
      <c r="R210" s="44"/>
      <c r="S210" s="44">
        <v>12281</v>
      </c>
      <c r="T210" s="44"/>
      <c r="U210" s="44">
        <v>31763</v>
      </c>
      <c r="V210" s="44"/>
      <c r="W210" s="44">
        <f t="shared" si="3"/>
        <v>6384659</v>
      </c>
      <c r="X210" s="44"/>
      <c r="Y210" s="44">
        <v>30905720</v>
      </c>
      <c r="Z210" s="44"/>
      <c r="AA210" s="44">
        <f>+'Stmt net assets'!Y209</f>
        <v>32541142</v>
      </c>
      <c r="AB210" s="44"/>
      <c r="AC210" s="44">
        <f>+Y210+'Stmt of activities-GA rev'!AC211-'Stmt of activities-GAexp'!W210-AA210</f>
        <v>0</v>
      </c>
    </row>
    <row r="211" spans="1:29" s="47" customFormat="1" ht="12.75" customHeight="1">
      <c r="A211" s="47" t="s">
        <v>487</v>
      </c>
      <c r="B211" s="51"/>
      <c r="C211" s="47" t="s">
        <v>249</v>
      </c>
      <c r="E211" s="44">
        <v>7899412</v>
      </c>
      <c r="F211" s="44"/>
      <c r="G211" s="44">
        <v>584846</v>
      </c>
      <c r="H211" s="44"/>
      <c r="I211" s="44">
        <v>1150102</v>
      </c>
      <c r="J211" s="44"/>
      <c r="K211" s="44">
        <v>766962</v>
      </c>
      <c r="L211" s="44"/>
      <c r="M211" s="44">
        <v>3132508</v>
      </c>
      <c r="N211" s="44"/>
      <c r="O211" s="44">
        <v>0</v>
      </c>
      <c r="P211" s="44"/>
      <c r="Q211" s="44">
        <v>3718120</v>
      </c>
      <c r="R211" s="44"/>
      <c r="S211" s="44">
        <v>0</v>
      </c>
      <c r="T211" s="44"/>
      <c r="U211" s="44">
        <v>110959</v>
      </c>
      <c r="V211" s="44"/>
      <c r="W211" s="44">
        <f>SUM(E211:U211)</f>
        <v>17362909</v>
      </c>
      <c r="X211" s="44"/>
      <c r="Y211" s="44">
        <v>23260582</v>
      </c>
      <c r="Z211" s="44"/>
      <c r="AA211" s="44">
        <f>+'Stmt net assets'!Y210</f>
        <v>25368304</v>
      </c>
      <c r="AB211" s="44"/>
      <c r="AC211" s="44">
        <f>+Y211+'Stmt of activities-GA rev'!AC212-'Stmt of activities-GAexp'!W211-AA211</f>
        <v>0</v>
      </c>
    </row>
    <row r="212" spans="1:29" s="47" customFormat="1" ht="12.75" customHeight="1">
      <c r="A212" s="47" t="s">
        <v>240</v>
      </c>
      <c r="B212" s="51"/>
      <c r="C212" s="47" t="s">
        <v>13</v>
      </c>
      <c r="E212" s="44">
        <v>14022484</v>
      </c>
      <c r="F212" s="44"/>
      <c r="G212" s="44">
        <v>435708</v>
      </c>
      <c r="H212" s="44"/>
      <c r="I212" s="44">
        <v>2201854</v>
      </c>
      <c r="J212" s="44"/>
      <c r="K212" s="44">
        <v>1508163</v>
      </c>
      <c r="L212" s="44"/>
      <c r="M212" s="44">
        <v>4952032</v>
      </c>
      <c r="N212" s="44"/>
      <c r="O212" s="44">
        <v>0</v>
      </c>
      <c r="P212" s="44"/>
      <c r="Q212" s="44">
        <v>6377744</v>
      </c>
      <c r="R212" s="44"/>
      <c r="S212" s="44">
        <v>0</v>
      </c>
      <c r="T212" s="44"/>
      <c r="U212" s="44">
        <v>831442</v>
      </c>
      <c r="V212" s="44"/>
      <c r="W212" s="44">
        <f t="shared" si="3"/>
        <v>30329427</v>
      </c>
      <c r="X212" s="44"/>
      <c r="Y212" s="44">
        <v>42479250</v>
      </c>
      <c r="Z212" s="44"/>
      <c r="AA212" s="44">
        <f>+'Stmt net assets'!Y211</f>
        <v>43808053</v>
      </c>
      <c r="AB212" s="44"/>
      <c r="AC212" s="44">
        <f>+Y212+'Stmt of activities-GA rev'!AC213-'Stmt of activities-GAexp'!W212-AA212</f>
        <v>0</v>
      </c>
    </row>
    <row r="213" spans="1:29" s="138" customFormat="1" ht="12.75" hidden="1" customHeight="1">
      <c r="A213" s="138" t="s">
        <v>241</v>
      </c>
      <c r="B213" s="140"/>
      <c r="C213" s="138" t="s">
        <v>22</v>
      </c>
      <c r="E213" s="137">
        <v>0</v>
      </c>
      <c r="F213" s="137"/>
      <c r="G213" s="137">
        <v>0</v>
      </c>
      <c r="H213" s="137"/>
      <c r="I213" s="137">
        <v>0</v>
      </c>
      <c r="J213" s="137"/>
      <c r="K213" s="137">
        <v>0</v>
      </c>
      <c r="L213" s="137"/>
      <c r="M213" s="137">
        <v>0</v>
      </c>
      <c r="N213" s="137"/>
      <c r="O213" s="137">
        <v>0</v>
      </c>
      <c r="P213" s="137"/>
      <c r="Q213" s="137">
        <v>0</v>
      </c>
      <c r="R213" s="137"/>
      <c r="S213" s="137">
        <v>0</v>
      </c>
      <c r="T213" s="137"/>
      <c r="U213" s="137">
        <v>0</v>
      </c>
      <c r="V213" s="137"/>
      <c r="W213" s="137">
        <f t="shared" si="3"/>
        <v>0</v>
      </c>
      <c r="X213" s="137"/>
      <c r="Y213" s="137">
        <v>0</v>
      </c>
      <c r="Z213" s="137"/>
      <c r="AA213" s="137">
        <f>+'Stmt net assets'!Y212</f>
        <v>0</v>
      </c>
      <c r="AB213" s="137"/>
      <c r="AC213" s="44">
        <f>+Y213+'Stmt of activities-GA rev'!AC214-'Stmt of activities-GAexp'!W213-AA213</f>
        <v>0</v>
      </c>
    </row>
    <row r="214" spans="1:29" s="47" customFormat="1" ht="12.75" customHeight="1">
      <c r="A214" s="47" t="s">
        <v>242</v>
      </c>
      <c r="B214" s="51"/>
      <c r="C214" s="47" t="s">
        <v>27</v>
      </c>
      <c r="E214" s="44">
        <v>18018132</v>
      </c>
      <c r="F214" s="44"/>
      <c r="G214" s="44">
        <v>691325</v>
      </c>
      <c r="H214" s="44"/>
      <c r="I214" s="44">
        <v>5489674</v>
      </c>
      <c r="J214" s="44"/>
      <c r="K214" s="44">
        <v>1412973</v>
      </c>
      <c r="L214" s="44"/>
      <c r="M214" s="44">
        <v>14221684</v>
      </c>
      <c r="N214" s="44"/>
      <c r="O214" s="44">
        <v>2512831</v>
      </c>
      <c r="P214" s="44"/>
      <c r="Q214" s="44">
        <v>6786628</v>
      </c>
      <c r="R214" s="44"/>
      <c r="S214" s="44">
        <v>0</v>
      </c>
      <c r="T214" s="44"/>
      <c r="U214" s="44">
        <v>1983198</v>
      </c>
      <c r="V214" s="44"/>
      <c r="W214" s="44">
        <f t="shared" si="3"/>
        <v>51116445</v>
      </c>
      <c r="X214" s="44"/>
      <c r="Y214" s="44">
        <v>168957296</v>
      </c>
      <c r="Z214" s="44"/>
      <c r="AA214" s="44">
        <f>+'Stmt net assets'!Y213</f>
        <v>169170181</v>
      </c>
      <c r="AB214" s="44"/>
      <c r="AC214" s="44">
        <f>+Y214+'Stmt of activities-GA rev'!AC215-'Stmt of activities-GAexp'!W214-AA214</f>
        <v>0</v>
      </c>
    </row>
    <row r="215" spans="1:29" s="47" customFormat="1" ht="12.75" customHeight="1">
      <c r="A215" s="47" t="s">
        <v>243</v>
      </c>
      <c r="B215" s="51"/>
      <c r="C215" s="47" t="s">
        <v>163</v>
      </c>
      <c r="E215" s="44">
        <v>5694259</v>
      </c>
      <c r="F215" s="44"/>
      <c r="G215" s="44">
        <v>180312</v>
      </c>
      <c r="H215" s="44"/>
      <c r="I215" s="44">
        <v>1660597</v>
      </c>
      <c r="J215" s="44"/>
      <c r="K215" s="44">
        <v>630451</v>
      </c>
      <c r="L215" s="44"/>
      <c r="M215" s="44">
        <v>3936139</v>
      </c>
      <c r="N215" s="44"/>
      <c r="O215" s="44">
        <v>968808</v>
      </c>
      <c r="P215" s="44"/>
      <c r="Q215" s="44">
        <v>5402936</v>
      </c>
      <c r="R215" s="44"/>
      <c r="S215" s="44">
        <v>0</v>
      </c>
      <c r="T215" s="44"/>
      <c r="U215" s="44">
        <v>638637</v>
      </c>
      <c r="V215" s="44"/>
      <c r="W215" s="44">
        <f t="shared" ref="W215:W257" si="4">SUM(E215:U215)</f>
        <v>19112139</v>
      </c>
      <c r="X215" s="44"/>
      <c r="Y215" s="44">
        <v>47911312</v>
      </c>
      <c r="Z215" s="44"/>
      <c r="AA215" s="44">
        <f>+'Stmt net assets'!Y214</f>
        <v>47033365</v>
      </c>
      <c r="AB215" s="44"/>
      <c r="AC215" s="44">
        <f>+Y215+'Stmt of activities-GA rev'!AC216-'Stmt of activities-GAexp'!W215-AA215</f>
        <v>0</v>
      </c>
    </row>
    <row r="216" spans="1:29" s="47" customFormat="1" ht="12.75" customHeight="1">
      <c r="A216" s="47" t="s">
        <v>244</v>
      </c>
      <c r="B216" s="51"/>
      <c r="C216" s="47" t="s">
        <v>13</v>
      </c>
      <c r="E216" s="44">
        <v>6214462</v>
      </c>
      <c r="F216" s="44"/>
      <c r="G216" s="44">
        <v>73136</v>
      </c>
      <c r="H216" s="44"/>
      <c r="I216" s="44">
        <v>1878053</v>
      </c>
      <c r="J216" s="44"/>
      <c r="K216" s="44">
        <v>396525</v>
      </c>
      <c r="L216" s="44"/>
      <c r="M216" s="44">
        <v>4431969</v>
      </c>
      <c r="N216" s="44"/>
      <c r="O216" s="44">
        <v>0</v>
      </c>
      <c r="P216" s="44"/>
      <c r="Q216" s="44">
        <v>3457627</v>
      </c>
      <c r="R216" s="44"/>
      <c r="S216" s="44">
        <v>0</v>
      </c>
      <c r="T216" s="44"/>
      <c r="U216" s="44">
        <v>462321</v>
      </c>
      <c r="V216" s="44"/>
      <c r="W216" s="44">
        <f t="shared" si="4"/>
        <v>16914093</v>
      </c>
      <c r="X216" s="44"/>
      <c r="Y216" s="44">
        <v>21874874</v>
      </c>
      <c r="Z216" s="44"/>
      <c r="AA216" s="44">
        <f>+'Stmt net assets'!Y215</f>
        <v>21386441</v>
      </c>
      <c r="AB216" s="44"/>
      <c r="AC216" s="44">
        <f>+Y216+'Stmt of activities-GA rev'!AC217-'Stmt of activities-GAexp'!W216-AA216</f>
        <v>0</v>
      </c>
    </row>
    <row r="217" spans="1:29" s="47" customFormat="1" ht="12.75" customHeight="1">
      <c r="A217" s="47" t="s">
        <v>245</v>
      </c>
      <c r="B217" s="51"/>
      <c r="C217" s="47" t="s">
        <v>110</v>
      </c>
      <c r="E217" s="44">
        <v>6915018</v>
      </c>
      <c r="F217" s="44"/>
      <c r="G217" s="44">
        <v>3723</v>
      </c>
      <c r="H217" s="44"/>
      <c r="I217" s="44">
        <v>462767</v>
      </c>
      <c r="J217" s="44"/>
      <c r="K217" s="44">
        <v>425461</v>
      </c>
      <c r="L217" s="44"/>
      <c r="M217" s="44">
        <v>1553640</v>
      </c>
      <c r="N217" s="44"/>
      <c r="O217" s="44">
        <v>0</v>
      </c>
      <c r="P217" s="44"/>
      <c r="Q217" s="44">
        <v>2659299</v>
      </c>
      <c r="R217" s="44"/>
      <c r="S217" s="44">
        <v>298673</v>
      </c>
      <c r="T217" s="44"/>
      <c r="U217" s="44">
        <v>48979</v>
      </c>
      <c r="V217" s="44"/>
      <c r="W217" s="44">
        <f t="shared" si="4"/>
        <v>12367560</v>
      </c>
      <c r="X217" s="44"/>
      <c r="Y217" s="44">
        <v>25135027</v>
      </c>
      <c r="Z217" s="44"/>
      <c r="AA217" s="44">
        <f>+'Stmt net assets'!Y216</f>
        <v>25413305</v>
      </c>
      <c r="AB217" s="44"/>
      <c r="AC217" s="44">
        <f>+Y217+'Stmt of activities-GA rev'!AC218-'Stmt of activities-GAexp'!W217-AA217</f>
        <v>0</v>
      </c>
    </row>
    <row r="218" spans="1:29" s="47" customFormat="1" ht="12.75" customHeight="1">
      <c r="A218" s="47" t="s">
        <v>246</v>
      </c>
      <c r="B218" s="51"/>
      <c r="C218" s="47" t="s">
        <v>209</v>
      </c>
      <c r="E218" s="44">
        <v>3195571</v>
      </c>
      <c r="F218" s="44"/>
      <c r="G218" s="44">
        <v>0</v>
      </c>
      <c r="H218" s="44"/>
      <c r="I218" s="44">
        <v>1407319</v>
      </c>
      <c r="J218" s="44"/>
      <c r="K218" s="44">
        <v>231885</v>
      </c>
      <c r="L218" s="44"/>
      <c r="M218" s="44">
        <v>1465686</v>
      </c>
      <c r="N218" s="44"/>
      <c r="O218" s="44">
        <v>229516</v>
      </c>
      <c r="P218" s="44"/>
      <c r="Q218" s="44">
        <v>1763783</v>
      </c>
      <c r="R218" s="44"/>
      <c r="S218" s="44">
        <v>0</v>
      </c>
      <c r="T218" s="44"/>
      <c r="U218" s="44">
        <v>286399</v>
      </c>
      <c r="V218" s="44"/>
      <c r="W218" s="44">
        <f t="shared" si="4"/>
        <v>8580159</v>
      </c>
      <c r="X218" s="44"/>
      <c r="Y218" s="44">
        <v>37384405</v>
      </c>
      <c r="Z218" s="44"/>
      <c r="AA218" s="44">
        <f>+'Stmt net assets'!Y217</f>
        <v>38046588</v>
      </c>
      <c r="AB218" s="44"/>
      <c r="AC218" s="44">
        <f>+Y218+'Stmt of activities-GA rev'!AC219-'Stmt of activities-GAexp'!W218-AA218</f>
        <v>0</v>
      </c>
    </row>
    <row r="219" spans="1:29" s="47" customFormat="1" ht="12.75" customHeight="1">
      <c r="A219" s="47" t="s">
        <v>247</v>
      </c>
      <c r="C219" s="47" t="s">
        <v>163</v>
      </c>
      <c r="E219" s="44">
        <v>216295000</v>
      </c>
      <c r="F219" s="44"/>
      <c r="G219" s="44">
        <v>18640000</v>
      </c>
      <c r="H219" s="44"/>
      <c r="I219" s="44">
        <v>7342000</v>
      </c>
      <c r="J219" s="44"/>
      <c r="K219" s="44">
        <v>20480000</v>
      </c>
      <c r="L219" s="44"/>
      <c r="M219" s="44">
        <v>0</v>
      </c>
      <c r="N219" s="44"/>
      <c r="O219" s="44">
        <v>427000</v>
      </c>
      <c r="P219" s="44"/>
      <c r="Q219" s="44">
        <v>27182000</v>
      </c>
      <c r="R219" s="44"/>
      <c r="S219" s="44">
        <v>0</v>
      </c>
      <c r="T219" s="44"/>
      <c r="U219" s="44">
        <v>10370000</v>
      </c>
      <c r="V219" s="44"/>
      <c r="W219" s="44">
        <f t="shared" si="4"/>
        <v>300736000</v>
      </c>
      <c r="X219" s="44"/>
      <c r="Y219" s="44">
        <v>353611000</v>
      </c>
      <c r="Z219" s="44"/>
      <c r="AA219" s="44">
        <f>+'Stmt net assets'!Y218</f>
        <v>387141000</v>
      </c>
      <c r="AB219" s="44"/>
      <c r="AC219" s="44">
        <f>+Y219+'Stmt of activities-GA rev'!AC220-'Stmt of activities-GAexp'!W219-AA219</f>
        <v>0</v>
      </c>
    </row>
    <row r="220" spans="1:29" s="44" customFormat="1" ht="12.75" customHeight="1">
      <c r="A220" s="47" t="s">
        <v>248</v>
      </c>
      <c r="B220" s="51"/>
      <c r="C220" s="47" t="s">
        <v>249</v>
      </c>
      <c r="D220" s="47"/>
      <c r="E220" s="44">
        <v>1531958</v>
      </c>
      <c r="G220" s="44">
        <v>11716</v>
      </c>
      <c r="I220" s="44">
        <v>179419</v>
      </c>
      <c r="K220" s="44">
        <v>268560</v>
      </c>
      <c r="M220" s="44">
        <v>623264</v>
      </c>
      <c r="O220" s="44">
        <v>0</v>
      </c>
      <c r="Q220" s="44">
        <v>468038</v>
      </c>
      <c r="S220" s="44">
        <v>0</v>
      </c>
      <c r="U220" s="44">
        <v>40657</v>
      </c>
      <c r="W220" s="44">
        <f t="shared" si="4"/>
        <v>3123612</v>
      </c>
      <c r="Y220" s="44">
        <v>3924898</v>
      </c>
      <c r="AA220" s="44">
        <f>+'Stmt net assets'!Y219</f>
        <v>5509699</v>
      </c>
      <c r="AC220" s="44">
        <f>+Y220+'Stmt of activities-GA rev'!AC221-'Stmt of activities-GAexp'!W220-AA220</f>
        <v>0</v>
      </c>
    </row>
    <row r="221" spans="1:29" s="47" customFormat="1" ht="12.75" customHeight="1">
      <c r="A221" s="47" t="s">
        <v>250</v>
      </c>
      <c r="B221" s="51"/>
      <c r="C221" s="47" t="s">
        <v>103</v>
      </c>
      <c r="E221" s="44">
        <v>2743866</v>
      </c>
      <c r="F221" s="44"/>
      <c r="G221" s="44">
        <v>67681</v>
      </c>
      <c r="H221" s="44"/>
      <c r="I221" s="44">
        <v>117525</v>
      </c>
      <c r="J221" s="44"/>
      <c r="K221" s="44">
        <v>129748</v>
      </c>
      <c r="L221" s="44"/>
      <c r="M221" s="44">
        <v>370990</v>
      </c>
      <c r="N221" s="44"/>
      <c r="O221" s="44">
        <v>0</v>
      </c>
      <c r="P221" s="44"/>
      <c r="Q221" s="44">
        <v>532800</v>
      </c>
      <c r="R221" s="44"/>
      <c r="S221" s="44">
        <v>55109</v>
      </c>
      <c r="T221" s="44"/>
      <c r="U221" s="44">
        <v>22639</v>
      </c>
      <c r="V221" s="44"/>
      <c r="W221" s="44">
        <f t="shared" si="4"/>
        <v>4040358</v>
      </c>
      <c r="X221" s="44"/>
      <c r="Y221" s="44">
        <v>6202172</v>
      </c>
      <c r="Z221" s="44"/>
      <c r="AA221" s="44">
        <f>+'Stmt net assets'!Y220</f>
        <v>6123288</v>
      </c>
      <c r="AB221" s="44"/>
      <c r="AC221" s="44">
        <f>+Y221+'Stmt of activities-GA rev'!AC222-'Stmt of activities-GAexp'!W221-AA221</f>
        <v>0</v>
      </c>
    </row>
    <row r="222" spans="1:29" s="47" customFormat="1" ht="12.75" customHeight="1">
      <c r="A222" s="47" t="s">
        <v>251</v>
      </c>
      <c r="B222" s="51"/>
      <c r="C222" s="47" t="s">
        <v>66</v>
      </c>
      <c r="E222" s="44">
        <v>0</v>
      </c>
      <c r="F222" s="44"/>
      <c r="G222" s="44">
        <v>9158585</v>
      </c>
      <c r="H222" s="44"/>
      <c r="I222" s="44">
        <v>514178</v>
      </c>
      <c r="J222" s="44"/>
      <c r="K222" s="44">
        <v>1288856</v>
      </c>
      <c r="L222" s="44"/>
      <c r="M222" s="44">
        <v>2335807</v>
      </c>
      <c r="N222" s="44"/>
      <c r="O222" s="44">
        <v>0</v>
      </c>
      <c r="P222" s="44"/>
      <c r="Q222" s="44">
        <v>2861598</v>
      </c>
      <c r="R222" s="44"/>
      <c r="S222" s="44">
        <v>0</v>
      </c>
      <c r="T222" s="44"/>
      <c r="U222" s="44">
        <v>833690</v>
      </c>
      <c r="V222" s="44"/>
      <c r="W222" s="44">
        <f t="shared" si="4"/>
        <v>16992714</v>
      </c>
      <c r="X222" s="44"/>
      <c r="Y222" s="44">
        <v>43297071</v>
      </c>
      <c r="Z222" s="44"/>
      <c r="AA222" s="44">
        <f>+'Stmt net assets'!Y221</f>
        <v>43161215</v>
      </c>
      <c r="AB222" s="44"/>
      <c r="AC222" s="44">
        <f>+Y222+'Stmt of activities-GA rev'!AC223-'Stmt of activities-GAexp'!W222-AA222</f>
        <v>0</v>
      </c>
    </row>
    <row r="223" spans="1:29" s="47" customFormat="1" ht="12.75" customHeight="1">
      <c r="A223" s="47" t="s">
        <v>252</v>
      </c>
      <c r="B223" s="51"/>
      <c r="C223" s="47" t="s">
        <v>209</v>
      </c>
      <c r="E223" s="44">
        <v>9501076</v>
      </c>
      <c r="F223" s="44"/>
      <c r="G223" s="44">
        <v>533385</v>
      </c>
      <c r="H223" s="44"/>
      <c r="I223" s="44">
        <v>1821894</v>
      </c>
      <c r="J223" s="44"/>
      <c r="K223" s="44">
        <v>959438</v>
      </c>
      <c r="L223" s="44"/>
      <c r="M223" s="44">
        <v>2473911</v>
      </c>
      <c r="N223" s="44"/>
      <c r="O223" s="44">
        <v>1229838</v>
      </c>
      <c r="P223" s="44"/>
      <c r="Q223" s="44">
        <v>5345922</v>
      </c>
      <c r="R223" s="44"/>
      <c r="S223" s="44">
        <v>3865</v>
      </c>
      <c r="T223" s="44"/>
      <c r="U223" s="44">
        <v>526885</v>
      </c>
      <c r="V223" s="44"/>
      <c r="W223" s="44">
        <f t="shared" si="4"/>
        <v>22396214</v>
      </c>
      <c r="X223" s="44"/>
      <c r="Y223" s="44">
        <v>74540132</v>
      </c>
      <c r="Z223" s="44"/>
      <c r="AA223" s="44">
        <f>+'Stmt net assets'!Y222</f>
        <v>77319923</v>
      </c>
      <c r="AB223" s="44"/>
      <c r="AC223" s="44">
        <f>+Y223+'Stmt of activities-GA rev'!AC224-'Stmt of activities-GAexp'!W223-AA223</f>
        <v>0</v>
      </c>
    </row>
    <row r="224" spans="1:29" s="47" customFormat="1" ht="12.75" customHeight="1">
      <c r="A224" s="47" t="s">
        <v>253</v>
      </c>
      <c r="B224" s="51"/>
      <c r="C224" s="47" t="s">
        <v>13</v>
      </c>
      <c r="E224" s="44">
        <v>7674239</v>
      </c>
      <c r="F224" s="44"/>
      <c r="G224" s="44">
        <v>0</v>
      </c>
      <c r="H224" s="44"/>
      <c r="I224" s="44">
        <v>1852287</v>
      </c>
      <c r="J224" s="44"/>
      <c r="K224" s="44">
        <v>5935997</v>
      </c>
      <c r="L224" s="44"/>
      <c r="M224" s="44">
        <v>7099470</v>
      </c>
      <c r="N224" s="44"/>
      <c r="O224" s="44">
        <v>6176</v>
      </c>
      <c r="P224" s="44"/>
      <c r="Q224" s="44">
        <v>5889322</v>
      </c>
      <c r="R224" s="44"/>
      <c r="S224" s="44">
        <v>0</v>
      </c>
      <c r="T224" s="44"/>
      <c r="U224" s="44">
        <v>826764</v>
      </c>
      <c r="V224" s="44"/>
      <c r="W224" s="44">
        <f>SUM(E224:U224)</f>
        <v>29284255</v>
      </c>
      <c r="X224" s="44"/>
      <c r="Y224" s="44">
        <v>131138885</v>
      </c>
      <c r="Z224" s="44"/>
      <c r="AA224" s="44">
        <f>+'Stmt net assets'!Y223</f>
        <v>127361974</v>
      </c>
      <c r="AB224" s="44"/>
      <c r="AC224" s="44">
        <f>+Y224+'Stmt of activities-GA rev'!AC225-'Stmt of activities-GAexp'!W224-AA224</f>
        <v>0</v>
      </c>
    </row>
    <row r="225" spans="1:29" s="47" customFormat="1" ht="12.75" customHeight="1">
      <c r="A225" s="47" t="s">
        <v>254</v>
      </c>
      <c r="B225" s="51"/>
      <c r="C225" s="47" t="s">
        <v>89</v>
      </c>
      <c r="E225" s="44">
        <v>1420888</v>
      </c>
      <c r="F225" s="44"/>
      <c r="G225" s="44">
        <v>218492</v>
      </c>
      <c r="H225" s="44"/>
      <c r="I225" s="44">
        <v>192079</v>
      </c>
      <c r="J225" s="44"/>
      <c r="K225" s="44">
        <v>284769</v>
      </c>
      <c r="L225" s="44"/>
      <c r="M225" s="44">
        <v>400926</v>
      </c>
      <c r="N225" s="44"/>
      <c r="O225" s="44">
        <v>0</v>
      </c>
      <c r="P225" s="44"/>
      <c r="Q225" s="44">
        <v>524651</v>
      </c>
      <c r="R225" s="44"/>
      <c r="S225" s="44">
        <v>0</v>
      </c>
      <c r="T225" s="44"/>
      <c r="U225" s="44">
        <v>165380</v>
      </c>
      <c r="V225" s="44"/>
      <c r="W225" s="44">
        <f t="shared" si="4"/>
        <v>3207185</v>
      </c>
      <c r="X225" s="44"/>
      <c r="Y225" s="44">
        <v>5040760</v>
      </c>
      <c r="Z225" s="44"/>
      <c r="AA225" s="44">
        <f>+'Stmt net assets'!Y224</f>
        <v>5372961</v>
      </c>
      <c r="AB225" s="44"/>
      <c r="AC225" s="44">
        <f>+Y225+'Stmt of activities-GA rev'!AC226-'Stmt of activities-GAexp'!W225-AA225</f>
        <v>0</v>
      </c>
    </row>
    <row r="226" spans="1:29" s="47" customFormat="1" ht="12.75" customHeight="1">
      <c r="A226" s="47" t="s">
        <v>159</v>
      </c>
      <c r="B226" s="51"/>
      <c r="C226" s="47" t="s">
        <v>66</v>
      </c>
      <c r="E226" s="44">
        <v>1612357</v>
      </c>
      <c r="F226" s="44"/>
      <c r="G226" s="44">
        <v>15461</v>
      </c>
      <c r="H226" s="44"/>
      <c r="I226" s="44">
        <v>74514</v>
      </c>
      <c r="J226" s="44"/>
      <c r="K226" s="44">
        <v>383809</v>
      </c>
      <c r="L226" s="44"/>
      <c r="M226" s="44">
        <v>420456</v>
      </c>
      <c r="N226" s="44"/>
      <c r="O226" s="44">
        <v>0</v>
      </c>
      <c r="P226" s="44"/>
      <c r="Q226" s="44">
        <v>567037</v>
      </c>
      <c r="R226" s="44"/>
      <c r="S226" s="44">
        <v>0</v>
      </c>
      <c r="T226" s="44"/>
      <c r="U226" s="44">
        <v>79372</v>
      </c>
      <c r="V226" s="44"/>
      <c r="W226" s="44">
        <f>SUM(E226:U226)</f>
        <v>3153006</v>
      </c>
      <c r="X226" s="46"/>
      <c r="Y226" s="44">
        <v>3962607</v>
      </c>
      <c r="Z226" s="46"/>
      <c r="AA226" s="46">
        <f>+'Stmt net assets'!Y225</f>
        <v>4742392</v>
      </c>
      <c r="AB226" s="44"/>
      <c r="AC226" s="44">
        <f>+Y226+'Stmt of activities-GA rev'!AC227-'Stmt of activities-GAexp'!W226-AA226</f>
        <v>0</v>
      </c>
    </row>
    <row r="227" spans="1:29" s="47" customFormat="1" ht="12.75" customHeight="1">
      <c r="A227" s="47" t="s">
        <v>255</v>
      </c>
      <c r="B227" s="51"/>
      <c r="C227" s="47" t="s">
        <v>27</v>
      </c>
      <c r="E227" s="44">
        <v>7839158</v>
      </c>
      <c r="F227" s="44"/>
      <c r="G227" s="44">
        <v>50926</v>
      </c>
      <c r="H227" s="44"/>
      <c r="I227" s="44">
        <v>444315</v>
      </c>
      <c r="J227" s="44"/>
      <c r="K227" s="44">
        <v>4659861</v>
      </c>
      <c r="L227" s="44"/>
      <c r="M227" s="44">
        <v>1972027</v>
      </c>
      <c r="N227" s="44"/>
      <c r="O227" s="44">
        <v>0</v>
      </c>
      <c r="P227" s="44"/>
      <c r="Q227" s="44">
        <v>1587353</v>
      </c>
      <c r="R227" s="44"/>
      <c r="S227" s="44">
        <v>1635107</v>
      </c>
      <c r="T227" s="44"/>
      <c r="U227" s="44">
        <v>250299</v>
      </c>
      <c r="V227" s="44"/>
      <c r="W227" s="44">
        <f t="shared" si="4"/>
        <v>18439046</v>
      </c>
      <c r="X227" s="44"/>
      <c r="Y227" s="44">
        <v>7318933</v>
      </c>
      <c r="Z227" s="44"/>
      <c r="AA227" s="44">
        <f>+'Stmt net assets'!Y226</f>
        <v>7111017</v>
      </c>
      <c r="AB227" s="44"/>
      <c r="AC227" s="44">
        <f>+Y227+'Stmt of activities-GA rev'!AC228-'Stmt of activities-GAexp'!W227-AA227</f>
        <v>0</v>
      </c>
    </row>
    <row r="228" spans="1:29" s="168" customFormat="1" ht="12.75" customHeight="1">
      <c r="A228" s="168" t="s">
        <v>256</v>
      </c>
      <c r="B228" s="169"/>
      <c r="C228" s="168" t="s">
        <v>43</v>
      </c>
      <c r="E228" s="168">
        <v>15257371</v>
      </c>
      <c r="G228" s="168">
        <v>5723102</v>
      </c>
      <c r="I228" s="168">
        <v>3301114</v>
      </c>
      <c r="K228" s="168">
        <v>957144</v>
      </c>
      <c r="M228" s="168">
        <v>0</v>
      </c>
      <c r="O228" s="168">
        <v>0</v>
      </c>
      <c r="Q228" s="168">
        <v>6808013</v>
      </c>
      <c r="S228" s="168">
        <v>0</v>
      </c>
      <c r="U228" s="168">
        <v>958406</v>
      </c>
      <c r="W228" s="168">
        <f>SUM(E228:U228)</f>
        <v>33005150</v>
      </c>
      <c r="Y228" s="168">
        <v>68033912</v>
      </c>
      <c r="AA228" s="168">
        <f>+'Stmt net assets'!Y227</f>
        <v>74150686</v>
      </c>
      <c r="AC228" s="168">
        <f>+Y228+'Stmt of activities-GA rev'!AC229-'Stmt of activities-GAexp'!W228-AA228</f>
        <v>0</v>
      </c>
    </row>
    <row r="229" spans="1:29" s="47" customFormat="1" ht="12.75" customHeight="1">
      <c r="A229" s="47" t="s">
        <v>257</v>
      </c>
      <c r="B229" s="51"/>
      <c r="C229" s="47" t="s">
        <v>258</v>
      </c>
      <c r="E229" s="44">
        <v>1561428</v>
      </c>
      <c r="F229" s="44"/>
      <c r="G229" s="44">
        <v>44579</v>
      </c>
      <c r="H229" s="44"/>
      <c r="I229" s="44">
        <v>404324</v>
      </c>
      <c r="J229" s="44"/>
      <c r="K229" s="44">
        <v>328663</v>
      </c>
      <c r="L229" s="44"/>
      <c r="M229" s="44">
        <v>445034</v>
      </c>
      <c r="N229" s="44"/>
      <c r="O229" s="44">
        <v>76695</v>
      </c>
      <c r="P229" s="44"/>
      <c r="Q229" s="44">
        <v>1317844</v>
      </c>
      <c r="R229" s="44"/>
      <c r="S229" s="44">
        <v>2511</v>
      </c>
      <c r="T229" s="44"/>
      <c r="U229" s="44">
        <v>301283</v>
      </c>
      <c r="V229" s="44"/>
      <c r="W229" s="44">
        <f>SUM(E229:U229)</f>
        <v>4482361</v>
      </c>
      <c r="X229" s="44"/>
      <c r="Y229" s="44">
        <v>1617330</v>
      </c>
      <c r="Z229" s="44"/>
      <c r="AA229" s="44">
        <f>+'Stmt net assets'!Y228</f>
        <v>2235254</v>
      </c>
      <c r="AB229" s="44"/>
      <c r="AC229" s="44">
        <f>+Y229+'Stmt of activities-GA rev'!AC230-'Stmt of activities-GAexp'!W229-AA229</f>
        <v>0</v>
      </c>
    </row>
    <row r="230" spans="1:29" s="47" customFormat="1" ht="12.75" customHeight="1">
      <c r="A230" s="47" t="s">
        <v>259</v>
      </c>
      <c r="B230" s="51"/>
      <c r="C230" s="47" t="s">
        <v>260</v>
      </c>
      <c r="E230" s="44">
        <v>4893924</v>
      </c>
      <c r="F230" s="44"/>
      <c r="G230" s="44">
        <v>284920</v>
      </c>
      <c r="H230" s="44"/>
      <c r="I230" s="44">
        <v>426136</v>
      </c>
      <c r="J230" s="44"/>
      <c r="K230" s="44">
        <v>380013</v>
      </c>
      <c r="L230" s="44"/>
      <c r="M230" s="44">
        <v>2020500</v>
      </c>
      <c r="N230" s="44"/>
      <c r="O230" s="44">
        <v>2889</v>
      </c>
      <c r="P230" s="44"/>
      <c r="Q230" s="44">
        <v>2162193</v>
      </c>
      <c r="R230" s="44"/>
      <c r="S230" s="44"/>
      <c r="T230" s="44"/>
      <c r="U230" s="44">
        <v>152733</v>
      </c>
      <c r="V230" s="44"/>
      <c r="W230" s="44">
        <f t="shared" si="4"/>
        <v>10323308</v>
      </c>
      <c r="X230" s="44"/>
      <c r="Y230" s="44">
        <v>20366999</v>
      </c>
      <c r="Z230" s="44"/>
      <c r="AA230" s="44">
        <f>+'Stmt net assets'!Y229</f>
        <v>21100816</v>
      </c>
      <c r="AB230" s="44"/>
      <c r="AC230" s="44">
        <f>+Y230+'Stmt of activities-GA rev'!AC231-'Stmt of activities-GAexp'!W230-AA230</f>
        <v>0</v>
      </c>
    </row>
    <row r="231" spans="1:29" s="47" customFormat="1" ht="12.75" customHeight="1">
      <c r="A231" s="47" t="s">
        <v>261</v>
      </c>
      <c r="B231" s="51"/>
      <c r="C231" s="47" t="s">
        <v>66</v>
      </c>
      <c r="E231" s="44">
        <v>5906984</v>
      </c>
      <c r="F231" s="44"/>
      <c r="G231" s="44">
        <v>6052798</v>
      </c>
      <c r="H231" s="44"/>
      <c r="I231" s="44">
        <v>3676239</v>
      </c>
      <c r="J231" s="44"/>
      <c r="K231" s="44">
        <v>0</v>
      </c>
      <c r="L231" s="44"/>
      <c r="M231" s="44">
        <v>4224539</v>
      </c>
      <c r="N231" s="44"/>
      <c r="O231" s="44">
        <v>0</v>
      </c>
      <c r="P231" s="44"/>
      <c r="Q231" s="44">
        <v>0</v>
      </c>
      <c r="R231" s="44"/>
      <c r="S231" s="44">
        <v>0</v>
      </c>
      <c r="T231" s="44"/>
      <c r="U231" s="44">
        <v>650699</v>
      </c>
      <c r="V231" s="44"/>
      <c r="W231" s="44">
        <f t="shared" si="4"/>
        <v>20511259</v>
      </c>
      <c r="X231" s="44"/>
      <c r="Y231" s="44">
        <v>59174251</v>
      </c>
      <c r="Z231" s="44"/>
      <c r="AA231" s="44">
        <f>+'Stmt net assets'!Y230</f>
        <v>63511316</v>
      </c>
      <c r="AB231" s="44"/>
      <c r="AC231" s="44">
        <f>+Y231+'Stmt of activities-GA rev'!AC232-'Stmt of activities-GAexp'!W231-AA231</f>
        <v>0</v>
      </c>
    </row>
    <row r="232" spans="1:29" s="47" customFormat="1" ht="12.75" hidden="1" customHeight="1">
      <c r="A232" s="44" t="s">
        <v>490</v>
      </c>
      <c r="C232" s="44" t="s">
        <v>132</v>
      </c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</row>
    <row r="233" spans="1:29" s="47" customFormat="1" ht="12.75" customHeight="1">
      <c r="A233" s="47" t="s">
        <v>262</v>
      </c>
      <c r="B233" s="51"/>
      <c r="C233" s="47" t="s">
        <v>132</v>
      </c>
      <c r="E233" s="44">
        <v>2662693</v>
      </c>
      <c r="F233" s="44"/>
      <c r="G233" s="44">
        <v>118051</v>
      </c>
      <c r="H233" s="44"/>
      <c r="I233" s="44">
        <v>333689</v>
      </c>
      <c r="J233" s="44"/>
      <c r="K233" s="44">
        <v>323118</v>
      </c>
      <c r="L233" s="44"/>
      <c r="M233" s="44">
        <v>1075391</v>
      </c>
      <c r="N233" s="44"/>
      <c r="O233" s="44">
        <v>1195727</v>
      </c>
      <c r="P233" s="44"/>
      <c r="Q233" s="44">
        <v>2526866</v>
      </c>
      <c r="R233" s="44"/>
      <c r="S233" s="44"/>
      <c r="T233" s="44"/>
      <c r="U233" s="44">
        <v>169303</v>
      </c>
      <c r="V233" s="44"/>
      <c r="W233" s="44">
        <f t="shared" si="4"/>
        <v>8404838</v>
      </c>
      <c r="X233" s="44"/>
      <c r="Y233" s="44">
        <v>11862701</v>
      </c>
      <c r="Z233" s="44"/>
      <c r="AA233" s="44">
        <f>+'Stmt net assets'!Y232</f>
        <v>11418527</v>
      </c>
      <c r="AB233" s="44"/>
      <c r="AC233" s="44">
        <f>+Y233+'Stmt of activities-GA rev'!AC234-'Stmt of activities-GAexp'!W233-AA233</f>
        <v>0</v>
      </c>
    </row>
    <row r="234" spans="1:29" s="47" customFormat="1" ht="12.75" customHeight="1">
      <c r="A234" s="47" t="s">
        <v>263</v>
      </c>
      <c r="B234" s="51"/>
      <c r="C234" s="47" t="s">
        <v>53</v>
      </c>
      <c r="E234" s="44">
        <v>5524710</v>
      </c>
      <c r="F234" s="44"/>
      <c r="G234" s="44">
        <v>149833</v>
      </c>
      <c r="H234" s="44"/>
      <c r="I234" s="44">
        <v>2152345</v>
      </c>
      <c r="J234" s="44"/>
      <c r="K234" s="44">
        <v>617243</v>
      </c>
      <c r="L234" s="44"/>
      <c r="M234" s="44">
        <v>2675490</v>
      </c>
      <c r="N234" s="44"/>
      <c r="O234" s="44">
        <v>21990</v>
      </c>
      <c r="P234" s="44"/>
      <c r="Q234" s="44">
        <v>5176695</v>
      </c>
      <c r="R234" s="44"/>
      <c r="S234" s="44">
        <v>204548</v>
      </c>
      <c r="T234" s="44"/>
      <c r="U234" s="44">
        <v>165075</v>
      </c>
      <c r="V234" s="44"/>
      <c r="W234" s="44">
        <f t="shared" si="4"/>
        <v>16687929</v>
      </c>
      <c r="X234" s="44"/>
      <c r="Y234" s="44">
        <v>47373034</v>
      </c>
      <c r="Z234" s="44"/>
      <c r="AA234" s="44">
        <f>+'Stmt net assets'!Y233</f>
        <v>49214898</v>
      </c>
      <c r="AB234" s="44"/>
      <c r="AC234" s="44">
        <f>+Y234+'Stmt of activities-GA rev'!AC235-'Stmt of activities-GAexp'!W234-AA234</f>
        <v>0</v>
      </c>
    </row>
    <row r="235" spans="1:29" s="47" customFormat="1" ht="12.75" customHeight="1">
      <c r="A235" s="47" t="s">
        <v>264</v>
      </c>
      <c r="B235" s="51"/>
      <c r="C235" s="47" t="s">
        <v>239</v>
      </c>
      <c r="E235" s="44">
        <v>2487166</v>
      </c>
      <c r="F235" s="44"/>
      <c r="G235" s="44">
        <v>231311</v>
      </c>
      <c r="H235" s="44"/>
      <c r="I235" s="44">
        <v>217175</v>
      </c>
      <c r="J235" s="44"/>
      <c r="K235" s="44">
        <v>87005</v>
      </c>
      <c r="L235" s="44"/>
      <c r="M235" s="44">
        <v>1212316</v>
      </c>
      <c r="N235" s="44"/>
      <c r="O235" s="44">
        <v>0</v>
      </c>
      <c r="P235" s="44"/>
      <c r="Q235" s="44">
        <v>568638</v>
      </c>
      <c r="R235" s="44"/>
      <c r="S235" s="44">
        <v>0</v>
      </c>
      <c r="T235" s="44"/>
      <c r="U235" s="44">
        <v>82806</v>
      </c>
      <c r="V235" s="44"/>
      <c r="W235" s="44">
        <f t="shared" si="4"/>
        <v>4886417</v>
      </c>
      <c r="X235" s="44"/>
      <c r="Y235" s="44">
        <v>23014528</v>
      </c>
      <c r="Z235" s="44"/>
      <c r="AA235" s="44">
        <f>+'Stmt net assets'!Y234</f>
        <v>27145966</v>
      </c>
      <c r="AB235" s="44"/>
      <c r="AC235" s="44">
        <f>+Y235+'Stmt of activities-GA rev'!AC236-'Stmt of activities-GAexp'!W235-AA235</f>
        <v>0</v>
      </c>
    </row>
    <row r="236" spans="1:29" s="47" customFormat="1" ht="12.75" customHeight="1">
      <c r="A236" s="47" t="s">
        <v>111</v>
      </c>
      <c r="B236" s="51"/>
      <c r="C236" s="47" t="s">
        <v>80</v>
      </c>
      <c r="E236" s="44">
        <v>17180410</v>
      </c>
      <c r="F236" s="44"/>
      <c r="G236" s="44">
        <v>512057</v>
      </c>
      <c r="H236" s="44"/>
      <c r="I236" s="44">
        <v>860839</v>
      </c>
      <c r="J236" s="44"/>
      <c r="K236" s="44">
        <v>4177911</v>
      </c>
      <c r="L236" s="44"/>
      <c r="M236" s="44">
        <v>3948040</v>
      </c>
      <c r="N236" s="44"/>
      <c r="O236" s="44">
        <v>0</v>
      </c>
      <c r="P236" s="44"/>
      <c r="Q236" s="44">
        <v>6308309</v>
      </c>
      <c r="R236" s="44"/>
      <c r="S236" s="44">
        <v>0</v>
      </c>
      <c r="T236" s="44"/>
      <c r="U236" s="44">
        <v>609323</v>
      </c>
      <c r="V236" s="44"/>
      <c r="W236" s="44">
        <f t="shared" si="4"/>
        <v>33596889</v>
      </c>
      <c r="X236" s="44"/>
      <c r="Y236" s="44">
        <v>48644177</v>
      </c>
      <c r="Z236" s="44"/>
      <c r="AA236" s="44">
        <f>+'Stmt net assets'!Y235</f>
        <v>48255731</v>
      </c>
      <c r="AB236" s="44"/>
      <c r="AC236" s="44">
        <f>+Y236+'Stmt of activities-GA rev'!AC237-'Stmt of activities-GAexp'!W236-AA236</f>
        <v>0</v>
      </c>
    </row>
    <row r="237" spans="1:29" s="47" customFormat="1" ht="12.75" customHeight="1">
      <c r="A237" s="47" t="s">
        <v>265</v>
      </c>
      <c r="B237" s="51"/>
      <c r="C237" s="47" t="s">
        <v>27</v>
      </c>
      <c r="E237" s="44">
        <v>9045718</v>
      </c>
      <c r="F237" s="44"/>
      <c r="G237" s="44">
        <v>64406</v>
      </c>
      <c r="H237" s="44"/>
      <c r="I237" s="44">
        <v>322467</v>
      </c>
      <c r="J237" s="44"/>
      <c r="K237" s="44">
        <v>1073550</v>
      </c>
      <c r="L237" s="44"/>
      <c r="M237" s="44">
        <v>2269955</v>
      </c>
      <c r="N237" s="44"/>
      <c r="O237" s="44">
        <v>1327001</v>
      </c>
      <c r="P237" s="44"/>
      <c r="Q237" s="44">
        <v>3051683</v>
      </c>
      <c r="R237" s="44"/>
      <c r="S237" s="44">
        <v>0</v>
      </c>
      <c r="T237" s="44"/>
      <c r="U237" s="44">
        <v>549714</v>
      </c>
      <c r="V237" s="44"/>
      <c r="W237" s="44">
        <f t="shared" si="4"/>
        <v>17704494</v>
      </c>
      <c r="X237" s="44"/>
      <c r="Y237" s="44">
        <v>1782727</v>
      </c>
      <c r="Z237" s="44"/>
      <c r="AA237" s="44">
        <f>+'Stmt net assets'!Y236</f>
        <v>906716</v>
      </c>
      <c r="AB237" s="44"/>
      <c r="AC237" s="44">
        <f>+Y237+'Stmt of activities-GA rev'!AC238-'Stmt of activities-GAexp'!W237-AA237</f>
        <v>0</v>
      </c>
    </row>
    <row r="238" spans="1:29" s="47" customFormat="1" ht="12.75" customHeight="1">
      <c r="A238" s="47" t="s">
        <v>40</v>
      </c>
      <c r="B238" s="51"/>
      <c r="C238" s="47" t="s">
        <v>452</v>
      </c>
      <c r="E238" s="44">
        <v>3963491</v>
      </c>
      <c r="F238" s="44"/>
      <c r="G238" s="44">
        <v>360919</v>
      </c>
      <c r="H238" s="44"/>
      <c r="I238" s="44">
        <v>61659</v>
      </c>
      <c r="J238" s="44"/>
      <c r="K238" s="44">
        <v>1564199</v>
      </c>
      <c r="L238" s="44"/>
      <c r="M238" s="44">
        <v>3142515</v>
      </c>
      <c r="N238" s="44"/>
      <c r="O238" s="44">
        <v>0</v>
      </c>
      <c r="P238" s="44"/>
      <c r="Q238" s="44">
        <v>2934070</v>
      </c>
      <c r="R238" s="44"/>
      <c r="S238" s="44">
        <v>0</v>
      </c>
      <c r="T238" s="44"/>
      <c r="U238" s="44">
        <v>461689</v>
      </c>
      <c r="V238" s="44"/>
      <c r="W238" s="44">
        <f t="shared" si="4"/>
        <v>12488542</v>
      </c>
      <c r="X238" s="44"/>
      <c r="Y238" s="44">
        <v>23407729</v>
      </c>
      <c r="Z238" s="44"/>
      <c r="AA238" s="44">
        <f>+'Stmt net assets'!Y237</f>
        <v>22090467</v>
      </c>
      <c r="AB238" s="44"/>
      <c r="AC238" s="44">
        <f>+Y238+'Stmt of activities-GA rev'!AC239-'Stmt of activities-GAexp'!W238-AA238</f>
        <v>0</v>
      </c>
    </row>
    <row r="239" spans="1:29" s="47" customFormat="1" ht="12.75" customHeight="1">
      <c r="A239" s="47" t="s">
        <v>266</v>
      </c>
      <c r="B239" s="51"/>
      <c r="C239" s="47" t="s">
        <v>267</v>
      </c>
      <c r="E239" s="44">
        <v>2065426</v>
      </c>
      <c r="F239" s="44"/>
      <c r="G239" s="44">
        <v>0</v>
      </c>
      <c r="H239" s="44"/>
      <c r="I239" s="44">
        <v>728494</v>
      </c>
      <c r="J239" s="44"/>
      <c r="K239" s="44">
        <v>328686</v>
      </c>
      <c r="L239" s="44"/>
      <c r="M239" s="44">
        <v>908638</v>
      </c>
      <c r="N239" s="44"/>
      <c r="O239" s="44">
        <v>96122</v>
      </c>
      <c r="P239" s="44"/>
      <c r="Q239" s="44">
        <v>848323</v>
      </c>
      <c r="R239" s="44"/>
      <c r="S239" s="44">
        <v>0</v>
      </c>
      <c r="T239" s="44"/>
      <c r="U239" s="44">
        <v>163306</v>
      </c>
      <c r="V239" s="44"/>
      <c r="W239" s="44">
        <f t="shared" si="4"/>
        <v>5138995</v>
      </c>
      <c r="X239" s="44"/>
      <c r="Y239" s="44">
        <v>14210656</v>
      </c>
      <c r="Z239" s="44"/>
      <c r="AA239" s="44">
        <f>+'Stmt net assets'!Y238</f>
        <v>14852506</v>
      </c>
      <c r="AB239" s="44"/>
      <c r="AC239" s="44">
        <f>+Y239+'Stmt of activities-GA rev'!AC240-'Stmt of activities-GAexp'!W239-AA239</f>
        <v>0</v>
      </c>
    </row>
    <row r="240" spans="1:29" s="47" customFormat="1" ht="12.75" customHeight="1">
      <c r="A240" s="47" t="s">
        <v>268</v>
      </c>
      <c r="B240" s="51"/>
      <c r="C240" s="47" t="s">
        <v>269</v>
      </c>
      <c r="E240" s="44">
        <v>1513063</v>
      </c>
      <c r="F240" s="44"/>
      <c r="G240" s="44">
        <v>1470</v>
      </c>
      <c r="H240" s="44"/>
      <c r="I240" s="44">
        <v>0</v>
      </c>
      <c r="J240" s="44"/>
      <c r="K240" s="44">
        <v>784</v>
      </c>
      <c r="L240" s="44"/>
      <c r="M240" s="44">
        <v>621087</v>
      </c>
      <c r="N240" s="44"/>
      <c r="O240" s="44">
        <v>0</v>
      </c>
      <c r="P240" s="44"/>
      <c r="Q240" s="44">
        <v>1265989</v>
      </c>
      <c r="R240" s="44"/>
      <c r="S240" s="44">
        <v>0</v>
      </c>
      <c r="T240" s="44"/>
      <c r="U240" s="44">
        <v>33144</v>
      </c>
      <c r="V240" s="44"/>
      <c r="W240" s="44">
        <f t="shared" si="4"/>
        <v>3435537</v>
      </c>
      <c r="X240" s="44"/>
      <c r="Y240" s="44">
        <v>4083260</v>
      </c>
      <c r="Z240" s="44"/>
      <c r="AA240" s="44">
        <f>+'Stmt net assets'!Y239</f>
        <v>4259813</v>
      </c>
      <c r="AB240" s="44"/>
      <c r="AC240" s="44">
        <f>+Y240+'Stmt of activities-GA rev'!AC241-'Stmt of activities-GAexp'!W240-AA240</f>
        <v>0</v>
      </c>
    </row>
    <row r="241" spans="1:29" s="47" customFormat="1" ht="12.75" customHeight="1">
      <c r="A241" s="47" t="s">
        <v>270</v>
      </c>
      <c r="B241" s="51"/>
      <c r="C241" s="47" t="s">
        <v>136</v>
      </c>
      <c r="E241" s="44">
        <v>1590267</v>
      </c>
      <c r="F241" s="44"/>
      <c r="G241" s="44">
        <v>190088</v>
      </c>
      <c r="H241" s="44"/>
      <c r="I241" s="44">
        <v>90631</v>
      </c>
      <c r="J241" s="44"/>
      <c r="K241" s="44">
        <v>476789</v>
      </c>
      <c r="L241" s="44"/>
      <c r="M241" s="44">
        <v>402802</v>
      </c>
      <c r="N241" s="44"/>
      <c r="O241" s="44">
        <v>0</v>
      </c>
      <c r="P241" s="44"/>
      <c r="Q241" s="44">
        <v>721846</v>
      </c>
      <c r="R241" s="44"/>
      <c r="S241" s="44">
        <v>0</v>
      </c>
      <c r="T241" s="44"/>
      <c r="U241" s="44">
        <v>19723</v>
      </c>
      <c r="V241" s="44"/>
      <c r="W241" s="44">
        <f>SUM(E241:U241)</f>
        <v>3492146</v>
      </c>
      <c r="X241" s="44"/>
      <c r="Y241" s="44">
        <v>5891629</v>
      </c>
      <c r="Z241" s="44"/>
      <c r="AA241" s="44">
        <f>+'Stmt net assets'!Y240</f>
        <v>5817559</v>
      </c>
      <c r="AB241" s="44"/>
      <c r="AC241" s="44">
        <f>+Y241+'Stmt of activities-GA rev'!AC242-'Stmt of activities-GAexp'!W241-AA241</f>
        <v>0</v>
      </c>
    </row>
    <row r="242" spans="1:29" s="47" customFormat="1" ht="12.75" customHeight="1">
      <c r="A242" s="47" t="s">
        <v>271</v>
      </c>
      <c r="B242" s="51"/>
      <c r="C242" s="47" t="s">
        <v>66</v>
      </c>
      <c r="E242" s="44">
        <v>4922323</v>
      </c>
      <c r="F242" s="44"/>
      <c r="G242" s="44">
        <v>0</v>
      </c>
      <c r="H242" s="44"/>
      <c r="I242" s="44">
        <v>860294</v>
      </c>
      <c r="J242" s="44"/>
      <c r="K242" s="44">
        <v>1895706</v>
      </c>
      <c r="L242" s="44"/>
      <c r="M242" s="44">
        <v>654378</v>
      </c>
      <c r="N242" s="44"/>
      <c r="O242" s="44">
        <v>0</v>
      </c>
      <c r="P242" s="44"/>
      <c r="Q242" s="44">
        <v>1446394</v>
      </c>
      <c r="R242" s="44"/>
      <c r="S242" s="44">
        <v>0</v>
      </c>
      <c r="T242" s="44"/>
      <c r="U242" s="44">
        <v>184537</v>
      </c>
      <c r="V242" s="44"/>
      <c r="W242" s="44">
        <f t="shared" si="4"/>
        <v>9963632</v>
      </c>
      <c r="X242" s="44"/>
      <c r="Y242" s="44">
        <v>17765938</v>
      </c>
      <c r="Z242" s="44"/>
      <c r="AA242" s="44">
        <f>+'Stmt net assets'!Y241</f>
        <v>17597365</v>
      </c>
      <c r="AB242" s="44"/>
      <c r="AC242" s="44">
        <f>+Y242+'Stmt of activities-GA rev'!AC243-'Stmt of activities-GAexp'!W242-AA242</f>
        <v>0</v>
      </c>
    </row>
    <row r="243" spans="1:29" s="47" customFormat="1" ht="12.75" customHeight="1">
      <c r="A243" s="47" t="s">
        <v>272</v>
      </c>
      <c r="B243" s="51"/>
      <c r="C243" s="47" t="s">
        <v>43</v>
      </c>
      <c r="E243" s="44">
        <v>22438202</v>
      </c>
      <c r="F243" s="44"/>
      <c r="G243" s="44">
        <v>62869</v>
      </c>
      <c r="H243" s="44"/>
      <c r="I243" s="44">
        <v>8232542</v>
      </c>
      <c r="J243" s="44"/>
      <c r="K243" s="44">
        <v>2407120</v>
      </c>
      <c r="L243" s="44"/>
      <c r="M243" s="44">
        <v>6691837</v>
      </c>
      <c r="N243" s="44"/>
      <c r="O243" s="44">
        <v>1107513</v>
      </c>
      <c r="P243" s="44"/>
      <c r="Q243" s="44">
        <v>9139331</v>
      </c>
      <c r="R243" s="44"/>
      <c r="S243" s="44">
        <v>0</v>
      </c>
      <c r="T243" s="44"/>
      <c r="U243" s="44">
        <v>1231338</v>
      </c>
      <c r="V243" s="44"/>
      <c r="W243" s="44">
        <f t="shared" si="4"/>
        <v>51310752</v>
      </c>
      <c r="X243" s="44"/>
      <c r="Y243" s="44">
        <v>218040583</v>
      </c>
      <c r="Z243" s="44"/>
      <c r="AA243" s="44">
        <f>+'Stmt net assets'!Y242</f>
        <v>222538909</v>
      </c>
      <c r="AB243" s="44"/>
      <c r="AC243" s="44">
        <f>+Y243+'Stmt of activities-GA rev'!AC244-'Stmt of activities-GAexp'!W243-AA243</f>
        <v>0</v>
      </c>
    </row>
    <row r="244" spans="1:29" s="47" customFormat="1" ht="12.75" customHeight="1">
      <c r="A244" s="47" t="s">
        <v>273</v>
      </c>
      <c r="B244" s="51"/>
      <c r="C244" s="47" t="s">
        <v>27</v>
      </c>
      <c r="E244" s="44">
        <v>13147161</v>
      </c>
      <c r="F244" s="44"/>
      <c r="G244" s="44">
        <v>961796</v>
      </c>
      <c r="H244" s="44"/>
      <c r="I244" s="44">
        <v>4309368</v>
      </c>
      <c r="J244" s="44"/>
      <c r="K244" s="44">
        <v>1304163</v>
      </c>
      <c r="L244" s="44"/>
      <c r="M244" s="44">
        <v>10087691</v>
      </c>
      <c r="N244" s="44"/>
      <c r="O244" s="44">
        <v>2183380</v>
      </c>
      <c r="P244" s="44"/>
      <c r="Q244" s="44">
        <v>7358090</v>
      </c>
      <c r="R244" s="44"/>
      <c r="S244" s="44">
        <v>0</v>
      </c>
      <c r="T244" s="44"/>
      <c r="U244" s="44">
        <v>1503324</v>
      </c>
      <c r="V244" s="44"/>
      <c r="W244" s="44">
        <f t="shared" si="4"/>
        <v>40854973</v>
      </c>
      <c r="X244" s="44"/>
      <c r="Y244" s="44">
        <v>170976160</v>
      </c>
      <c r="Z244" s="44"/>
      <c r="AA244" s="44">
        <f>+'Stmt net assets'!Y243</f>
        <v>180086809</v>
      </c>
      <c r="AB244" s="44"/>
      <c r="AC244" s="44">
        <f>+Y244+'Stmt of activities-GA rev'!AC245-'Stmt of activities-GAexp'!W244-AA244</f>
        <v>0</v>
      </c>
    </row>
    <row r="245" spans="1:29" s="47" customFormat="1" ht="12.75" customHeight="1">
      <c r="A245" s="47" t="s">
        <v>274</v>
      </c>
      <c r="B245" s="51"/>
      <c r="C245" s="47" t="s">
        <v>43</v>
      </c>
      <c r="E245" s="44">
        <v>10308780</v>
      </c>
      <c r="F245" s="44"/>
      <c r="G245" s="44">
        <v>86524</v>
      </c>
      <c r="H245" s="44"/>
      <c r="I245" s="44">
        <v>679319</v>
      </c>
      <c r="J245" s="44"/>
      <c r="K245" s="44">
        <v>24850</v>
      </c>
      <c r="L245" s="44"/>
      <c r="M245" s="44">
        <v>2425295</v>
      </c>
      <c r="N245" s="44"/>
      <c r="O245" s="44">
        <v>411991</v>
      </c>
      <c r="P245" s="44"/>
      <c r="Q245" s="44">
        <v>5238550</v>
      </c>
      <c r="R245" s="44"/>
      <c r="S245" s="44">
        <v>0</v>
      </c>
      <c r="T245" s="44"/>
      <c r="U245" s="44">
        <v>113024</v>
      </c>
      <c r="V245" s="44"/>
      <c r="W245" s="44">
        <f t="shared" si="4"/>
        <v>19288333</v>
      </c>
      <c r="X245" s="44"/>
      <c r="Y245" s="44">
        <v>25858897</v>
      </c>
      <c r="Z245" s="44"/>
      <c r="AA245" s="44">
        <f>+'Stmt net assets'!Y244</f>
        <v>28299123</v>
      </c>
      <c r="AB245" s="44"/>
      <c r="AC245" s="44">
        <f>+Y245+'Stmt of activities-GA rev'!AC246-'Stmt of activities-GAexp'!W245-AA245</f>
        <v>0</v>
      </c>
    </row>
    <row r="246" spans="1:29" s="47" customFormat="1" ht="12.75" customHeight="1">
      <c r="A246" s="47" t="s">
        <v>275</v>
      </c>
      <c r="B246" s="51"/>
      <c r="C246" s="47" t="s">
        <v>92</v>
      </c>
      <c r="E246" s="44">
        <v>5857043</v>
      </c>
      <c r="F246" s="44"/>
      <c r="G246" s="44">
        <v>288752</v>
      </c>
      <c r="H246" s="44"/>
      <c r="I246" s="44">
        <v>757260</v>
      </c>
      <c r="J246" s="44"/>
      <c r="K246" s="44">
        <v>184906</v>
      </c>
      <c r="L246" s="44"/>
      <c r="M246" s="44">
        <v>2115039</v>
      </c>
      <c r="N246" s="44"/>
      <c r="O246" s="44">
        <v>1104471</v>
      </c>
      <c r="P246" s="44"/>
      <c r="Q246" s="44">
        <v>6799266</v>
      </c>
      <c r="R246" s="44"/>
      <c r="S246" s="44">
        <v>0</v>
      </c>
      <c r="T246" s="44"/>
      <c r="U246" s="44">
        <v>228036</v>
      </c>
      <c r="V246" s="44"/>
      <c r="W246" s="44">
        <f t="shared" si="4"/>
        <v>17334773</v>
      </c>
      <c r="X246" s="44"/>
      <c r="Y246" s="44">
        <v>90613061</v>
      </c>
      <c r="Z246" s="44"/>
      <c r="AA246" s="44">
        <f>+'Stmt net assets'!Y245</f>
        <v>91091703</v>
      </c>
      <c r="AB246" s="44"/>
      <c r="AC246" s="44">
        <f>+Y246+'Stmt of activities-GA rev'!AC247-'Stmt of activities-GAexp'!W246-AA246</f>
        <v>0</v>
      </c>
    </row>
    <row r="247" spans="1:29" s="47" customFormat="1" ht="12.75" customHeight="1">
      <c r="A247" s="47" t="s">
        <v>276</v>
      </c>
      <c r="B247" s="51"/>
      <c r="C247" s="47" t="s">
        <v>38</v>
      </c>
      <c r="E247" s="44">
        <v>2428663</v>
      </c>
      <c r="F247" s="44"/>
      <c r="G247" s="44">
        <v>43018</v>
      </c>
      <c r="H247" s="44"/>
      <c r="I247" s="44">
        <v>276619</v>
      </c>
      <c r="J247" s="44"/>
      <c r="K247" s="44">
        <v>194684</v>
      </c>
      <c r="L247" s="44"/>
      <c r="M247" s="44">
        <v>830877</v>
      </c>
      <c r="N247" s="44"/>
      <c r="O247" s="44">
        <v>0</v>
      </c>
      <c r="P247" s="44"/>
      <c r="Q247" s="44">
        <v>665620</v>
      </c>
      <c r="R247" s="44"/>
      <c r="S247" s="44">
        <v>0</v>
      </c>
      <c r="T247" s="44"/>
      <c r="U247" s="44">
        <v>62983</v>
      </c>
      <c r="V247" s="44"/>
      <c r="W247" s="44">
        <f t="shared" si="4"/>
        <v>4502464</v>
      </c>
      <c r="X247" s="44"/>
      <c r="Y247" s="44">
        <v>9072931</v>
      </c>
      <c r="Z247" s="44"/>
      <c r="AA247" s="44">
        <f>+'Stmt net assets'!Y246</f>
        <v>10115652</v>
      </c>
      <c r="AB247" s="44"/>
      <c r="AC247" s="44">
        <f>+Y247+'Stmt of activities-GA rev'!AC248-'Stmt of activities-GAexp'!W247-AA247</f>
        <v>0</v>
      </c>
    </row>
    <row r="248" spans="1:29" s="47" customFormat="1" ht="12.75" customHeight="1">
      <c r="A248" s="47" t="s">
        <v>277</v>
      </c>
      <c r="B248" s="51"/>
      <c r="C248" s="47" t="s">
        <v>92</v>
      </c>
      <c r="E248" s="44">
        <v>13355856</v>
      </c>
      <c r="F248" s="44"/>
      <c r="G248" s="44">
        <v>474422</v>
      </c>
      <c r="H248" s="44"/>
      <c r="I248" s="44">
        <v>2162931</v>
      </c>
      <c r="J248" s="44"/>
      <c r="K248" s="44">
        <v>1028496</v>
      </c>
      <c r="L248" s="44"/>
      <c r="M248" s="44">
        <v>3316323</v>
      </c>
      <c r="N248" s="44"/>
      <c r="O248" s="44">
        <v>1517825</v>
      </c>
      <c r="P248" s="44"/>
      <c r="Q248" s="44">
        <v>7037479</v>
      </c>
      <c r="R248" s="44"/>
      <c r="S248" s="44">
        <v>0</v>
      </c>
      <c r="T248" s="44"/>
      <c r="U248" s="44">
        <v>879804</v>
      </c>
      <c r="V248" s="44"/>
      <c r="W248" s="44">
        <f t="shared" si="4"/>
        <v>29773136</v>
      </c>
      <c r="X248" s="44"/>
      <c r="Y248" s="44">
        <v>59497090</v>
      </c>
      <c r="Z248" s="44"/>
      <c r="AA248" s="44">
        <f>+'Stmt net assets'!Y247</f>
        <v>61036153</v>
      </c>
      <c r="AB248" s="44"/>
      <c r="AC248" s="44">
        <f>+Y248+'Stmt of activities-GA rev'!AC249-'Stmt of activities-GAexp'!W248-AA248</f>
        <v>0</v>
      </c>
    </row>
    <row r="249" spans="1:29" s="47" customFormat="1" ht="12.75" customHeight="1">
      <c r="A249" s="47" t="s">
        <v>278</v>
      </c>
      <c r="B249" s="51"/>
      <c r="C249" s="47" t="s">
        <v>92</v>
      </c>
      <c r="E249" s="44">
        <v>4704221</v>
      </c>
      <c r="F249" s="44"/>
      <c r="G249" s="44">
        <v>0</v>
      </c>
      <c r="H249" s="44"/>
      <c r="I249" s="44">
        <v>218311</v>
      </c>
      <c r="J249" s="44"/>
      <c r="K249" s="44">
        <v>143411</v>
      </c>
      <c r="L249" s="44"/>
      <c r="M249" s="44">
        <v>1824311</v>
      </c>
      <c r="N249" s="44"/>
      <c r="O249" s="44">
        <v>0</v>
      </c>
      <c r="P249" s="44"/>
      <c r="Q249" s="44">
        <v>1612397</v>
      </c>
      <c r="R249" s="44"/>
      <c r="S249" s="44">
        <v>0</v>
      </c>
      <c r="T249" s="44"/>
      <c r="U249" s="44">
        <v>132677</v>
      </c>
      <c r="V249" s="44"/>
      <c r="W249" s="44">
        <f t="shared" si="4"/>
        <v>8635328</v>
      </c>
      <c r="X249" s="44"/>
      <c r="Y249" s="44">
        <v>8708391</v>
      </c>
      <c r="Z249" s="44"/>
      <c r="AA249" s="44">
        <f>+'Stmt net assets'!Y248</f>
        <v>9382474</v>
      </c>
      <c r="AB249" s="44"/>
      <c r="AC249" s="44">
        <f>+Y249+'Stmt of activities-GA rev'!AC250-'Stmt of activities-GAexp'!W249-AA249</f>
        <v>0</v>
      </c>
    </row>
    <row r="250" spans="1:29" s="47" customFormat="1" ht="12.75" customHeight="1">
      <c r="A250" s="47" t="s">
        <v>279</v>
      </c>
      <c r="B250" s="51"/>
      <c r="C250" s="47" t="s">
        <v>92</v>
      </c>
      <c r="E250" s="44">
        <v>5539024</v>
      </c>
      <c r="F250" s="44"/>
      <c r="G250" s="44">
        <v>116366</v>
      </c>
      <c r="H250" s="44"/>
      <c r="I250" s="44">
        <v>1152161</v>
      </c>
      <c r="J250" s="44"/>
      <c r="K250" s="44">
        <v>556073</v>
      </c>
      <c r="L250" s="44"/>
      <c r="M250" s="44">
        <v>1209849</v>
      </c>
      <c r="N250" s="44"/>
      <c r="O250" s="44">
        <v>897757</v>
      </c>
      <c r="P250" s="44"/>
      <c r="Q250" s="44">
        <v>1771318</v>
      </c>
      <c r="R250" s="44"/>
      <c r="S250" s="44">
        <v>0</v>
      </c>
      <c r="T250" s="44"/>
      <c r="U250" s="44">
        <v>5832</v>
      </c>
      <c r="V250" s="44"/>
      <c r="W250" s="44">
        <f t="shared" si="4"/>
        <v>11248380</v>
      </c>
      <c r="X250" s="44"/>
      <c r="Y250" s="44">
        <v>37721980</v>
      </c>
      <c r="Z250" s="44"/>
      <c r="AA250" s="44">
        <f>+'Stmt net assets'!Y249</f>
        <v>37330949</v>
      </c>
      <c r="AB250" s="44"/>
      <c r="AC250" s="44">
        <f>+Y250+'Stmt of activities-GA rev'!AC251-'Stmt of activities-GAexp'!W250-AA250</f>
        <v>0</v>
      </c>
    </row>
    <row r="251" spans="1:29" s="47" customFormat="1" ht="12.75" customHeight="1">
      <c r="A251" s="47" t="s">
        <v>280</v>
      </c>
      <c r="B251" s="51"/>
      <c r="C251" s="47" t="s">
        <v>281</v>
      </c>
      <c r="E251" s="44">
        <v>5404520</v>
      </c>
      <c r="F251" s="44"/>
      <c r="G251" s="44">
        <v>633764</v>
      </c>
      <c r="H251" s="44"/>
      <c r="I251" s="44">
        <v>687491</v>
      </c>
      <c r="J251" s="44"/>
      <c r="K251" s="44">
        <v>0</v>
      </c>
      <c r="L251" s="44"/>
      <c r="M251" s="44">
        <v>2781606</v>
      </c>
      <c r="N251" s="44"/>
      <c r="O251" s="44">
        <v>0</v>
      </c>
      <c r="P251" s="44"/>
      <c r="Q251" s="44">
        <v>5398713</v>
      </c>
      <c r="R251" s="44"/>
      <c r="S251" s="44">
        <v>0</v>
      </c>
      <c r="T251" s="44"/>
      <c r="U251" s="44">
        <v>320466</v>
      </c>
      <c r="V251" s="44"/>
      <c r="W251" s="44">
        <f t="shared" si="4"/>
        <v>15226560</v>
      </c>
      <c r="X251" s="44"/>
      <c r="Y251" s="44">
        <v>16169561</v>
      </c>
      <c r="Z251" s="44"/>
      <c r="AA251" s="44">
        <f>+'Stmt net assets'!Y250</f>
        <v>16001313</v>
      </c>
      <c r="AB251" s="44"/>
      <c r="AC251" s="44">
        <f>+Y251+'Stmt of activities-GA rev'!AC252-'Stmt of activities-GAexp'!W251-AA251</f>
        <v>0</v>
      </c>
    </row>
    <row r="252" spans="1:29" s="47" customFormat="1" ht="12.75" customHeight="1">
      <c r="A252" s="47" t="s">
        <v>282</v>
      </c>
      <c r="B252" s="51"/>
      <c r="C252" s="47" t="s">
        <v>199</v>
      </c>
      <c r="E252" s="44">
        <f>9673584+1235720</f>
        <v>10909304</v>
      </c>
      <c r="F252" s="44"/>
      <c r="G252" s="44">
        <v>148883</v>
      </c>
      <c r="H252" s="44"/>
      <c r="I252" s="44">
        <f>2104404+327034</f>
        <v>2431438</v>
      </c>
      <c r="J252" s="44"/>
      <c r="K252" s="44">
        <f>1255221+57577</f>
        <v>1312798</v>
      </c>
      <c r="L252" s="44"/>
      <c r="M252" s="44">
        <f>3012432+315986</f>
        <v>3328418</v>
      </c>
      <c r="N252" s="44"/>
      <c r="O252" s="44">
        <v>0</v>
      </c>
      <c r="P252" s="44"/>
      <c r="Q252" s="44">
        <f>3485836-3036440</f>
        <v>449396</v>
      </c>
      <c r="R252" s="44"/>
      <c r="S252" s="44">
        <f>372806-370401</f>
        <v>2405</v>
      </c>
      <c r="T252" s="44"/>
      <c r="U252" s="44">
        <v>214332</v>
      </c>
      <c r="V252" s="44"/>
      <c r="W252" s="44">
        <f t="shared" si="4"/>
        <v>18796974</v>
      </c>
      <c r="X252" s="44"/>
      <c r="Y252" s="44">
        <v>52985931</v>
      </c>
      <c r="Z252" s="44"/>
      <c r="AA252" s="44">
        <f>+'Stmt net assets'!Y251</f>
        <v>60223715</v>
      </c>
      <c r="AB252" s="44"/>
      <c r="AC252" s="44">
        <f>+Y252+'Stmt of activities-GA rev'!AC253-'Stmt of activities-GAexp'!W252-AA252</f>
        <v>0</v>
      </c>
    </row>
    <row r="253" spans="1:29" s="47" customFormat="1" ht="12.75" customHeight="1">
      <c r="A253" s="47" t="s">
        <v>283</v>
      </c>
      <c r="B253" s="51"/>
      <c r="C253" s="47" t="s">
        <v>43</v>
      </c>
      <c r="E253" s="44">
        <v>10254206</v>
      </c>
      <c r="F253" s="44"/>
      <c r="G253" s="44">
        <v>49775</v>
      </c>
      <c r="H253" s="44"/>
      <c r="I253" s="44">
        <v>3934903</v>
      </c>
      <c r="J253" s="44"/>
      <c r="K253" s="44">
        <v>735468</v>
      </c>
      <c r="L253" s="44"/>
      <c r="M253" s="44">
        <v>3278659</v>
      </c>
      <c r="N253" s="44"/>
      <c r="O253" s="44">
        <v>1725866</v>
      </c>
      <c r="P253" s="44"/>
      <c r="Q253" s="44">
        <v>5391665</v>
      </c>
      <c r="R253" s="44"/>
      <c r="S253" s="44">
        <v>24984</v>
      </c>
      <c r="T253" s="44"/>
      <c r="U253" s="44">
        <v>412723</v>
      </c>
      <c r="V253" s="44"/>
      <c r="W253" s="44">
        <f t="shared" si="4"/>
        <v>25808249</v>
      </c>
      <c r="X253" s="44"/>
      <c r="Y253" s="44">
        <v>44658089</v>
      </c>
      <c r="Z253" s="44"/>
      <c r="AA253" s="44">
        <f>+'Stmt net assets'!Y252</f>
        <v>45574229</v>
      </c>
      <c r="AB253" s="44"/>
      <c r="AC253" s="44">
        <f>+Y253+'Stmt of activities-GA rev'!AC254-'Stmt of activities-GAexp'!W253-AA253</f>
        <v>0</v>
      </c>
    </row>
    <row r="254" spans="1:29" s="47" customFormat="1" ht="12.75" customHeight="1">
      <c r="A254" s="47" t="s">
        <v>284</v>
      </c>
      <c r="B254" s="51"/>
      <c r="C254" s="47" t="s">
        <v>45</v>
      </c>
      <c r="E254" s="44">
        <v>2840887</v>
      </c>
      <c r="F254" s="44"/>
      <c r="G254" s="44">
        <v>50269</v>
      </c>
      <c r="H254" s="44"/>
      <c r="I254" s="44">
        <v>1624584</v>
      </c>
      <c r="J254" s="44"/>
      <c r="K254" s="44">
        <v>360978</v>
      </c>
      <c r="L254" s="44"/>
      <c r="M254" s="44">
        <v>1554616</v>
      </c>
      <c r="N254" s="44"/>
      <c r="O254" s="44">
        <v>584599</v>
      </c>
      <c r="P254" s="44"/>
      <c r="Q254" s="44">
        <v>2680833</v>
      </c>
      <c r="R254" s="44"/>
      <c r="S254" s="44">
        <v>0</v>
      </c>
      <c r="T254" s="44"/>
      <c r="U254" s="44">
        <v>404138</v>
      </c>
      <c r="V254" s="44"/>
      <c r="W254" s="44">
        <f t="shared" si="4"/>
        <v>10100904</v>
      </c>
      <c r="X254" s="44"/>
      <c r="Y254" s="44">
        <v>23775770</v>
      </c>
      <c r="Z254" s="44"/>
      <c r="AA254" s="44">
        <f>+'Stmt net assets'!Y253</f>
        <v>25256141</v>
      </c>
      <c r="AB254" s="44"/>
      <c r="AC254" s="44">
        <f>+Y254+'Stmt of activities-GA rev'!AC255-'Stmt of activities-GAexp'!W254-AA254</f>
        <v>0</v>
      </c>
    </row>
    <row r="255" spans="1:29" s="47" customFormat="1" ht="12.75" customHeight="1">
      <c r="A255" s="47" t="s">
        <v>285</v>
      </c>
      <c r="B255" s="51"/>
      <c r="C255" s="47" t="s">
        <v>30</v>
      </c>
      <c r="E255" s="44">
        <v>11198157</v>
      </c>
      <c r="F255" s="44"/>
      <c r="G255" s="44">
        <v>63718</v>
      </c>
      <c r="H255" s="44"/>
      <c r="I255" s="44">
        <v>560023</v>
      </c>
      <c r="J255" s="44"/>
      <c r="K255" s="44">
        <v>345551</v>
      </c>
      <c r="L255" s="44"/>
      <c r="M255" s="44">
        <v>2490551</v>
      </c>
      <c r="N255" s="44"/>
      <c r="O255" s="44">
        <v>0</v>
      </c>
      <c r="P255" s="44"/>
      <c r="Q255" s="44">
        <v>3668690</v>
      </c>
      <c r="R255" s="44"/>
      <c r="S255" s="44">
        <v>0</v>
      </c>
      <c r="T255" s="44"/>
      <c r="U255" s="44">
        <v>134336</v>
      </c>
      <c r="V255" s="44"/>
      <c r="W255" s="44">
        <f t="shared" si="4"/>
        <v>18461026</v>
      </c>
      <c r="X255" s="44"/>
      <c r="Y255" s="44">
        <v>44257166</v>
      </c>
      <c r="Z255" s="44"/>
      <c r="AA255" s="44">
        <f>+'Stmt net assets'!Y254</f>
        <v>39705240</v>
      </c>
      <c r="AB255" s="44"/>
      <c r="AC255" s="44">
        <f>+Y255+'Stmt of activities-GA rev'!AC256-'Stmt of activities-GAexp'!W255-AA255</f>
        <v>0</v>
      </c>
    </row>
    <row r="256" spans="1:29" s="47" customFormat="1" ht="12.75" customHeight="1">
      <c r="A256" s="47" t="s">
        <v>286</v>
      </c>
      <c r="B256" s="51"/>
      <c r="C256" s="47" t="s">
        <v>61</v>
      </c>
      <c r="E256" s="44">
        <v>37756483</v>
      </c>
      <c r="F256" s="44"/>
      <c r="G256" s="44">
        <v>2725790</v>
      </c>
      <c r="H256" s="44"/>
      <c r="I256" s="44">
        <v>3434940</v>
      </c>
      <c r="J256" s="44"/>
      <c r="K256" s="44">
        <v>6516118</v>
      </c>
      <c r="L256" s="44"/>
      <c r="M256" s="44">
        <v>10066214</v>
      </c>
      <c r="N256" s="44"/>
      <c r="O256" s="44">
        <v>3087999</v>
      </c>
      <c r="P256" s="44"/>
      <c r="Q256" s="44">
        <v>14328050</v>
      </c>
      <c r="R256" s="44"/>
      <c r="S256" s="44">
        <v>0</v>
      </c>
      <c r="T256" s="44"/>
      <c r="U256" s="44">
        <v>2227300</v>
      </c>
      <c r="V256" s="44"/>
      <c r="W256" s="44">
        <f t="shared" si="4"/>
        <v>80142894</v>
      </c>
      <c r="X256" s="44"/>
      <c r="Y256" s="44">
        <v>69061781</v>
      </c>
      <c r="Z256" s="44"/>
      <c r="AA256" s="44">
        <f>+'Stmt net assets'!Y255</f>
        <v>68640361</v>
      </c>
      <c r="AB256" s="44"/>
      <c r="AC256" s="44">
        <f>+Y256+'Stmt of activities-GA rev'!AC257-'Stmt of activities-GAexp'!W256-AA256</f>
        <v>0</v>
      </c>
    </row>
    <row r="257" spans="1:29" s="47" customFormat="1" ht="12.75" customHeight="1">
      <c r="A257" s="47" t="s">
        <v>287</v>
      </c>
      <c r="B257" s="51"/>
      <c r="C257" s="47" t="s">
        <v>288</v>
      </c>
      <c r="E257" s="44">
        <v>13353737</v>
      </c>
      <c r="F257" s="44"/>
      <c r="G257" s="44">
        <v>2011840</v>
      </c>
      <c r="H257" s="44"/>
      <c r="I257" s="44">
        <v>1110516</v>
      </c>
      <c r="J257" s="44"/>
      <c r="K257" s="44">
        <v>1645043</v>
      </c>
      <c r="L257" s="44"/>
      <c r="M257" s="44">
        <v>2240446</v>
      </c>
      <c r="N257" s="44"/>
      <c r="O257" s="44">
        <v>0</v>
      </c>
      <c r="P257" s="44"/>
      <c r="Q257" s="44">
        <v>4102066</v>
      </c>
      <c r="R257" s="44"/>
      <c r="S257" s="44">
        <v>200606</v>
      </c>
      <c r="T257" s="44"/>
      <c r="U257" s="44">
        <v>99053</v>
      </c>
      <c r="V257" s="44"/>
      <c r="W257" s="44">
        <f t="shared" si="4"/>
        <v>24763307</v>
      </c>
      <c r="X257" s="44"/>
      <c r="Y257" s="44">
        <v>19348552</v>
      </c>
      <c r="Z257" s="44"/>
      <c r="AA257" s="44">
        <f>+'Stmt net assets'!Y256</f>
        <v>20036528</v>
      </c>
      <c r="AB257" s="44"/>
      <c r="AC257" s="44">
        <f>+Y257+'Stmt of activities-GA rev'!AC258-'Stmt of activities-GAexp'!W257-AA257</f>
        <v>0</v>
      </c>
    </row>
    <row r="258" spans="1:29" s="47" customFormat="1" ht="12.75" customHeight="1">
      <c r="A258" s="49"/>
      <c r="B258" s="51"/>
      <c r="C258" s="49"/>
    </row>
    <row r="259" spans="1:29" s="47" customFormat="1" ht="12.75" customHeight="1">
      <c r="B259" s="51"/>
    </row>
    <row r="260" spans="1:29" s="47" customFormat="1" ht="12.75" customHeight="1">
      <c r="B260" s="51"/>
    </row>
    <row r="261" spans="1:29" s="47" customFormat="1" ht="12.75" customHeight="1">
      <c r="B261" s="51"/>
    </row>
    <row r="262" spans="1:29" s="47" customFormat="1" ht="12.75" customHeight="1">
      <c r="B262" s="51"/>
    </row>
    <row r="263" spans="1:29" s="47" customFormat="1" ht="12.75" customHeight="1">
      <c r="B263" s="51"/>
    </row>
  </sheetData>
  <mergeCells count="1">
    <mergeCell ref="E5:P5"/>
  </mergeCells>
  <phoneticPr fontId="4" type="noConversion"/>
  <printOptions horizontalCentered="1"/>
  <pageMargins left="0.75" right="0.75" top="0.5" bottom="0.5" header="0" footer="0.25"/>
  <pageSetup scale="82" firstPageNumber="20" pageOrder="overThenDown" orientation="portrait" useFirstPageNumber="1" r:id="rId1"/>
  <headerFooter alignWithMargins="0">
    <oddFooter>&amp;C&amp;"Times New Roman,Regular"&amp;11&amp;P</oddFooter>
  </headerFooter>
  <rowBreaks count="3" manualBreakCount="3">
    <brk id="73" max="26" man="1"/>
    <brk id="134" max="26" man="1"/>
    <brk id="198" max="26" man="1"/>
  </rowBreaks>
  <colBreaks count="1" manualBreakCount="1">
    <brk id="14" min="9" max="25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325"/>
  <sheetViews>
    <sheetView zoomScaleNormal="100" zoomScaleSheetLayoutView="75" workbookViewId="0">
      <pane xSplit="3" ySplit="7" topLeftCell="D149" activePane="bottomRight" state="frozen"/>
      <selection pane="topRight" activeCell="D1" sqref="D1"/>
      <selection pane="bottomLeft" activeCell="A9" sqref="A9"/>
      <selection pane="bottomRight" activeCell="E226" sqref="E226"/>
    </sheetView>
  </sheetViews>
  <sheetFormatPr defaultRowHeight="12.75" customHeight="1"/>
  <cols>
    <col min="1" max="1" width="15.28515625" style="2" customWidth="1"/>
    <col min="2" max="2" width="1.7109375" customWidth="1"/>
    <col min="3" max="3" width="11" style="2" customWidth="1"/>
    <col min="4" max="4" width="1.7109375" style="2" customWidth="1"/>
    <col min="5" max="5" width="11.7109375" style="2" customWidth="1"/>
    <col min="6" max="6" width="1.7109375" style="2" customWidth="1"/>
    <col min="7" max="7" width="11.7109375" style="2" customWidth="1"/>
    <col min="8" max="8" width="1.7109375" style="2" customWidth="1"/>
    <col min="9" max="9" width="11.7109375" style="2" customWidth="1"/>
    <col min="10" max="10" width="1.7109375" style="2" customWidth="1"/>
    <col min="11" max="11" width="11.7109375" style="2" customWidth="1"/>
    <col min="12" max="12" width="1.7109375" style="2" customWidth="1"/>
    <col min="13" max="13" width="11.7109375" style="2" customWidth="1"/>
    <col min="14" max="14" width="1.7109375" style="2" customWidth="1"/>
    <col min="15" max="15" width="11.7109375" style="2" customWidth="1"/>
    <col min="16" max="16" width="1.7109375" style="2" customWidth="1"/>
    <col min="17" max="17" width="11.7109375" style="2" customWidth="1"/>
    <col min="18" max="18" width="1.7109375" style="2" customWidth="1"/>
    <col min="19" max="19" width="11.7109375" style="2" customWidth="1"/>
    <col min="20" max="20" width="1.7109375" style="2" customWidth="1"/>
    <col min="21" max="21" width="10.7109375" style="2" hidden="1" customWidth="1"/>
    <col min="22" max="22" width="10" style="2" customWidth="1"/>
    <col min="23" max="16384" width="9.140625" style="2"/>
  </cols>
  <sheetData>
    <row r="1" spans="1:22" ht="12.75" customHeight="1">
      <c r="A1" s="20" t="s">
        <v>416</v>
      </c>
      <c r="C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2" ht="12.75" customHeight="1">
      <c r="A2" s="20" t="s">
        <v>488</v>
      </c>
      <c r="C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2" ht="12.75" customHeight="1">
      <c r="A3" s="22" t="s">
        <v>289</v>
      </c>
      <c r="C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5" spans="1:22" ht="12.75" customHeight="1">
      <c r="A5" s="5"/>
      <c r="C5" s="5"/>
      <c r="D5" s="3"/>
      <c r="E5" s="6"/>
      <c r="F5" s="6"/>
      <c r="G5" s="6"/>
      <c r="H5" s="6"/>
      <c r="I5" s="6"/>
      <c r="J5" s="6"/>
      <c r="K5" s="6"/>
      <c r="L5" s="6"/>
      <c r="M5" s="6" t="s">
        <v>317</v>
      </c>
      <c r="N5" s="6"/>
      <c r="O5" s="6"/>
      <c r="P5" s="6"/>
      <c r="Q5" s="6" t="s">
        <v>318</v>
      </c>
      <c r="R5" s="6"/>
      <c r="S5" s="6" t="s">
        <v>6</v>
      </c>
      <c r="T5" s="5"/>
    </row>
    <row r="6" spans="1:22" ht="12.75" customHeight="1">
      <c r="A6" s="5"/>
      <c r="C6" s="5"/>
      <c r="D6" s="5"/>
      <c r="E6" s="6" t="s">
        <v>319</v>
      </c>
      <c r="F6" s="6"/>
      <c r="G6" s="6" t="s">
        <v>6</v>
      </c>
      <c r="H6" s="6"/>
      <c r="I6" s="6" t="s">
        <v>5</v>
      </c>
      <c r="J6" s="6"/>
      <c r="K6" s="6" t="s">
        <v>6</v>
      </c>
      <c r="L6" s="6"/>
      <c r="M6" s="6" t="s">
        <v>320</v>
      </c>
      <c r="N6" s="6"/>
      <c r="O6" s="8" t="s">
        <v>438</v>
      </c>
      <c r="P6" s="6"/>
      <c r="Q6" s="6" t="s">
        <v>321</v>
      </c>
      <c r="R6" s="6"/>
      <c r="S6" s="6" t="s">
        <v>320</v>
      </c>
      <c r="T6" s="5"/>
      <c r="V6" s="3" t="s">
        <v>429</v>
      </c>
    </row>
    <row r="7" spans="1:22" s="44" customFormat="1" ht="12.75" customHeight="1">
      <c r="A7" s="78" t="s">
        <v>8</v>
      </c>
      <c r="B7" s="51"/>
      <c r="C7" s="78" t="s">
        <v>9</v>
      </c>
      <c r="D7" s="35"/>
      <c r="E7" s="78" t="s">
        <v>322</v>
      </c>
      <c r="F7" s="8"/>
      <c r="G7" s="78" t="s">
        <v>0</v>
      </c>
      <c r="H7" s="8"/>
      <c r="I7" s="78" t="s">
        <v>323</v>
      </c>
      <c r="J7" s="8"/>
      <c r="K7" s="78" t="s">
        <v>1</v>
      </c>
      <c r="L7" s="8"/>
      <c r="M7" s="78" t="s">
        <v>324</v>
      </c>
      <c r="N7" s="8"/>
      <c r="O7" s="78" t="s">
        <v>325</v>
      </c>
      <c r="P7" s="8"/>
      <c r="Q7" s="78" t="s">
        <v>325</v>
      </c>
      <c r="R7" s="8"/>
      <c r="S7" s="78" t="s">
        <v>324</v>
      </c>
      <c r="T7" s="35"/>
      <c r="V7" s="104" t="s">
        <v>431</v>
      </c>
    </row>
    <row r="8" spans="1:22" s="44" customFormat="1" ht="12.75" customHeight="1">
      <c r="A8" s="8"/>
      <c r="B8" s="51"/>
      <c r="C8" s="8"/>
      <c r="D8" s="35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35"/>
    </row>
    <row r="9" spans="1:22" s="46" customFormat="1" ht="12.75" customHeight="1">
      <c r="A9" s="44" t="s">
        <v>12</v>
      </c>
      <c r="B9" s="51"/>
      <c r="C9" s="44" t="s">
        <v>13</v>
      </c>
      <c r="D9" s="35"/>
      <c r="E9" s="94">
        <v>0</v>
      </c>
      <c r="F9" s="94"/>
      <c r="G9" s="94">
        <v>63767582</v>
      </c>
      <c r="H9" s="94"/>
      <c r="I9" s="94">
        <v>40449636</v>
      </c>
      <c r="J9" s="94"/>
      <c r="K9" s="94">
        <v>50155177</v>
      </c>
      <c r="L9" s="94"/>
      <c r="M9" s="94">
        <v>963366</v>
      </c>
      <c r="N9" s="94"/>
      <c r="O9" s="94">
        <v>0</v>
      </c>
      <c r="P9" s="94"/>
      <c r="Q9" s="94">
        <v>12649039</v>
      </c>
      <c r="R9" s="94"/>
      <c r="S9" s="94">
        <f t="shared" ref="S9:S70" si="0">+Q9+O9+M9</f>
        <v>13612405</v>
      </c>
      <c r="T9" s="45"/>
      <c r="U9" s="46">
        <f t="shared" ref="U9:U70" si="1">+G9-K9-S9</f>
        <v>0</v>
      </c>
      <c r="V9" s="44">
        <f t="shared" ref="V9:V70" si="2">+G9-K9-S9</f>
        <v>0</v>
      </c>
    </row>
    <row r="10" spans="1:22" s="44" customFormat="1" ht="12.75" customHeight="1">
      <c r="A10" s="44" t="s">
        <v>14</v>
      </c>
      <c r="B10" s="65"/>
      <c r="C10" s="44" t="s">
        <v>15</v>
      </c>
      <c r="D10" s="35"/>
      <c r="E10" s="45">
        <v>1908672</v>
      </c>
      <c r="F10" s="45"/>
      <c r="G10" s="45">
        <v>6581957</v>
      </c>
      <c r="H10" s="45"/>
      <c r="I10" s="45">
        <f>1928067+930966</f>
        <v>2859033</v>
      </c>
      <c r="J10" s="45"/>
      <c r="K10" s="45">
        <v>3895091</v>
      </c>
      <c r="L10" s="45"/>
      <c r="M10" s="45">
        <f>10261+16776+33376</f>
        <v>60413</v>
      </c>
      <c r="N10" s="45"/>
      <c r="O10" s="45">
        <v>0</v>
      </c>
      <c r="P10" s="45"/>
      <c r="Q10" s="45">
        <v>2626453</v>
      </c>
      <c r="R10" s="45"/>
      <c r="S10" s="45">
        <f>+Q10+O10+M10</f>
        <v>2686866</v>
      </c>
      <c r="T10" s="45"/>
      <c r="U10" s="44">
        <f t="shared" si="1"/>
        <v>0</v>
      </c>
      <c r="V10" s="44">
        <f t="shared" si="2"/>
        <v>0</v>
      </c>
    </row>
    <row r="11" spans="1:22" s="44" customFormat="1" ht="12.75" customHeight="1">
      <c r="A11" s="44" t="s">
        <v>16</v>
      </c>
      <c r="B11" s="51"/>
      <c r="C11" s="44" t="s">
        <v>17</v>
      </c>
      <c r="D11" s="35"/>
      <c r="E11" s="45">
        <v>2026775</v>
      </c>
      <c r="F11" s="45"/>
      <c r="G11" s="45">
        <v>4612119</v>
      </c>
      <c r="H11" s="45"/>
      <c r="I11" s="45">
        <v>2045788</v>
      </c>
      <c r="J11" s="45"/>
      <c r="K11" s="45">
        <v>2361516</v>
      </c>
      <c r="L11" s="45"/>
      <c r="M11" s="45">
        <v>8769</v>
      </c>
      <c r="N11" s="45"/>
      <c r="O11" s="45">
        <v>0</v>
      </c>
      <c r="P11" s="45"/>
      <c r="Q11" s="45">
        <v>2241834</v>
      </c>
      <c r="R11" s="45"/>
      <c r="S11" s="45">
        <f t="shared" si="0"/>
        <v>2250603</v>
      </c>
      <c r="T11" s="45"/>
      <c r="U11" s="46">
        <f t="shared" si="1"/>
        <v>0</v>
      </c>
      <c r="V11" s="44">
        <f t="shared" si="2"/>
        <v>0</v>
      </c>
    </row>
    <row r="12" spans="1:22" s="44" customFormat="1" ht="12.75" customHeight="1">
      <c r="A12" s="44" t="s">
        <v>18</v>
      </c>
      <c r="B12" s="51"/>
      <c r="C12" s="44" t="s">
        <v>18</v>
      </c>
      <c r="D12" s="35"/>
      <c r="E12" s="45">
        <v>2091480</v>
      </c>
      <c r="F12" s="45"/>
      <c r="G12" s="45">
        <v>4761210</v>
      </c>
      <c r="H12" s="45"/>
      <c r="I12" s="45">
        <v>1629799</v>
      </c>
      <c r="J12" s="45"/>
      <c r="K12" s="45">
        <v>1953319</v>
      </c>
      <c r="L12" s="45"/>
      <c r="M12" s="45">
        <v>111382</v>
      </c>
      <c r="N12" s="45"/>
      <c r="O12" s="45">
        <v>0</v>
      </c>
      <c r="P12" s="45"/>
      <c r="Q12" s="45">
        <v>2696509</v>
      </c>
      <c r="R12" s="45"/>
      <c r="S12" s="45">
        <f t="shared" si="0"/>
        <v>2807891</v>
      </c>
      <c r="T12" s="45"/>
      <c r="U12" s="46">
        <f t="shared" si="1"/>
        <v>0</v>
      </c>
      <c r="V12" s="44">
        <f t="shared" si="2"/>
        <v>0</v>
      </c>
    </row>
    <row r="13" spans="1:22" s="44" customFormat="1" ht="12.75" customHeight="1">
      <c r="A13" s="44" t="s">
        <v>19</v>
      </c>
      <c r="B13" s="51"/>
      <c r="C13" s="44" t="s">
        <v>19</v>
      </c>
      <c r="D13" s="35"/>
      <c r="E13" s="45">
        <f>412789+214791</f>
        <v>627580</v>
      </c>
      <c r="F13" s="45"/>
      <c r="G13" s="45">
        <v>4090153</v>
      </c>
      <c r="H13" s="45"/>
      <c r="I13" s="45">
        <v>2805174</v>
      </c>
      <c r="J13" s="45"/>
      <c r="K13" s="45">
        <v>3332535</v>
      </c>
      <c r="L13" s="45"/>
      <c r="M13" s="45">
        <f>46501+20341</f>
        <v>66842</v>
      </c>
      <c r="N13" s="45"/>
      <c r="O13" s="45">
        <v>0</v>
      </c>
      <c r="P13" s="45"/>
      <c r="Q13" s="45">
        <v>690776</v>
      </c>
      <c r="R13" s="45"/>
      <c r="S13" s="45">
        <f t="shared" si="0"/>
        <v>757618</v>
      </c>
      <c r="T13" s="45"/>
      <c r="U13" s="46">
        <f t="shared" si="1"/>
        <v>0</v>
      </c>
      <c r="V13" s="44">
        <f t="shared" si="2"/>
        <v>0</v>
      </c>
    </row>
    <row r="14" spans="1:22" s="44" customFormat="1" ht="12.75" customHeight="1">
      <c r="A14" s="44" t="s">
        <v>20</v>
      </c>
      <c r="B14" s="51"/>
      <c r="C14" s="44" t="s">
        <v>20</v>
      </c>
      <c r="D14" s="35"/>
      <c r="E14" s="45">
        <f>1207933+38530</f>
        <v>1246463</v>
      </c>
      <c r="F14" s="45"/>
      <c r="G14" s="45">
        <v>3197896</v>
      </c>
      <c r="H14" s="45"/>
      <c r="I14" s="45">
        <v>1337243</v>
      </c>
      <c r="J14" s="45"/>
      <c r="K14" s="45">
        <v>1772836</v>
      </c>
      <c r="L14" s="45"/>
      <c r="M14" s="45">
        <v>78390</v>
      </c>
      <c r="N14" s="45"/>
      <c r="O14" s="45">
        <v>0</v>
      </c>
      <c r="P14" s="45"/>
      <c r="Q14" s="45">
        <v>1346670</v>
      </c>
      <c r="R14" s="45"/>
      <c r="S14" s="45">
        <f t="shared" si="0"/>
        <v>1425060</v>
      </c>
      <c r="T14" s="45"/>
      <c r="U14" s="46">
        <f t="shared" si="1"/>
        <v>0</v>
      </c>
      <c r="V14" s="44">
        <f t="shared" si="2"/>
        <v>0</v>
      </c>
    </row>
    <row r="15" spans="1:22" s="44" customFormat="1" ht="12.75" customHeight="1">
      <c r="A15" s="44" t="s">
        <v>21</v>
      </c>
      <c r="C15" s="44" t="s">
        <v>22</v>
      </c>
      <c r="D15" s="35"/>
      <c r="E15" s="45">
        <v>5865618</v>
      </c>
      <c r="F15" s="45"/>
      <c r="G15" s="45">
        <v>10577382</v>
      </c>
      <c r="H15" s="45"/>
      <c r="I15" s="45">
        <v>1296528</v>
      </c>
      <c r="J15" s="45"/>
      <c r="K15" s="45">
        <v>3618421</v>
      </c>
      <c r="L15" s="45"/>
      <c r="M15" s="45">
        <f>378632+36045+40993</f>
        <v>455670</v>
      </c>
      <c r="N15" s="45"/>
      <c r="O15" s="45">
        <v>0</v>
      </c>
      <c r="P15" s="45"/>
      <c r="Q15" s="45">
        <v>6503291</v>
      </c>
      <c r="R15" s="45"/>
      <c r="S15" s="45">
        <f t="shared" si="0"/>
        <v>6958961</v>
      </c>
      <c r="T15" s="45"/>
      <c r="U15" s="46">
        <f t="shared" si="1"/>
        <v>0</v>
      </c>
      <c r="V15" s="44">
        <f t="shared" si="2"/>
        <v>0</v>
      </c>
    </row>
    <row r="16" spans="1:22" s="44" customFormat="1" ht="12.75" customHeight="1">
      <c r="A16" s="44" t="s">
        <v>23</v>
      </c>
      <c r="B16" s="51"/>
      <c r="C16" s="44" t="s">
        <v>17</v>
      </c>
      <c r="D16" s="35"/>
      <c r="E16" s="45">
        <v>5969222</v>
      </c>
      <c r="F16" s="45"/>
      <c r="G16" s="45">
        <v>9605753</v>
      </c>
      <c r="H16" s="45"/>
      <c r="I16" s="45">
        <v>2611501</v>
      </c>
      <c r="J16" s="45"/>
      <c r="K16" s="45">
        <v>2838808</v>
      </c>
      <c r="L16" s="45"/>
      <c r="M16" s="45">
        <v>189529</v>
      </c>
      <c r="N16" s="45"/>
      <c r="O16" s="45">
        <v>0</v>
      </c>
      <c r="P16" s="45"/>
      <c r="Q16" s="45">
        <v>6577416</v>
      </c>
      <c r="R16" s="45"/>
      <c r="S16" s="45">
        <f t="shared" si="0"/>
        <v>6766945</v>
      </c>
      <c r="T16" s="45"/>
      <c r="U16" s="46">
        <f t="shared" si="1"/>
        <v>0</v>
      </c>
      <c r="V16" s="44">
        <f t="shared" si="2"/>
        <v>0</v>
      </c>
    </row>
    <row r="17" spans="1:22" s="44" customFormat="1" ht="12.75" customHeight="1">
      <c r="A17" s="44" t="s">
        <v>24</v>
      </c>
      <c r="B17" s="51"/>
      <c r="C17" s="44" t="s">
        <v>17</v>
      </c>
      <c r="D17" s="35"/>
      <c r="E17" s="45">
        <v>1525578</v>
      </c>
      <c r="F17" s="45"/>
      <c r="G17" s="45">
        <v>6412849</v>
      </c>
      <c r="H17" s="45"/>
      <c r="I17" s="45">
        <v>4424879</v>
      </c>
      <c r="J17" s="45"/>
      <c r="K17" s="45">
        <v>5090429</v>
      </c>
      <c r="L17" s="45"/>
      <c r="M17" s="45">
        <f>17243+118604</f>
        <v>135847</v>
      </c>
      <c r="N17" s="45"/>
      <c r="O17" s="45">
        <v>0</v>
      </c>
      <c r="P17" s="45"/>
      <c r="Q17" s="45">
        <v>1186573</v>
      </c>
      <c r="R17" s="45"/>
      <c r="S17" s="45">
        <f t="shared" si="0"/>
        <v>1322420</v>
      </c>
      <c r="T17" s="45"/>
      <c r="U17" s="46">
        <f t="shared" si="1"/>
        <v>0</v>
      </c>
      <c r="V17" s="44">
        <f t="shared" si="2"/>
        <v>0</v>
      </c>
    </row>
    <row r="18" spans="1:22" s="44" customFormat="1" ht="12.75" customHeight="1">
      <c r="A18" s="44" t="s">
        <v>25</v>
      </c>
      <c r="C18" s="44" t="s">
        <v>13</v>
      </c>
      <c r="D18" s="35"/>
      <c r="E18" s="45">
        <f>2514968+194857</f>
        <v>2709825</v>
      </c>
      <c r="F18" s="45"/>
      <c r="G18" s="45">
        <v>7148758</v>
      </c>
      <c r="H18" s="45"/>
      <c r="I18" s="45">
        <v>1747958</v>
      </c>
      <c r="J18" s="45"/>
      <c r="K18" s="45">
        <v>4070046</v>
      </c>
      <c r="L18" s="45"/>
      <c r="M18" s="45">
        <f>218372+51958+2286</f>
        <v>272616</v>
      </c>
      <c r="N18" s="45"/>
      <c r="O18" s="45">
        <v>0</v>
      </c>
      <c r="P18" s="45"/>
      <c r="Q18" s="45">
        <v>2806096</v>
      </c>
      <c r="R18" s="45"/>
      <c r="S18" s="45">
        <f t="shared" si="0"/>
        <v>3078712</v>
      </c>
      <c r="T18" s="45"/>
      <c r="U18" s="46">
        <f t="shared" si="1"/>
        <v>0</v>
      </c>
      <c r="V18" s="44">
        <f>+G18-K18-S18</f>
        <v>0</v>
      </c>
    </row>
    <row r="19" spans="1:22" s="44" customFormat="1" ht="12.75" customHeight="1">
      <c r="A19" s="44" t="s">
        <v>26</v>
      </c>
      <c r="B19" s="51"/>
      <c r="C19" s="44" t="s">
        <v>27</v>
      </c>
      <c r="D19" s="35"/>
      <c r="E19" s="45">
        <v>16174314</v>
      </c>
      <c r="F19" s="45"/>
      <c r="G19" s="45">
        <v>23285133</v>
      </c>
      <c r="H19" s="45"/>
      <c r="I19" s="45">
        <v>1652113</v>
      </c>
      <c r="J19" s="45"/>
      <c r="K19" s="45">
        <v>5760435</v>
      </c>
      <c r="L19" s="45"/>
      <c r="M19" s="45">
        <v>45607</v>
      </c>
      <c r="N19" s="45"/>
      <c r="O19" s="45">
        <v>0</v>
      </c>
      <c r="P19" s="45"/>
      <c r="Q19" s="45">
        <v>17479091</v>
      </c>
      <c r="R19" s="45"/>
      <c r="S19" s="45">
        <f t="shared" si="0"/>
        <v>17524698</v>
      </c>
      <c r="T19" s="45"/>
      <c r="U19" s="46">
        <f t="shared" si="1"/>
        <v>0</v>
      </c>
      <c r="V19" s="44">
        <f t="shared" si="2"/>
        <v>0</v>
      </c>
    </row>
    <row r="20" spans="1:22" s="44" customFormat="1" ht="12.75" customHeight="1">
      <c r="A20" s="44" t="s">
        <v>28</v>
      </c>
      <c r="B20" s="51"/>
      <c r="C20" s="44" t="s">
        <v>27</v>
      </c>
      <c r="D20" s="35"/>
      <c r="E20" s="45">
        <f>22452421+38</f>
        <v>22452459</v>
      </c>
      <c r="F20" s="45"/>
      <c r="G20" s="45">
        <v>32121947</v>
      </c>
      <c r="H20" s="45"/>
      <c r="I20" s="45">
        <v>4143557</v>
      </c>
      <c r="J20" s="45"/>
      <c r="K20" s="45">
        <v>5669047</v>
      </c>
      <c r="L20" s="45"/>
      <c r="M20" s="45">
        <f>1343106+14538</f>
        <v>1357644</v>
      </c>
      <c r="N20" s="45"/>
      <c r="O20" s="45">
        <v>0</v>
      </c>
      <c r="P20" s="45"/>
      <c r="Q20" s="45">
        <v>25095256</v>
      </c>
      <c r="R20" s="45"/>
      <c r="S20" s="45">
        <f t="shared" si="0"/>
        <v>26452900</v>
      </c>
      <c r="T20" s="45"/>
      <c r="U20" s="46">
        <f t="shared" si="1"/>
        <v>0</v>
      </c>
      <c r="V20" s="44">
        <f t="shared" si="2"/>
        <v>0</v>
      </c>
    </row>
    <row r="21" spans="1:22" s="44" customFormat="1" ht="12.75" customHeight="1">
      <c r="A21" s="44" t="s">
        <v>29</v>
      </c>
      <c r="B21" s="51"/>
      <c r="C21" s="44" t="s">
        <v>30</v>
      </c>
      <c r="D21" s="35"/>
      <c r="E21" s="45">
        <v>1131397</v>
      </c>
      <c r="F21" s="45"/>
      <c r="G21" s="45">
        <v>4258350</v>
      </c>
      <c r="H21" s="45"/>
      <c r="I21" s="45">
        <v>1968848</v>
      </c>
      <c r="J21" s="45"/>
      <c r="K21" s="45">
        <v>2122727</v>
      </c>
      <c r="L21" s="45"/>
      <c r="M21" s="45">
        <v>19107</v>
      </c>
      <c r="N21" s="45"/>
      <c r="O21" s="45">
        <v>0</v>
      </c>
      <c r="P21" s="45"/>
      <c r="Q21" s="45">
        <v>2116516</v>
      </c>
      <c r="R21" s="45"/>
      <c r="S21" s="45">
        <f t="shared" si="0"/>
        <v>2135623</v>
      </c>
      <c r="T21" s="45"/>
      <c r="U21" s="46">
        <f t="shared" si="1"/>
        <v>0</v>
      </c>
      <c r="V21" s="44">
        <f t="shared" si="2"/>
        <v>0</v>
      </c>
    </row>
    <row r="22" spans="1:22" s="44" customFormat="1" ht="12.75" customHeight="1">
      <c r="A22" s="44" t="s">
        <v>31</v>
      </c>
      <c r="B22" s="51"/>
      <c r="C22" s="44" t="s">
        <v>27</v>
      </c>
      <c r="D22" s="35"/>
      <c r="E22" s="45">
        <v>9391591</v>
      </c>
      <c r="F22" s="45"/>
      <c r="G22" s="45">
        <v>15604377</v>
      </c>
      <c r="H22" s="45"/>
      <c r="I22" s="45">
        <v>4770493</v>
      </c>
      <c r="J22" s="45"/>
      <c r="K22" s="45">
        <v>5212207</v>
      </c>
      <c r="L22" s="45"/>
      <c r="M22" s="45">
        <v>78845</v>
      </c>
      <c r="N22" s="45"/>
      <c r="O22" s="45">
        <v>0</v>
      </c>
      <c r="P22" s="45"/>
      <c r="Q22" s="45">
        <v>10313325</v>
      </c>
      <c r="R22" s="45"/>
      <c r="S22" s="45">
        <f t="shared" si="0"/>
        <v>10392170</v>
      </c>
      <c r="T22" s="45"/>
      <c r="U22" s="46">
        <f t="shared" si="1"/>
        <v>0</v>
      </c>
      <c r="V22" s="44">
        <f t="shared" si="2"/>
        <v>0</v>
      </c>
    </row>
    <row r="23" spans="1:22" s="44" customFormat="1" ht="12.75" customHeight="1">
      <c r="A23" s="44" t="s">
        <v>32</v>
      </c>
      <c r="B23" s="51"/>
      <c r="C23" s="44" t="s">
        <v>27</v>
      </c>
      <c r="D23" s="35"/>
      <c r="E23" s="45">
        <v>4148655</v>
      </c>
      <c r="F23" s="45"/>
      <c r="G23" s="45">
        <v>8243934</v>
      </c>
      <c r="H23" s="45"/>
      <c r="I23" s="45">
        <v>1987423</v>
      </c>
      <c r="J23" s="45"/>
      <c r="K23" s="45">
        <v>2846966</v>
      </c>
      <c r="L23" s="45"/>
      <c r="M23" s="45">
        <f>47222+23682+43239</f>
        <v>114143</v>
      </c>
      <c r="N23" s="45"/>
      <c r="O23" s="45">
        <v>0</v>
      </c>
      <c r="P23" s="45"/>
      <c r="Q23" s="45">
        <v>5282825</v>
      </c>
      <c r="R23" s="45"/>
      <c r="S23" s="45">
        <f t="shared" si="0"/>
        <v>5396968</v>
      </c>
      <c r="T23" s="45"/>
      <c r="U23" s="46">
        <f t="shared" si="1"/>
        <v>0</v>
      </c>
      <c r="V23" s="44">
        <f t="shared" si="2"/>
        <v>0</v>
      </c>
    </row>
    <row r="24" spans="1:22" s="122" customFormat="1" ht="12.75" hidden="1" customHeight="1">
      <c r="A24" s="122" t="s">
        <v>34</v>
      </c>
      <c r="B24" s="126"/>
      <c r="C24" s="122" t="s">
        <v>30</v>
      </c>
      <c r="D24" s="121"/>
      <c r="E24" s="125">
        <v>0</v>
      </c>
      <c r="F24" s="125"/>
      <c r="G24" s="125">
        <v>0</v>
      </c>
      <c r="H24" s="125"/>
      <c r="I24" s="125">
        <v>0</v>
      </c>
      <c r="J24" s="125"/>
      <c r="K24" s="125">
        <v>0</v>
      </c>
      <c r="L24" s="125"/>
      <c r="M24" s="125">
        <v>0</v>
      </c>
      <c r="N24" s="125"/>
      <c r="O24" s="125">
        <v>0</v>
      </c>
      <c r="P24" s="125"/>
      <c r="Q24" s="125">
        <v>0</v>
      </c>
      <c r="R24" s="125"/>
      <c r="S24" s="125">
        <f t="shared" si="0"/>
        <v>0</v>
      </c>
      <c r="T24" s="125"/>
      <c r="U24" s="128">
        <f t="shared" si="1"/>
        <v>0</v>
      </c>
      <c r="V24" s="122">
        <f t="shared" si="2"/>
        <v>0</v>
      </c>
    </row>
    <row r="25" spans="1:22" s="44" customFormat="1" ht="12.75" customHeight="1">
      <c r="A25" s="44" t="s">
        <v>35</v>
      </c>
      <c r="B25" s="51"/>
      <c r="C25" s="44" t="s">
        <v>36</v>
      </c>
      <c r="D25" s="35"/>
      <c r="E25" s="45">
        <v>3156596</v>
      </c>
      <c r="F25" s="45"/>
      <c r="G25" s="45">
        <v>5134935</v>
      </c>
      <c r="H25" s="45"/>
      <c r="I25" s="45">
        <v>1244305</v>
      </c>
      <c r="J25" s="45"/>
      <c r="K25" s="45">
        <v>1555993</v>
      </c>
      <c r="L25" s="45"/>
      <c r="M25" s="45">
        <v>103765</v>
      </c>
      <c r="N25" s="45"/>
      <c r="O25" s="45">
        <v>0</v>
      </c>
      <c r="P25" s="45"/>
      <c r="Q25" s="45">
        <v>3475177</v>
      </c>
      <c r="R25" s="45"/>
      <c r="S25" s="45">
        <f t="shared" si="0"/>
        <v>3578942</v>
      </c>
      <c r="T25" s="45"/>
      <c r="U25" s="46">
        <f t="shared" si="1"/>
        <v>0</v>
      </c>
      <c r="V25" s="44">
        <f t="shared" si="2"/>
        <v>0</v>
      </c>
    </row>
    <row r="26" spans="1:22" s="44" customFormat="1" ht="12.75" customHeight="1">
      <c r="A26" s="44" t="s">
        <v>37</v>
      </c>
      <c r="B26" s="51"/>
      <c r="C26" s="44" t="s">
        <v>38</v>
      </c>
      <c r="D26" s="35"/>
      <c r="E26" s="45">
        <f>495+1826011</f>
        <v>1826506</v>
      </c>
      <c r="F26" s="45"/>
      <c r="G26" s="45">
        <v>3420142</v>
      </c>
      <c r="H26" s="45"/>
      <c r="I26" s="45">
        <v>1342128</v>
      </c>
      <c r="J26" s="45"/>
      <c r="K26" s="45">
        <v>1501039</v>
      </c>
      <c r="L26" s="45"/>
      <c r="M26" s="45">
        <f>7761+7943</f>
        <v>15704</v>
      </c>
      <c r="N26" s="45"/>
      <c r="O26" s="45">
        <v>0</v>
      </c>
      <c r="P26" s="45"/>
      <c r="Q26" s="45">
        <v>1903399</v>
      </c>
      <c r="R26" s="45"/>
      <c r="S26" s="45">
        <f t="shared" si="0"/>
        <v>1919103</v>
      </c>
      <c r="T26" s="45"/>
      <c r="U26" s="46">
        <f t="shared" si="1"/>
        <v>0</v>
      </c>
      <c r="V26" s="44">
        <f t="shared" si="2"/>
        <v>0</v>
      </c>
    </row>
    <row r="27" spans="1:22" s="44" customFormat="1" ht="12.75" customHeight="1">
      <c r="A27" s="44" t="s">
        <v>39</v>
      </c>
      <c r="C27" s="44" t="s">
        <v>40</v>
      </c>
      <c r="D27" s="35"/>
      <c r="E27" s="45">
        <f>1310061+6021+6598</f>
        <v>1322680</v>
      </c>
      <c r="F27" s="45"/>
      <c r="G27" s="45">
        <v>2295351</v>
      </c>
      <c r="H27" s="45"/>
      <c r="I27" s="45">
        <v>709140</v>
      </c>
      <c r="J27" s="45"/>
      <c r="K27" s="45">
        <v>801486</v>
      </c>
      <c r="L27" s="45"/>
      <c r="M27" s="45">
        <f>12829+286+6598</f>
        <v>19713</v>
      </c>
      <c r="N27" s="45"/>
      <c r="O27" s="45">
        <v>0</v>
      </c>
      <c r="P27" s="45"/>
      <c r="Q27" s="45">
        <v>1474152</v>
      </c>
      <c r="R27" s="45"/>
      <c r="S27" s="45">
        <f t="shared" si="0"/>
        <v>1493865</v>
      </c>
      <c r="T27" s="45"/>
      <c r="U27" s="46">
        <f t="shared" si="1"/>
        <v>0</v>
      </c>
      <c r="V27" s="44">
        <f t="shared" si="2"/>
        <v>0</v>
      </c>
    </row>
    <row r="28" spans="1:22" s="44" customFormat="1" ht="12.75" customHeight="1">
      <c r="A28" s="44" t="s">
        <v>41</v>
      </c>
      <c r="B28" s="51"/>
      <c r="C28" s="44" t="s">
        <v>27</v>
      </c>
      <c r="D28" s="35"/>
      <c r="E28" s="45">
        <v>922293</v>
      </c>
      <c r="F28" s="45"/>
      <c r="G28" s="45">
        <v>5624923</v>
      </c>
      <c r="H28" s="45"/>
      <c r="I28" s="45">
        <v>2950960</v>
      </c>
      <c r="J28" s="45"/>
      <c r="K28" s="45">
        <v>3988323</v>
      </c>
      <c r="L28" s="45"/>
      <c r="M28" s="45">
        <f>19439+6409+17695</f>
        <v>43543</v>
      </c>
      <c r="N28" s="45"/>
      <c r="O28" s="45">
        <v>0</v>
      </c>
      <c r="P28" s="45"/>
      <c r="Q28" s="45">
        <v>1593057</v>
      </c>
      <c r="R28" s="45"/>
      <c r="S28" s="45">
        <f t="shared" si="0"/>
        <v>1636600</v>
      </c>
      <c r="T28" s="45"/>
      <c r="U28" s="46">
        <f t="shared" si="1"/>
        <v>0</v>
      </c>
      <c r="V28" s="44">
        <f t="shared" si="2"/>
        <v>0</v>
      </c>
    </row>
    <row r="29" spans="1:22" s="44" customFormat="1" ht="12.75" customHeight="1">
      <c r="A29" s="44" t="s">
        <v>42</v>
      </c>
      <c r="B29" s="51"/>
      <c r="C29" s="44" t="s">
        <v>43</v>
      </c>
      <c r="D29" s="35"/>
      <c r="E29" s="45">
        <f>6382305+2876</f>
        <v>6385181</v>
      </c>
      <c r="F29" s="45"/>
      <c r="G29" s="45">
        <v>10033560</v>
      </c>
      <c r="H29" s="45"/>
      <c r="I29" s="45">
        <v>1812970</v>
      </c>
      <c r="J29" s="45"/>
      <c r="K29" s="45">
        <v>2274743</v>
      </c>
      <c r="L29" s="45"/>
      <c r="M29" s="45">
        <f>246704+13179+50000</f>
        <v>309883</v>
      </c>
      <c r="N29" s="45"/>
      <c r="O29" s="45">
        <v>1000000</v>
      </c>
      <c r="P29" s="45"/>
      <c r="Q29" s="45">
        <v>6448934</v>
      </c>
      <c r="R29" s="45"/>
      <c r="S29" s="45">
        <f t="shared" si="0"/>
        <v>7758817</v>
      </c>
      <c r="T29" s="45"/>
      <c r="U29" s="46">
        <f t="shared" si="1"/>
        <v>0</v>
      </c>
      <c r="V29" s="44">
        <f t="shared" si="2"/>
        <v>0</v>
      </c>
    </row>
    <row r="30" spans="1:22" s="44" customFormat="1" ht="12.75" customHeight="1">
      <c r="A30" s="44" t="s">
        <v>44</v>
      </c>
      <c r="B30" s="51"/>
      <c r="C30" s="44" t="s">
        <v>45</v>
      </c>
      <c r="D30" s="35"/>
      <c r="E30" s="45">
        <v>12930019</v>
      </c>
      <c r="F30" s="45"/>
      <c r="G30" s="45">
        <v>21760548</v>
      </c>
      <c r="H30" s="45"/>
      <c r="I30" s="45">
        <v>4483453</v>
      </c>
      <c r="J30" s="45"/>
      <c r="K30" s="45">
        <v>6018005</v>
      </c>
      <c r="L30" s="45"/>
      <c r="M30" s="45">
        <f>800132+48498+36031</f>
        <v>884661</v>
      </c>
      <c r="N30" s="45"/>
      <c r="O30" s="45">
        <v>0</v>
      </c>
      <c r="P30" s="45"/>
      <c r="Q30" s="45">
        <v>14857882</v>
      </c>
      <c r="R30" s="45"/>
      <c r="S30" s="45">
        <f t="shared" si="0"/>
        <v>15742543</v>
      </c>
      <c r="T30" s="45"/>
      <c r="U30" s="46">
        <f t="shared" si="1"/>
        <v>0</v>
      </c>
      <c r="V30" s="44">
        <f t="shared" si="2"/>
        <v>0</v>
      </c>
    </row>
    <row r="31" spans="1:22" s="44" customFormat="1" ht="12.75" customHeight="1">
      <c r="A31" s="44" t="s">
        <v>46</v>
      </c>
      <c r="B31" s="51"/>
      <c r="C31" s="44" t="s">
        <v>47</v>
      </c>
      <c r="D31" s="35"/>
      <c r="E31" s="45">
        <v>4034973</v>
      </c>
      <c r="F31" s="45"/>
      <c r="G31" s="45">
        <v>9536396</v>
      </c>
      <c r="H31" s="45"/>
      <c r="I31" s="45">
        <v>4017067</v>
      </c>
      <c r="J31" s="45"/>
      <c r="K31" s="45">
        <v>5401428</v>
      </c>
      <c r="L31" s="45"/>
      <c r="M31" s="45">
        <f>231800+22549+272284</f>
        <v>526633</v>
      </c>
      <c r="N31" s="45"/>
      <c r="O31" s="45">
        <v>0</v>
      </c>
      <c r="P31" s="45"/>
      <c r="Q31" s="45">
        <v>3608335</v>
      </c>
      <c r="R31" s="45"/>
      <c r="S31" s="45">
        <f t="shared" si="0"/>
        <v>4134968</v>
      </c>
      <c r="T31" s="45"/>
      <c r="U31" s="46">
        <f t="shared" si="1"/>
        <v>0</v>
      </c>
      <c r="V31" s="44">
        <f t="shared" si="2"/>
        <v>0</v>
      </c>
    </row>
    <row r="32" spans="1:22" s="44" customFormat="1" ht="12.75" customHeight="1">
      <c r="A32" s="44" t="s">
        <v>48</v>
      </c>
      <c r="C32" s="44" t="s">
        <v>27</v>
      </c>
      <c r="D32" s="35"/>
      <c r="E32" s="45">
        <f>6023187+24026</f>
        <v>6047213</v>
      </c>
      <c r="F32" s="45"/>
      <c r="G32" s="45">
        <v>11648744</v>
      </c>
      <c r="H32" s="45"/>
      <c r="I32" s="45">
        <v>4381531</v>
      </c>
      <c r="J32" s="45"/>
      <c r="K32" s="45">
        <v>4987876</v>
      </c>
      <c r="L32" s="45"/>
      <c r="M32" s="45">
        <v>446930</v>
      </c>
      <c r="N32" s="45"/>
      <c r="O32" s="45">
        <v>0</v>
      </c>
      <c r="P32" s="45"/>
      <c r="Q32" s="45">
        <v>6213938</v>
      </c>
      <c r="R32" s="45"/>
      <c r="S32" s="45">
        <f t="shared" si="0"/>
        <v>6660868</v>
      </c>
      <c r="T32" s="45"/>
      <c r="U32" s="46">
        <f t="shared" si="1"/>
        <v>0</v>
      </c>
      <c r="V32" s="44">
        <f t="shared" si="2"/>
        <v>0</v>
      </c>
    </row>
    <row r="33" spans="1:22" s="44" customFormat="1" ht="12.75" customHeight="1">
      <c r="A33" s="44" t="s">
        <v>49</v>
      </c>
      <c r="C33" s="44" t="s">
        <v>27</v>
      </c>
      <c r="D33" s="35"/>
      <c r="E33" s="45">
        <v>1901582</v>
      </c>
      <c r="F33" s="45"/>
      <c r="G33" s="45">
        <v>5817535</v>
      </c>
      <c r="H33" s="45"/>
      <c r="I33" s="45">
        <v>2599678</v>
      </c>
      <c r="J33" s="45"/>
      <c r="K33" s="45">
        <v>3265472</v>
      </c>
      <c r="L33" s="45"/>
      <c r="M33" s="45">
        <v>86228</v>
      </c>
      <c r="N33" s="45"/>
      <c r="O33" s="45">
        <v>0</v>
      </c>
      <c r="P33" s="45"/>
      <c r="Q33" s="45">
        <v>2465835</v>
      </c>
      <c r="R33" s="45"/>
      <c r="S33" s="45">
        <f t="shared" si="0"/>
        <v>2552063</v>
      </c>
      <c r="T33" s="45"/>
      <c r="U33" s="46">
        <f t="shared" si="1"/>
        <v>0</v>
      </c>
      <c r="V33" s="44">
        <f t="shared" si="2"/>
        <v>0</v>
      </c>
    </row>
    <row r="34" spans="1:22" s="44" customFormat="1" ht="12.75" customHeight="1">
      <c r="A34" s="44" t="s">
        <v>50</v>
      </c>
      <c r="B34" s="51"/>
      <c r="C34" s="44" t="s">
        <v>27</v>
      </c>
      <c r="D34" s="35"/>
      <c r="E34" s="45">
        <v>8226990</v>
      </c>
      <c r="F34" s="45"/>
      <c r="G34" s="45">
        <v>13690066</v>
      </c>
      <c r="H34" s="45"/>
      <c r="I34" s="45">
        <v>3001262</v>
      </c>
      <c r="J34" s="45"/>
      <c r="K34" s="45">
        <v>3976849</v>
      </c>
      <c r="L34" s="45"/>
      <c r="M34" s="45">
        <f>351954+172841+129803</f>
        <v>654598</v>
      </c>
      <c r="N34" s="45"/>
      <c r="O34" s="45">
        <v>0</v>
      </c>
      <c r="P34" s="45"/>
      <c r="Q34" s="45">
        <v>9058619</v>
      </c>
      <c r="R34" s="45"/>
      <c r="S34" s="45">
        <f t="shared" si="0"/>
        <v>9713217</v>
      </c>
      <c r="T34" s="45"/>
      <c r="U34" s="46">
        <f t="shared" si="1"/>
        <v>0</v>
      </c>
      <c r="V34" s="44">
        <f t="shared" si="2"/>
        <v>0</v>
      </c>
    </row>
    <row r="35" spans="1:22" s="44" customFormat="1" ht="12.75" customHeight="1">
      <c r="A35" s="44" t="s">
        <v>51</v>
      </c>
      <c r="B35" s="51"/>
      <c r="C35" s="44" t="s">
        <v>27</v>
      </c>
      <c r="D35" s="35"/>
      <c r="E35" s="45">
        <f>2825368+67907</f>
        <v>2893275</v>
      </c>
      <c r="F35" s="45"/>
      <c r="G35" s="45">
        <v>9540649</v>
      </c>
      <c r="H35" s="45"/>
      <c r="I35" s="45">
        <v>1957436</v>
      </c>
      <c r="J35" s="45"/>
      <c r="K35" s="45">
        <v>2872336</v>
      </c>
      <c r="L35" s="45"/>
      <c r="M35" s="45">
        <f>111042+3501863</f>
        <v>3612905</v>
      </c>
      <c r="N35" s="45"/>
      <c r="O35" s="45">
        <v>0</v>
      </c>
      <c r="P35" s="45"/>
      <c r="Q35" s="45">
        <v>3055408</v>
      </c>
      <c r="R35" s="45"/>
      <c r="S35" s="45">
        <f t="shared" si="0"/>
        <v>6668313</v>
      </c>
      <c r="T35" s="45"/>
      <c r="U35" s="46">
        <f t="shared" si="1"/>
        <v>0</v>
      </c>
      <c r="V35" s="44">
        <f t="shared" si="2"/>
        <v>0</v>
      </c>
    </row>
    <row r="36" spans="1:22" s="44" customFormat="1" ht="12.75" customHeight="1">
      <c r="A36" s="44" t="s">
        <v>463</v>
      </c>
      <c r="B36" s="51"/>
      <c r="C36" s="44" t="s">
        <v>66</v>
      </c>
      <c r="D36" s="35"/>
      <c r="E36" s="45">
        <v>837140</v>
      </c>
      <c r="F36" s="45"/>
      <c r="G36" s="45">
        <v>1982267</v>
      </c>
      <c r="H36" s="45"/>
      <c r="I36" s="45">
        <v>559767</v>
      </c>
      <c r="J36" s="45"/>
      <c r="K36" s="45">
        <v>850178</v>
      </c>
      <c r="L36" s="45"/>
      <c r="M36" s="45">
        <f>12+30938+14691</f>
        <v>45641</v>
      </c>
      <c r="N36" s="45"/>
      <c r="O36" s="45">
        <v>0</v>
      </c>
      <c r="P36" s="45"/>
      <c r="Q36" s="45">
        <v>1086448</v>
      </c>
      <c r="R36" s="45"/>
      <c r="S36" s="45">
        <f t="shared" si="0"/>
        <v>1132089</v>
      </c>
      <c r="T36" s="45"/>
      <c r="U36" s="46">
        <f t="shared" si="1"/>
        <v>0</v>
      </c>
      <c r="V36" s="44">
        <f t="shared" si="2"/>
        <v>0</v>
      </c>
    </row>
    <row r="37" spans="1:22" s="44" customFormat="1" ht="12.75" customHeight="1">
      <c r="A37" s="44" t="s">
        <v>52</v>
      </c>
      <c r="B37" s="51"/>
      <c r="C37" s="44" t="s">
        <v>53</v>
      </c>
      <c r="D37" s="35"/>
      <c r="E37" s="45">
        <f>3674+3057779</f>
        <v>3061453</v>
      </c>
      <c r="F37" s="45"/>
      <c r="G37" s="45">
        <v>9535879</v>
      </c>
      <c r="H37" s="45"/>
      <c r="I37" s="45">
        <v>4121479</v>
      </c>
      <c r="J37" s="45"/>
      <c r="K37" s="45">
        <v>5117827</v>
      </c>
      <c r="L37" s="45"/>
      <c r="M37" s="45">
        <f>227292+14480+1531000</f>
        <v>1772772</v>
      </c>
      <c r="N37" s="45"/>
      <c r="O37" s="45">
        <v>0</v>
      </c>
      <c r="P37" s="45"/>
      <c r="Q37" s="45">
        <v>2645280</v>
      </c>
      <c r="R37" s="45"/>
      <c r="S37" s="45">
        <f t="shared" si="0"/>
        <v>4418052</v>
      </c>
      <c r="T37" s="45"/>
      <c r="U37" s="46">
        <f t="shared" si="1"/>
        <v>0</v>
      </c>
      <c r="V37" s="44">
        <f t="shared" si="2"/>
        <v>0</v>
      </c>
    </row>
    <row r="38" spans="1:22" s="44" customFormat="1" ht="12.75" customHeight="1">
      <c r="A38" s="44" t="s">
        <v>54</v>
      </c>
      <c r="B38" s="51"/>
      <c r="C38" s="44" t="s">
        <v>55</v>
      </c>
      <c r="D38" s="35"/>
      <c r="E38" s="45">
        <v>1225519</v>
      </c>
      <c r="F38" s="45"/>
      <c r="G38" s="45">
        <v>2300106</v>
      </c>
      <c r="H38" s="45"/>
      <c r="I38" s="45">
        <v>683616</v>
      </c>
      <c r="J38" s="45"/>
      <c r="K38" s="45">
        <v>1174289</v>
      </c>
      <c r="L38" s="45"/>
      <c r="M38" s="45">
        <f>164233+25872</f>
        <v>190105</v>
      </c>
      <c r="N38" s="45"/>
      <c r="O38" s="45">
        <v>0</v>
      </c>
      <c r="P38" s="45"/>
      <c r="Q38" s="45">
        <v>935712</v>
      </c>
      <c r="R38" s="45"/>
      <c r="S38" s="45">
        <f t="shared" si="0"/>
        <v>1125817</v>
      </c>
      <c r="T38" s="45"/>
      <c r="U38" s="46">
        <f t="shared" si="1"/>
        <v>0</v>
      </c>
      <c r="V38" s="44">
        <f t="shared" si="2"/>
        <v>0</v>
      </c>
    </row>
    <row r="39" spans="1:22" s="44" customFormat="1" ht="12.75" customHeight="1">
      <c r="A39" s="44" t="s">
        <v>56</v>
      </c>
      <c r="B39" s="51"/>
      <c r="C39" s="44" t="s">
        <v>57</v>
      </c>
      <c r="D39" s="35"/>
      <c r="E39" s="45">
        <v>1913256</v>
      </c>
      <c r="F39" s="45"/>
      <c r="G39" s="45">
        <v>4000930</v>
      </c>
      <c r="H39" s="45"/>
      <c r="I39" s="45">
        <v>1363968</v>
      </c>
      <c r="J39" s="45"/>
      <c r="K39" s="45">
        <v>1561228</v>
      </c>
      <c r="L39" s="45"/>
      <c r="M39" s="45">
        <v>60919</v>
      </c>
      <c r="N39" s="45"/>
      <c r="O39" s="45">
        <v>0</v>
      </c>
      <c r="P39" s="45"/>
      <c r="Q39" s="45">
        <v>2378783</v>
      </c>
      <c r="R39" s="45"/>
      <c r="S39" s="45">
        <f t="shared" si="0"/>
        <v>2439702</v>
      </c>
      <c r="T39" s="45"/>
      <c r="U39" s="46">
        <f t="shared" si="1"/>
        <v>0</v>
      </c>
      <c r="V39" s="44">
        <f t="shared" si="2"/>
        <v>0</v>
      </c>
    </row>
    <row r="40" spans="1:22" s="44" customFormat="1" ht="12.75" customHeight="1">
      <c r="A40" s="44" t="s">
        <v>58</v>
      </c>
      <c r="B40" s="51"/>
      <c r="C40" s="44" t="s">
        <v>59</v>
      </c>
      <c r="D40" s="35"/>
      <c r="E40" s="45">
        <v>784630</v>
      </c>
      <c r="F40" s="45"/>
      <c r="G40" s="45">
        <v>2506332</v>
      </c>
      <c r="H40" s="45"/>
      <c r="I40" s="45">
        <v>827458</v>
      </c>
      <c r="J40" s="45"/>
      <c r="K40" s="45">
        <v>1209474</v>
      </c>
      <c r="L40" s="45"/>
      <c r="M40" s="45">
        <v>7640</v>
      </c>
      <c r="N40" s="45"/>
      <c r="O40" s="45">
        <v>0</v>
      </c>
      <c r="P40" s="45"/>
      <c r="Q40" s="45">
        <v>1289218</v>
      </c>
      <c r="R40" s="45"/>
      <c r="S40" s="45">
        <f t="shared" si="0"/>
        <v>1296858</v>
      </c>
      <c r="T40" s="45"/>
      <c r="U40" s="46">
        <f t="shared" si="1"/>
        <v>0</v>
      </c>
      <c r="V40" s="44">
        <f t="shared" si="2"/>
        <v>0</v>
      </c>
    </row>
    <row r="41" spans="1:22" s="44" customFormat="1" ht="12.75" hidden="1" customHeight="1">
      <c r="A41" s="44" t="s">
        <v>477</v>
      </c>
      <c r="B41" s="51"/>
      <c r="C41" s="44" t="s">
        <v>15</v>
      </c>
      <c r="D41" s="3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>
        <f>+Q41+O41+M41</f>
        <v>0</v>
      </c>
      <c r="T41" s="45"/>
      <c r="U41" s="46">
        <f>+G41-K41-S41</f>
        <v>0</v>
      </c>
      <c r="V41" s="44">
        <f>+G41-K41-S41</f>
        <v>0</v>
      </c>
    </row>
    <row r="42" spans="1:22" s="44" customFormat="1" ht="12.75" hidden="1" customHeight="1">
      <c r="A42" s="44" t="s">
        <v>60</v>
      </c>
      <c r="B42" s="51"/>
      <c r="C42" s="44" t="s">
        <v>61</v>
      </c>
      <c r="D42" s="3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>
        <f t="shared" si="0"/>
        <v>0</v>
      </c>
      <c r="T42" s="45"/>
      <c r="U42" s="46">
        <f t="shared" si="1"/>
        <v>0</v>
      </c>
      <c r="V42" s="44">
        <f t="shared" si="2"/>
        <v>0</v>
      </c>
    </row>
    <row r="43" spans="1:22" s="44" customFormat="1" ht="12.75" customHeight="1">
      <c r="A43" s="44" t="s">
        <v>62</v>
      </c>
      <c r="B43" s="51"/>
      <c r="C43" s="44" t="s">
        <v>15</v>
      </c>
      <c r="D43" s="35"/>
      <c r="E43" s="45">
        <v>5564672</v>
      </c>
      <c r="F43" s="45"/>
      <c r="G43" s="45">
        <v>23463824</v>
      </c>
      <c r="H43" s="45"/>
      <c r="I43" s="45">
        <v>10645178</v>
      </c>
      <c r="J43" s="45"/>
      <c r="K43" s="45">
        <v>14266997</v>
      </c>
      <c r="L43" s="45"/>
      <c r="M43" s="45">
        <f>183723+653393+1000</f>
        <v>838116</v>
      </c>
      <c r="N43" s="45"/>
      <c r="O43" s="45">
        <v>0</v>
      </c>
      <c r="P43" s="45"/>
      <c r="Q43" s="45">
        <v>8358711</v>
      </c>
      <c r="R43" s="45"/>
      <c r="S43" s="45">
        <f t="shared" si="0"/>
        <v>9196827</v>
      </c>
      <c r="T43" s="45"/>
      <c r="U43" s="46">
        <f t="shared" si="1"/>
        <v>0</v>
      </c>
      <c r="V43" s="44">
        <f t="shared" si="2"/>
        <v>0</v>
      </c>
    </row>
    <row r="44" spans="1:22" s="137" customFormat="1" ht="12.75" hidden="1" customHeight="1">
      <c r="A44" s="137" t="s">
        <v>486</v>
      </c>
      <c r="B44" s="140"/>
      <c r="C44" s="137" t="s">
        <v>111</v>
      </c>
      <c r="D44" s="142"/>
      <c r="E44" s="143">
        <v>0</v>
      </c>
      <c r="F44" s="143"/>
      <c r="G44" s="143">
        <v>0</v>
      </c>
      <c r="H44" s="143"/>
      <c r="I44" s="143">
        <v>0</v>
      </c>
      <c r="J44" s="143"/>
      <c r="K44" s="143">
        <v>0</v>
      </c>
      <c r="L44" s="143"/>
      <c r="M44" s="143">
        <v>0</v>
      </c>
      <c r="N44" s="143"/>
      <c r="O44" s="143">
        <v>0</v>
      </c>
      <c r="P44" s="143"/>
      <c r="Q44" s="143">
        <v>0</v>
      </c>
      <c r="R44" s="143"/>
      <c r="S44" s="143">
        <f>+Q44+O44+M44</f>
        <v>0</v>
      </c>
      <c r="T44" s="143"/>
      <c r="U44" s="139">
        <f>+G44-K44-S44</f>
        <v>0</v>
      </c>
      <c r="V44" s="137">
        <f>+G44-K44-S44</f>
        <v>0</v>
      </c>
    </row>
    <row r="45" spans="1:22" s="44" customFormat="1" ht="12.75" customHeight="1">
      <c r="A45" s="44" t="s">
        <v>63</v>
      </c>
      <c r="B45" s="51"/>
      <c r="C45" s="44" t="s">
        <v>64</v>
      </c>
      <c r="D45" s="35"/>
      <c r="E45" s="45">
        <v>1150682</v>
      </c>
      <c r="F45" s="45"/>
      <c r="G45" s="45">
        <v>2890163</v>
      </c>
      <c r="H45" s="45"/>
      <c r="I45" s="45">
        <v>997896</v>
      </c>
      <c r="J45" s="45"/>
      <c r="K45" s="45">
        <v>1441312</v>
      </c>
      <c r="L45" s="45"/>
      <c r="M45" s="45">
        <v>66072</v>
      </c>
      <c r="N45" s="45"/>
      <c r="O45" s="45">
        <v>0</v>
      </c>
      <c r="P45" s="45"/>
      <c r="Q45" s="45">
        <v>1382779</v>
      </c>
      <c r="R45" s="45"/>
      <c r="S45" s="45">
        <f t="shared" si="0"/>
        <v>1448851</v>
      </c>
      <c r="T45" s="45"/>
      <c r="U45" s="46">
        <f t="shared" si="1"/>
        <v>0</v>
      </c>
      <c r="V45" s="44">
        <f t="shared" si="2"/>
        <v>0</v>
      </c>
    </row>
    <row r="46" spans="1:22" s="44" customFormat="1" ht="12.75" customHeight="1">
      <c r="A46" s="44" t="s">
        <v>65</v>
      </c>
      <c r="B46" s="51"/>
      <c r="C46" s="44" t="s">
        <v>66</v>
      </c>
      <c r="D46" s="35"/>
      <c r="E46" s="45">
        <f>547622+7199338</f>
        <v>7746960</v>
      </c>
      <c r="F46" s="45"/>
      <c r="G46" s="45">
        <v>12394455</v>
      </c>
      <c r="H46" s="45"/>
      <c r="I46" s="45">
        <v>3069182</v>
      </c>
      <c r="J46" s="45"/>
      <c r="K46" s="45">
        <v>3594433</v>
      </c>
      <c r="L46" s="45"/>
      <c r="M46" s="45">
        <f>2533+88062+114705</f>
        <v>205300</v>
      </c>
      <c r="N46" s="45"/>
      <c r="O46" s="45">
        <v>0</v>
      </c>
      <c r="P46" s="45"/>
      <c r="Q46" s="45">
        <v>8594722</v>
      </c>
      <c r="R46" s="45"/>
      <c r="S46" s="45">
        <f>+Q46+O46+M46</f>
        <v>8800022</v>
      </c>
      <c r="T46" s="45"/>
      <c r="U46" s="46">
        <f>+G46-K46-S46</f>
        <v>0</v>
      </c>
      <c r="V46" s="44">
        <f>+G46-K46-S46</f>
        <v>0</v>
      </c>
    </row>
    <row r="47" spans="1:22" s="44" customFormat="1" ht="12.75" customHeight="1">
      <c r="A47" s="44" t="s">
        <v>67</v>
      </c>
      <c r="B47" s="51"/>
      <c r="C47" s="44" t="s">
        <v>375</v>
      </c>
      <c r="D47" s="35"/>
      <c r="E47" s="45">
        <v>2209630</v>
      </c>
      <c r="F47" s="45"/>
      <c r="G47" s="45">
        <v>4342878</v>
      </c>
      <c r="H47" s="45"/>
      <c r="I47" s="45">
        <v>1223896</v>
      </c>
      <c r="J47" s="45"/>
      <c r="K47" s="45">
        <v>1522178</v>
      </c>
      <c r="L47" s="45"/>
      <c r="M47" s="45">
        <f>470047+184883</f>
        <v>654930</v>
      </c>
      <c r="N47" s="45"/>
      <c r="O47" s="45">
        <v>0</v>
      </c>
      <c r="P47" s="45"/>
      <c r="Q47" s="45">
        <v>2165770</v>
      </c>
      <c r="R47" s="45"/>
      <c r="S47" s="45">
        <f t="shared" ref="S47:S56" si="3">+Q47+O47+M47</f>
        <v>2820700</v>
      </c>
      <c r="T47" s="45"/>
      <c r="U47" s="46">
        <f t="shared" ref="U47:U56" si="4">+G47-K47-S47</f>
        <v>0</v>
      </c>
      <c r="V47" s="44">
        <f t="shared" ref="V47:V56" si="5">+G47-K47-S47</f>
        <v>0</v>
      </c>
    </row>
    <row r="48" spans="1:22" s="44" customFormat="1" ht="12.75" customHeight="1">
      <c r="A48" s="44" t="s">
        <v>68</v>
      </c>
      <c r="B48" s="51"/>
      <c r="C48" s="44" t="s">
        <v>45</v>
      </c>
      <c r="D48" s="35"/>
      <c r="E48" s="45">
        <v>171249</v>
      </c>
      <c r="F48" s="45"/>
      <c r="G48" s="45">
        <v>2194162</v>
      </c>
      <c r="H48" s="45"/>
      <c r="I48" s="45">
        <v>1527415</v>
      </c>
      <c r="J48" s="45"/>
      <c r="K48" s="45">
        <v>1807340</v>
      </c>
      <c r="L48" s="45"/>
      <c r="M48" s="45">
        <v>20169</v>
      </c>
      <c r="N48" s="45"/>
      <c r="O48" s="45">
        <v>0</v>
      </c>
      <c r="P48" s="45"/>
      <c r="Q48" s="45">
        <v>366653</v>
      </c>
      <c r="R48" s="45"/>
      <c r="S48" s="45">
        <f t="shared" si="3"/>
        <v>386822</v>
      </c>
      <c r="T48" s="45"/>
      <c r="U48" s="46">
        <f t="shared" si="4"/>
        <v>0</v>
      </c>
      <c r="V48" s="44">
        <f t="shared" si="5"/>
        <v>0</v>
      </c>
    </row>
    <row r="49" spans="1:22" s="44" customFormat="1" ht="12.75" customHeight="1">
      <c r="A49" s="44" t="s">
        <v>69</v>
      </c>
      <c r="B49" s="51"/>
      <c r="C49" s="44" t="s">
        <v>70</v>
      </c>
      <c r="D49" s="35"/>
      <c r="E49" s="45">
        <v>2483975</v>
      </c>
      <c r="F49" s="45"/>
      <c r="G49" s="45">
        <v>6059106</v>
      </c>
      <c r="H49" s="45"/>
      <c r="I49" s="45">
        <v>1617457</v>
      </c>
      <c r="J49" s="45"/>
      <c r="K49" s="45">
        <v>2567200</v>
      </c>
      <c r="L49" s="45"/>
      <c r="M49" s="45">
        <f>109883+107478</f>
        <v>217361</v>
      </c>
      <c r="N49" s="45"/>
      <c r="O49" s="45">
        <v>0</v>
      </c>
      <c r="P49" s="45"/>
      <c r="Q49" s="45">
        <v>3274545</v>
      </c>
      <c r="R49" s="45"/>
      <c r="S49" s="45">
        <f t="shared" si="3"/>
        <v>3491906</v>
      </c>
      <c r="T49" s="45"/>
      <c r="U49" s="46">
        <f t="shared" si="4"/>
        <v>0</v>
      </c>
      <c r="V49" s="44">
        <f t="shared" si="5"/>
        <v>0</v>
      </c>
    </row>
    <row r="50" spans="1:22" s="44" customFormat="1" ht="12.75" customHeight="1">
      <c r="A50" s="46" t="s">
        <v>71</v>
      </c>
      <c r="B50" s="46"/>
      <c r="C50" s="46" t="s">
        <v>45</v>
      </c>
      <c r="D50" s="64"/>
      <c r="E50" s="45">
        <f>66675000+166000</f>
        <v>66841000</v>
      </c>
      <c r="F50" s="45"/>
      <c r="G50" s="45">
        <v>158387000</v>
      </c>
      <c r="H50" s="45"/>
      <c r="I50" s="45">
        <v>51983000</v>
      </c>
      <c r="J50" s="45"/>
      <c r="K50" s="45">
        <v>84923000</v>
      </c>
      <c r="L50" s="45"/>
      <c r="M50" s="45">
        <f>166000+14603000+302000+2335000</f>
        <v>17406000</v>
      </c>
      <c r="N50" s="45"/>
      <c r="O50" s="45">
        <v>0</v>
      </c>
      <c r="P50" s="45"/>
      <c r="Q50" s="45">
        <f>54558000+1500000</f>
        <v>56058000</v>
      </c>
      <c r="R50" s="45"/>
      <c r="S50" s="45">
        <f t="shared" si="3"/>
        <v>73464000</v>
      </c>
      <c r="T50" s="45"/>
      <c r="U50" s="46">
        <f t="shared" si="4"/>
        <v>0</v>
      </c>
      <c r="V50" s="44">
        <f>+G50-K50-S50</f>
        <v>0</v>
      </c>
    </row>
    <row r="51" spans="1:22" s="44" customFormat="1" ht="12.75" customHeight="1">
      <c r="A51" s="44" t="s">
        <v>464</v>
      </c>
      <c r="C51" s="44" t="s">
        <v>465</v>
      </c>
      <c r="D51" s="35"/>
      <c r="E51" s="45">
        <v>1433200</v>
      </c>
      <c r="F51" s="45"/>
      <c r="G51" s="45">
        <v>3260993</v>
      </c>
      <c r="H51" s="45"/>
      <c r="I51" s="45">
        <v>1527619</v>
      </c>
      <c r="J51" s="45"/>
      <c r="K51" s="45">
        <v>1948836</v>
      </c>
      <c r="L51" s="45"/>
      <c r="M51" s="45">
        <v>84993</v>
      </c>
      <c r="N51" s="45"/>
      <c r="O51" s="45">
        <v>0</v>
      </c>
      <c r="P51" s="45"/>
      <c r="Q51" s="45">
        <v>1227164</v>
      </c>
      <c r="R51" s="45"/>
      <c r="S51" s="45">
        <f t="shared" si="3"/>
        <v>1312157</v>
      </c>
      <c r="T51" s="45"/>
      <c r="U51" s="46">
        <f t="shared" si="4"/>
        <v>0</v>
      </c>
      <c r="V51" s="44">
        <f t="shared" si="5"/>
        <v>0</v>
      </c>
    </row>
    <row r="52" spans="1:22" s="44" customFormat="1" ht="12.75" customHeight="1">
      <c r="A52" s="46" t="s">
        <v>72</v>
      </c>
      <c r="B52" s="46"/>
      <c r="C52" s="46" t="s">
        <v>66</v>
      </c>
      <c r="D52" s="64"/>
      <c r="E52" s="45">
        <v>1622995</v>
      </c>
      <c r="F52" s="45"/>
      <c r="G52" s="45">
        <v>3018913</v>
      </c>
      <c r="H52" s="45"/>
      <c r="I52" s="45">
        <v>1117333</v>
      </c>
      <c r="J52" s="45"/>
      <c r="K52" s="45">
        <v>1224945</v>
      </c>
      <c r="L52" s="45"/>
      <c r="M52" s="45">
        <v>59053</v>
      </c>
      <c r="N52" s="45"/>
      <c r="O52" s="45">
        <v>0</v>
      </c>
      <c r="P52" s="45"/>
      <c r="Q52" s="45">
        <v>1734915</v>
      </c>
      <c r="R52" s="45"/>
      <c r="S52" s="45">
        <f t="shared" si="3"/>
        <v>1793968</v>
      </c>
      <c r="T52" s="45"/>
      <c r="U52" s="46">
        <f t="shared" si="4"/>
        <v>0</v>
      </c>
      <c r="V52" s="44">
        <f t="shared" si="5"/>
        <v>0</v>
      </c>
    </row>
    <row r="53" spans="1:22" s="44" customFormat="1" ht="12.75" customHeight="1">
      <c r="A53" s="44" t="s">
        <v>73</v>
      </c>
      <c r="C53" s="44" t="s">
        <v>27</v>
      </c>
      <c r="D53" s="35"/>
      <c r="E53" s="45">
        <v>41885000</v>
      </c>
      <c r="F53" s="45"/>
      <c r="G53" s="45">
        <v>181110000</v>
      </c>
      <c r="H53" s="45"/>
      <c r="I53" s="45">
        <v>89654000</v>
      </c>
      <c r="J53" s="45"/>
      <c r="K53" s="45">
        <v>149256000</v>
      </c>
      <c r="L53" s="45"/>
      <c r="M53" s="45">
        <f>102000+7189000+7164000</f>
        <v>14455000</v>
      </c>
      <c r="N53" s="45"/>
      <c r="O53" s="45">
        <v>21000</v>
      </c>
      <c r="P53" s="45"/>
      <c r="Q53" s="45">
        <f>17378000</f>
        <v>17378000</v>
      </c>
      <c r="R53" s="45"/>
      <c r="S53" s="45">
        <f t="shared" si="3"/>
        <v>31854000</v>
      </c>
      <c r="T53" s="45"/>
      <c r="U53" s="46">
        <f t="shared" si="4"/>
        <v>0</v>
      </c>
      <c r="V53" s="44">
        <f t="shared" si="5"/>
        <v>0</v>
      </c>
    </row>
    <row r="54" spans="1:22" s="44" customFormat="1" ht="12.75" customHeight="1">
      <c r="A54" s="44" t="s">
        <v>74</v>
      </c>
      <c r="B54" s="51"/>
      <c r="C54" s="44" t="s">
        <v>27</v>
      </c>
      <c r="D54" s="35"/>
      <c r="E54" s="45">
        <v>3500445</v>
      </c>
      <c r="F54" s="45"/>
      <c r="G54" s="45">
        <v>19783207</v>
      </c>
      <c r="H54" s="45"/>
      <c r="I54" s="45">
        <v>12473831</v>
      </c>
      <c r="J54" s="45"/>
      <c r="K54" s="45">
        <v>16039022</v>
      </c>
      <c r="L54" s="45"/>
      <c r="M54" s="45">
        <f>56250+448286</f>
        <v>504536</v>
      </c>
      <c r="N54" s="45"/>
      <c r="O54" s="45">
        <v>0</v>
      </c>
      <c r="P54" s="45"/>
      <c r="Q54" s="45">
        <v>3239649</v>
      </c>
      <c r="R54" s="45"/>
      <c r="S54" s="45">
        <f t="shared" si="3"/>
        <v>3744185</v>
      </c>
      <c r="T54" s="45"/>
      <c r="U54" s="46">
        <f t="shared" si="4"/>
        <v>0</v>
      </c>
      <c r="V54" s="44">
        <f t="shared" si="5"/>
        <v>0</v>
      </c>
    </row>
    <row r="55" spans="1:22" s="44" customFormat="1" ht="12.75" customHeight="1">
      <c r="A55" s="44" t="s">
        <v>75</v>
      </c>
      <c r="B55" s="51"/>
      <c r="C55" s="44" t="s">
        <v>76</v>
      </c>
      <c r="D55" s="35"/>
      <c r="E55" s="45">
        <v>2474427</v>
      </c>
      <c r="F55" s="45"/>
      <c r="G55" s="45">
        <v>4028758</v>
      </c>
      <c r="H55" s="45"/>
      <c r="I55" s="45">
        <v>349661</v>
      </c>
      <c r="J55" s="45"/>
      <c r="K55" s="45">
        <v>2569981</v>
      </c>
      <c r="L55" s="45"/>
      <c r="M55" s="45">
        <f>1471540+23126+5101</f>
        <v>1499767</v>
      </c>
      <c r="N55" s="45"/>
      <c r="O55" s="45">
        <v>0</v>
      </c>
      <c r="P55" s="45"/>
      <c r="Q55" s="45">
        <v>-40990</v>
      </c>
      <c r="R55" s="45"/>
      <c r="S55" s="45">
        <f t="shared" si="3"/>
        <v>1458777</v>
      </c>
      <c r="T55" s="45"/>
      <c r="U55" s="46">
        <f t="shared" si="4"/>
        <v>0</v>
      </c>
      <c r="V55" s="44">
        <f t="shared" si="5"/>
        <v>0</v>
      </c>
    </row>
    <row r="56" spans="1:22" s="44" customFormat="1" ht="12.75" customHeight="1">
      <c r="A56" s="44" t="s">
        <v>77</v>
      </c>
      <c r="B56" s="51"/>
      <c r="C56" s="44" t="s">
        <v>43</v>
      </c>
      <c r="D56" s="35"/>
      <c r="E56" s="45">
        <v>102115000</v>
      </c>
      <c r="F56" s="45"/>
      <c r="G56" s="45">
        <v>272428000</v>
      </c>
      <c r="H56" s="45"/>
      <c r="I56" s="45">
        <v>124324000</v>
      </c>
      <c r="J56" s="45"/>
      <c r="K56" s="45">
        <v>164465000</v>
      </c>
      <c r="L56" s="45"/>
      <c r="M56" s="45">
        <v>15309000</v>
      </c>
      <c r="N56" s="45"/>
      <c r="O56" s="45">
        <v>0</v>
      </c>
      <c r="P56" s="45"/>
      <c r="Q56" s="45">
        <f>63742000+28912000</f>
        <v>92654000</v>
      </c>
      <c r="R56" s="45"/>
      <c r="S56" s="45">
        <f t="shared" si="3"/>
        <v>107963000</v>
      </c>
      <c r="T56" s="45"/>
      <c r="U56" s="46">
        <f t="shared" si="4"/>
        <v>0</v>
      </c>
      <c r="V56" s="44">
        <f t="shared" si="5"/>
        <v>0</v>
      </c>
    </row>
    <row r="57" spans="1:22" s="44" customFormat="1" ht="12.75" customHeight="1">
      <c r="A57" s="44" t="s">
        <v>94</v>
      </c>
      <c r="B57" s="51"/>
      <c r="C57" s="44" t="s">
        <v>94</v>
      </c>
      <c r="D57" s="35"/>
      <c r="E57" s="45">
        <v>335344</v>
      </c>
      <c r="F57" s="45"/>
      <c r="G57" s="45">
        <v>807989</v>
      </c>
      <c r="H57" s="45"/>
      <c r="I57" s="45">
        <v>336756</v>
      </c>
      <c r="J57" s="45"/>
      <c r="K57" s="45">
        <v>428446</v>
      </c>
      <c r="L57" s="45"/>
      <c r="M57" s="45">
        <f>43256+48821</f>
        <v>92077</v>
      </c>
      <c r="N57" s="45"/>
      <c r="O57" s="45">
        <v>0</v>
      </c>
      <c r="P57" s="45"/>
      <c r="Q57" s="45">
        <v>287466</v>
      </c>
      <c r="R57" s="45"/>
      <c r="S57" s="45">
        <f>+Q57+O57+M57</f>
        <v>379543</v>
      </c>
      <c r="T57" s="45"/>
      <c r="U57" s="46">
        <f>+G57-K57-S57</f>
        <v>0</v>
      </c>
      <c r="V57" s="44">
        <f>+G57-K57-S57</f>
        <v>0</v>
      </c>
    </row>
    <row r="58" spans="1:22" s="44" customFormat="1" ht="12.75" customHeight="1">
      <c r="A58" s="44" t="s">
        <v>78</v>
      </c>
      <c r="B58" s="51"/>
      <c r="C58" s="44" t="s">
        <v>19</v>
      </c>
      <c r="D58" s="35"/>
      <c r="E58" s="45">
        <v>428286</v>
      </c>
      <c r="F58" s="45"/>
      <c r="G58" s="45">
        <v>2333220</v>
      </c>
      <c r="H58" s="45"/>
      <c r="I58" s="45">
        <v>1182117</v>
      </c>
      <c r="J58" s="45"/>
      <c r="K58" s="45">
        <v>1628469</v>
      </c>
      <c r="L58" s="45"/>
      <c r="M58" s="45">
        <v>12326</v>
      </c>
      <c r="N58" s="45"/>
      <c r="O58" s="45">
        <v>0</v>
      </c>
      <c r="P58" s="45"/>
      <c r="Q58" s="45">
        <v>692425</v>
      </c>
      <c r="R58" s="45"/>
      <c r="S58" s="45">
        <f>+Q58+O58+M58</f>
        <v>704751</v>
      </c>
      <c r="T58" s="45"/>
      <c r="U58" s="46">
        <f>+G58-K58-S58</f>
        <v>0</v>
      </c>
      <c r="V58" s="44">
        <f>+G58-K58-S58</f>
        <v>0</v>
      </c>
    </row>
    <row r="59" spans="1:22" s="44" customFormat="1" ht="12.75" customHeight="1">
      <c r="A59" s="44" t="s">
        <v>79</v>
      </c>
      <c r="B59" s="51"/>
      <c r="C59" s="44" t="s">
        <v>80</v>
      </c>
      <c r="D59" s="35"/>
      <c r="E59" s="45">
        <v>449495</v>
      </c>
      <c r="F59" s="45"/>
      <c r="G59" s="45">
        <v>1160667</v>
      </c>
      <c r="H59" s="45"/>
      <c r="I59" s="45">
        <v>654542</v>
      </c>
      <c r="J59" s="45"/>
      <c r="K59" s="45">
        <v>719018</v>
      </c>
      <c r="L59" s="45"/>
      <c r="M59" s="45">
        <v>18393</v>
      </c>
      <c r="N59" s="45"/>
      <c r="O59" s="45">
        <v>0</v>
      </c>
      <c r="P59" s="45"/>
      <c r="Q59" s="45">
        <v>423256</v>
      </c>
      <c r="R59" s="45"/>
      <c r="S59" s="45">
        <f>+Q59+O59+M59</f>
        <v>441649</v>
      </c>
      <c r="T59" s="45"/>
      <c r="U59" s="46">
        <f>+G59-K59-S59</f>
        <v>0</v>
      </c>
      <c r="V59" s="44">
        <f>+G59-K59-S59</f>
        <v>0</v>
      </c>
    </row>
    <row r="60" spans="1:22" s="44" customFormat="1" ht="12.75" customHeight="1">
      <c r="A60" s="44" t="s">
        <v>81</v>
      </c>
      <c r="B60" s="51"/>
      <c r="C60" s="44" t="s">
        <v>81</v>
      </c>
      <c r="D60" s="35"/>
      <c r="E60" s="45">
        <v>31038</v>
      </c>
      <c r="F60" s="45"/>
      <c r="G60" s="45">
        <v>1477263</v>
      </c>
      <c r="H60" s="45"/>
      <c r="I60" s="45">
        <v>584606</v>
      </c>
      <c r="J60" s="45"/>
      <c r="K60" s="45">
        <v>1263650</v>
      </c>
      <c r="L60" s="45"/>
      <c r="M60" s="45">
        <f>7185+2249</f>
        <v>9434</v>
      </c>
      <c r="N60" s="45"/>
      <c r="O60" s="45">
        <v>0</v>
      </c>
      <c r="P60" s="45"/>
      <c r="Q60" s="45">
        <v>204179</v>
      </c>
      <c r="R60" s="45"/>
      <c r="S60" s="45">
        <f>+Q60+O60+M60</f>
        <v>213613</v>
      </c>
      <c r="T60" s="45"/>
      <c r="U60" s="46">
        <f>+G60-K60-S60</f>
        <v>0</v>
      </c>
      <c r="V60" s="44">
        <f>+G60-K60-S60</f>
        <v>0</v>
      </c>
    </row>
    <row r="61" spans="1:22" s="46" customFormat="1" ht="12.75" customHeight="1">
      <c r="A61" s="47" t="s">
        <v>466</v>
      </c>
      <c r="B61" s="47"/>
      <c r="C61" s="47" t="s">
        <v>57</v>
      </c>
      <c r="D61" s="35"/>
      <c r="E61" s="45">
        <f>169047+13512</f>
        <v>182559</v>
      </c>
      <c r="F61" s="45"/>
      <c r="G61" s="45">
        <v>927600</v>
      </c>
      <c r="H61" s="45"/>
      <c r="I61" s="45">
        <v>450376</v>
      </c>
      <c r="J61" s="45"/>
      <c r="K61" s="45">
        <v>798563</v>
      </c>
      <c r="L61" s="45"/>
      <c r="M61" s="45">
        <f>10291+15579</f>
        <v>25870</v>
      </c>
      <c r="N61" s="45"/>
      <c r="O61" s="45">
        <v>0</v>
      </c>
      <c r="P61" s="45"/>
      <c r="Q61" s="45">
        <v>103167</v>
      </c>
      <c r="R61" s="45"/>
      <c r="S61" s="45">
        <f>+Q61+O61+M61</f>
        <v>129037</v>
      </c>
      <c r="T61" s="45"/>
      <c r="U61" s="46">
        <f>+G61-K61-S61</f>
        <v>0</v>
      </c>
      <c r="V61" s="44">
        <f>+G61-K61-S61</f>
        <v>0</v>
      </c>
    </row>
    <row r="62" spans="1:22" s="44" customFormat="1" ht="12.75" customHeight="1">
      <c r="A62" s="44" t="s">
        <v>82</v>
      </c>
      <c r="B62" s="51"/>
      <c r="C62" s="44" t="s">
        <v>13</v>
      </c>
      <c r="D62" s="35"/>
      <c r="E62" s="45">
        <v>4737890</v>
      </c>
      <c r="F62" s="45"/>
      <c r="G62" s="45">
        <v>19600315</v>
      </c>
      <c r="H62" s="45"/>
      <c r="I62" s="45">
        <v>11891882</v>
      </c>
      <c r="J62" s="45"/>
      <c r="K62" s="45">
        <v>12691653</v>
      </c>
      <c r="L62" s="45"/>
      <c r="M62" s="45">
        <f>211040+104381+127373</f>
        <v>442794</v>
      </c>
      <c r="N62" s="45"/>
      <c r="O62" s="45">
        <v>0</v>
      </c>
      <c r="P62" s="45"/>
      <c r="Q62" s="45">
        <v>6465868</v>
      </c>
      <c r="R62" s="45"/>
      <c r="S62" s="45">
        <f t="shared" si="0"/>
        <v>6908662</v>
      </c>
      <c r="T62" s="45"/>
      <c r="U62" s="46">
        <f t="shared" si="1"/>
        <v>0</v>
      </c>
      <c r="V62" s="44">
        <f t="shared" si="2"/>
        <v>0</v>
      </c>
    </row>
    <row r="63" spans="1:22" s="44" customFormat="1" ht="12.75" customHeight="1">
      <c r="A63" s="44" t="s">
        <v>83</v>
      </c>
      <c r="B63" s="51"/>
      <c r="C63" s="44" t="s">
        <v>66</v>
      </c>
      <c r="D63" s="35"/>
      <c r="E63" s="45">
        <v>37348142</v>
      </c>
      <c r="F63" s="45"/>
      <c r="G63" s="45">
        <v>79746256</v>
      </c>
      <c r="H63" s="45"/>
      <c r="I63" s="45">
        <v>16038892</v>
      </c>
      <c r="J63" s="45"/>
      <c r="K63" s="45">
        <v>37779883</v>
      </c>
      <c r="L63" s="45"/>
      <c r="M63" s="45">
        <f>2869732+415460+361353</f>
        <v>3646545</v>
      </c>
      <c r="N63" s="45"/>
      <c r="O63" s="45">
        <v>0</v>
      </c>
      <c r="P63" s="45"/>
      <c r="Q63" s="45">
        <f>8284213+30035615</f>
        <v>38319828</v>
      </c>
      <c r="R63" s="45"/>
      <c r="S63" s="45">
        <f t="shared" si="0"/>
        <v>41966373</v>
      </c>
      <c r="T63" s="45"/>
      <c r="U63" s="46">
        <f t="shared" si="1"/>
        <v>0</v>
      </c>
      <c r="V63" s="44">
        <f t="shared" si="2"/>
        <v>0</v>
      </c>
    </row>
    <row r="64" spans="1:22" s="137" customFormat="1" ht="12" hidden="1" customHeight="1">
      <c r="A64" s="137" t="s">
        <v>84</v>
      </c>
      <c r="B64" s="140"/>
      <c r="C64" s="137" t="s">
        <v>45</v>
      </c>
      <c r="D64" s="142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>
        <f t="shared" si="0"/>
        <v>0</v>
      </c>
      <c r="T64" s="143"/>
      <c r="U64" s="139">
        <f t="shared" si="1"/>
        <v>0</v>
      </c>
      <c r="V64" s="137">
        <f t="shared" si="2"/>
        <v>0</v>
      </c>
    </row>
    <row r="65" spans="1:22" s="46" customFormat="1" ht="12.75" customHeight="1">
      <c r="A65" s="44" t="s">
        <v>85</v>
      </c>
      <c r="B65" s="44"/>
      <c r="C65" s="44" t="s">
        <v>85</v>
      </c>
      <c r="D65" s="35"/>
      <c r="E65" s="45">
        <v>3674258</v>
      </c>
      <c r="F65" s="45"/>
      <c r="G65" s="45">
        <v>5979540</v>
      </c>
      <c r="H65" s="45"/>
      <c r="I65" s="45">
        <v>448998</v>
      </c>
      <c r="J65" s="45"/>
      <c r="K65" s="45">
        <v>1570968</v>
      </c>
      <c r="L65" s="45"/>
      <c r="M65" s="45">
        <f>303666+220732</f>
        <v>524398</v>
      </c>
      <c r="N65" s="45"/>
      <c r="O65" s="45">
        <v>0</v>
      </c>
      <c r="P65" s="45"/>
      <c r="Q65" s="45">
        <v>3884174</v>
      </c>
      <c r="R65" s="45"/>
      <c r="S65" s="45">
        <f t="shared" si="0"/>
        <v>4408572</v>
      </c>
      <c r="T65" s="45"/>
      <c r="U65" s="46">
        <f t="shared" si="1"/>
        <v>0</v>
      </c>
      <c r="V65" s="44">
        <f t="shared" si="2"/>
        <v>0</v>
      </c>
    </row>
    <row r="66" spans="1:22" s="46" customFormat="1" ht="12.75" customHeight="1">
      <c r="A66" s="44" t="s">
        <v>86</v>
      </c>
      <c r="B66" s="51"/>
      <c r="C66" s="44" t="s">
        <v>86</v>
      </c>
      <c r="D66" s="35"/>
      <c r="E66" s="45">
        <v>3273658</v>
      </c>
      <c r="F66" s="45"/>
      <c r="G66" s="45">
        <v>8831185</v>
      </c>
      <c r="H66" s="45"/>
      <c r="I66" s="45">
        <v>2960136</v>
      </c>
      <c r="J66" s="45"/>
      <c r="K66" s="45">
        <v>4000776</v>
      </c>
      <c r="L66" s="45"/>
      <c r="M66" s="45">
        <f>152827+41429</f>
        <v>194256</v>
      </c>
      <c r="N66" s="45"/>
      <c r="O66" s="45">
        <v>0</v>
      </c>
      <c r="P66" s="45"/>
      <c r="Q66" s="45">
        <v>4636153</v>
      </c>
      <c r="R66" s="45"/>
      <c r="S66" s="45">
        <f t="shared" si="0"/>
        <v>4830409</v>
      </c>
      <c r="T66" s="45"/>
      <c r="U66" s="46">
        <f t="shared" si="1"/>
        <v>0</v>
      </c>
      <c r="V66" s="44">
        <f t="shared" si="2"/>
        <v>0</v>
      </c>
    </row>
    <row r="67" spans="1:22" s="46" customFormat="1" ht="12.75" customHeight="1">
      <c r="A67" s="46" t="s">
        <v>87</v>
      </c>
      <c r="C67" s="46" t="s">
        <v>88</v>
      </c>
      <c r="D67" s="35"/>
      <c r="E67" s="45">
        <v>462299</v>
      </c>
      <c r="F67" s="45"/>
      <c r="G67" s="45">
        <v>1760869</v>
      </c>
      <c r="H67" s="45"/>
      <c r="I67" s="45">
        <v>836654</v>
      </c>
      <c r="J67" s="45"/>
      <c r="K67" s="45">
        <v>980032</v>
      </c>
      <c r="L67" s="45"/>
      <c r="M67" s="45">
        <f>1483+19294+353</f>
        <v>21130</v>
      </c>
      <c r="N67" s="45"/>
      <c r="O67" s="45">
        <v>0</v>
      </c>
      <c r="P67" s="45"/>
      <c r="Q67" s="45">
        <v>759707</v>
      </c>
      <c r="R67" s="45"/>
      <c r="S67" s="45">
        <f t="shared" si="0"/>
        <v>780837</v>
      </c>
      <c r="T67" s="45"/>
      <c r="U67" s="44">
        <f t="shared" si="1"/>
        <v>0</v>
      </c>
      <c r="V67" s="44">
        <f t="shared" si="2"/>
        <v>0</v>
      </c>
    </row>
    <row r="68" spans="1:22" s="44" customFormat="1" ht="12.75" customHeight="1">
      <c r="A68" s="46" t="s">
        <v>394</v>
      </c>
      <c r="B68" s="46"/>
      <c r="C68" s="46" t="s">
        <v>89</v>
      </c>
      <c r="D68" s="64"/>
      <c r="E68" s="45">
        <v>814471</v>
      </c>
      <c r="F68" s="45"/>
      <c r="G68" s="45">
        <v>2923799</v>
      </c>
      <c r="H68" s="45"/>
      <c r="I68" s="45">
        <v>1640600</v>
      </c>
      <c r="J68" s="45"/>
      <c r="K68" s="45">
        <v>2121792</v>
      </c>
      <c r="L68" s="45"/>
      <c r="M68" s="45">
        <v>42249</v>
      </c>
      <c r="N68" s="45"/>
      <c r="O68" s="45">
        <v>0</v>
      </c>
      <c r="P68" s="45"/>
      <c r="Q68" s="45">
        <v>759758</v>
      </c>
      <c r="R68" s="45"/>
      <c r="S68" s="45">
        <f t="shared" si="0"/>
        <v>802007</v>
      </c>
      <c r="T68" s="45"/>
      <c r="U68" s="46">
        <f t="shared" si="1"/>
        <v>0</v>
      </c>
      <c r="V68" s="44">
        <f t="shared" si="2"/>
        <v>0</v>
      </c>
    </row>
    <row r="69" spans="1:22" s="44" customFormat="1" ht="12.75" customHeight="1">
      <c r="A69" s="44" t="s">
        <v>90</v>
      </c>
      <c r="B69" s="96"/>
      <c r="C69" s="44" t="s">
        <v>43</v>
      </c>
      <c r="D69" s="35"/>
      <c r="E69" s="45">
        <v>28580388</v>
      </c>
      <c r="F69" s="45"/>
      <c r="G69" s="45">
        <v>42342611</v>
      </c>
      <c r="H69" s="45"/>
      <c r="I69" s="45">
        <v>4601424</v>
      </c>
      <c r="J69" s="45"/>
      <c r="K69" s="45">
        <v>11450301</v>
      </c>
      <c r="L69" s="45"/>
      <c r="M69" s="45">
        <f>508081+578119+251314+4904874</f>
        <v>6242388</v>
      </c>
      <c r="N69" s="45"/>
      <c r="O69" s="45">
        <v>0</v>
      </c>
      <c r="P69" s="45"/>
      <c r="Q69" s="45">
        <v>24649922</v>
      </c>
      <c r="R69" s="45"/>
      <c r="S69" s="45">
        <f t="shared" si="0"/>
        <v>30892310</v>
      </c>
      <c r="T69" s="45"/>
      <c r="U69" s="46">
        <f t="shared" si="1"/>
        <v>0</v>
      </c>
      <c r="V69" s="44">
        <f t="shared" si="2"/>
        <v>0</v>
      </c>
    </row>
    <row r="70" spans="1:22" s="44" customFormat="1" ht="12.75" customHeight="1">
      <c r="A70" s="44" t="s">
        <v>93</v>
      </c>
      <c r="B70" s="51"/>
      <c r="C70" s="44" t="s">
        <v>94</v>
      </c>
      <c r="D70" s="35"/>
      <c r="E70" s="45">
        <v>111338</v>
      </c>
      <c r="F70" s="45"/>
      <c r="G70" s="45">
        <v>1245920</v>
      </c>
      <c r="H70" s="45"/>
      <c r="I70" s="45">
        <v>706767</v>
      </c>
      <c r="J70" s="45"/>
      <c r="K70" s="45">
        <v>857596</v>
      </c>
      <c r="L70" s="45"/>
      <c r="M70" s="45">
        <v>10335</v>
      </c>
      <c r="N70" s="45"/>
      <c r="O70" s="45">
        <v>0</v>
      </c>
      <c r="P70" s="45"/>
      <c r="Q70" s="45">
        <v>377989</v>
      </c>
      <c r="R70" s="45"/>
      <c r="S70" s="45">
        <f t="shared" si="0"/>
        <v>388324</v>
      </c>
      <c r="T70" s="45"/>
      <c r="U70" s="46">
        <f t="shared" si="1"/>
        <v>0</v>
      </c>
      <c r="V70" s="44">
        <f t="shared" si="2"/>
        <v>0</v>
      </c>
    </row>
    <row r="71" spans="1:22" s="44" customFormat="1" ht="12.75" customHeight="1">
      <c r="A71" s="44" t="s">
        <v>492</v>
      </c>
      <c r="B71" s="51"/>
      <c r="C71" s="44" t="s">
        <v>27</v>
      </c>
      <c r="D71" s="35"/>
      <c r="E71" s="45">
        <v>933898</v>
      </c>
      <c r="F71" s="45"/>
      <c r="G71" s="45">
        <v>10645578</v>
      </c>
      <c r="H71" s="45"/>
      <c r="I71" s="45">
        <v>5470213</v>
      </c>
      <c r="J71" s="45"/>
      <c r="K71" s="45">
        <v>9222918</v>
      </c>
      <c r="L71" s="45"/>
      <c r="M71" s="45">
        <v>161029</v>
      </c>
      <c r="N71" s="45"/>
      <c r="O71" s="45">
        <v>0</v>
      </c>
      <c r="P71" s="45"/>
      <c r="Q71" s="45">
        <v>1261631</v>
      </c>
      <c r="R71" s="45"/>
      <c r="S71" s="45">
        <f>+Q71+O71+M71</f>
        <v>1422660</v>
      </c>
      <c r="T71" s="45"/>
      <c r="U71" s="46">
        <f>+G71-K71-S71</f>
        <v>0</v>
      </c>
      <c r="V71" s="44">
        <f>+G71-K71-S71</f>
        <v>0</v>
      </c>
    </row>
    <row r="72" spans="1:22" s="44" customFormat="1" ht="12.75" customHeight="1">
      <c r="B72" s="51"/>
      <c r="D72" s="3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8" t="s">
        <v>485</v>
      </c>
      <c r="T72" s="45"/>
      <c r="U72" s="46"/>
    </row>
    <row r="73" spans="1:22" s="46" customFormat="1" ht="12.75" customHeight="1">
      <c r="A73" s="46" t="s">
        <v>95</v>
      </c>
      <c r="B73" s="66"/>
      <c r="C73" s="46" t="s">
        <v>94</v>
      </c>
      <c r="D73" s="64"/>
      <c r="E73" s="94">
        <v>18692</v>
      </c>
      <c r="F73" s="94"/>
      <c r="G73" s="94">
        <v>587837</v>
      </c>
      <c r="H73" s="94"/>
      <c r="I73" s="94">
        <v>259876</v>
      </c>
      <c r="J73" s="94"/>
      <c r="K73" s="94">
        <v>1250128</v>
      </c>
      <c r="L73" s="94"/>
      <c r="M73" s="94">
        <f>3155+32769</f>
        <v>35924</v>
      </c>
      <c r="N73" s="94"/>
      <c r="O73" s="94">
        <v>0</v>
      </c>
      <c r="P73" s="94"/>
      <c r="Q73" s="94">
        <v>-698215</v>
      </c>
      <c r="R73" s="94"/>
      <c r="S73" s="94">
        <f t="shared" ref="S73:S79" si="6">+Q73+O73+M73</f>
        <v>-662291</v>
      </c>
      <c r="T73" s="94"/>
      <c r="U73" s="46">
        <f t="shared" ref="U73:U79" si="7">+G73-K73-S73</f>
        <v>0</v>
      </c>
      <c r="V73" s="46">
        <f t="shared" ref="V73:V79" si="8">+G73-K73-S73</f>
        <v>0</v>
      </c>
    </row>
    <row r="74" spans="1:22" s="44" customFormat="1" ht="12.75" customHeight="1">
      <c r="A74" s="44" t="s">
        <v>91</v>
      </c>
      <c r="B74" s="51"/>
      <c r="C74" s="44" t="s">
        <v>92</v>
      </c>
      <c r="D74" s="35"/>
      <c r="E74" s="45">
        <v>2830369</v>
      </c>
      <c r="F74" s="45"/>
      <c r="G74" s="45">
        <v>8101369</v>
      </c>
      <c r="H74" s="45"/>
      <c r="I74" s="45">
        <v>3464410</v>
      </c>
      <c r="J74" s="45"/>
      <c r="K74" s="45">
        <v>4028516</v>
      </c>
      <c r="L74" s="45"/>
      <c r="M74" s="45">
        <f>233151+99847</f>
        <v>332998</v>
      </c>
      <c r="N74" s="45"/>
      <c r="O74" s="45">
        <v>0</v>
      </c>
      <c r="P74" s="45"/>
      <c r="Q74" s="45">
        <v>3739855</v>
      </c>
      <c r="R74" s="45"/>
      <c r="S74" s="45">
        <f t="shared" si="6"/>
        <v>4072853</v>
      </c>
      <c r="T74" s="45"/>
      <c r="U74" s="46">
        <f t="shared" si="7"/>
        <v>0</v>
      </c>
      <c r="V74" s="44">
        <f t="shared" si="8"/>
        <v>0</v>
      </c>
    </row>
    <row r="75" spans="1:22" s="44" customFormat="1" ht="12.75" customHeight="1">
      <c r="A75" s="44" t="s">
        <v>96</v>
      </c>
      <c r="B75" s="51"/>
      <c r="C75" s="44" t="s">
        <v>97</v>
      </c>
      <c r="D75" s="35"/>
      <c r="E75" s="45">
        <v>2473886</v>
      </c>
      <c r="F75" s="45"/>
      <c r="G75" s="45">
        <v>3758593</v>
      </c>
      <c r="H75" s="45"/>
      <c r="I75" s="45">
        <v>906700</v>
      </c>
      <c r="J75" s="45"/>
      <c r="K75" s="45">
        <v>1205090</v>
      </c>
      <c r="L75" s="45"/>
      <c r="M75" s="45">
        <f>9200+3000</f>
        <v>12200</v>
      </c>
      <c r="N75" s="45"/>
      <c r="O75" s="45">
        <v>0</v>
      </c>
      <c r="P75" s="45"/>
      <c r="Q75" s="45">
        <v>2541303</v>
      </c>
      <c r="R75" s="45"/>
      <c r="S75" s="45">
        <f t="shared" si="6"/>
        <v>2553503</v>
      </c>
      <c r="T75" s="45"/>
      <c r="U75" s="46">
        <f t="shared" si="7"/>
        <v>0</v>
      </c>
      <c r="V75" s="44">
        <f t="shared" si="8"/>
        <v>0</v>
      </c>
    </row>
    <row r="76" spans="1:22" s="44" customFormat="1" ht="12.75" customHeight="1">
      <c r="A76" s="44" t="s">
        <v>98</v>
      </c>
      <c r="B76" s="51"/>
      <c r="C76" s="44" t="s">
        <v>17</v>
      </c>
      <c r="D76" s="35"/>
      <c r="E76" s="45">
        <f>3476717+150000</f>
        <v>3626717</v>
      </c>
      <c r="F76" s="45"/>
      <c r="G76" s="45">
        <v>11879210</v>
      </c>
      <c r="H76" s="45"/>
      <c r="I76" s="45">
        <v>4195792</v>
      </c>
      <c r="J76" s="45"/>
      <c r="K76" s="45">
        <v>6499337</v>
      </c>
      <c r="L76" s="45"/>
      <c r="M76" s="45">
        <v>434633</v>
      </c>
      <c r="N76" s="45"/>
      <c r="O76" s="45">
        <v>0</v>
      </c>
      <c r="P76" s="45"/>
      <c r="Q76" s="45">
        <v>4945240</v>
      </c>
      <c r="R76" s="45"/>
      <c r="S76" s="45">
        <f t="shared" si="6"/>
        <v>5379873</v>
      </c>
      <c r="T76" s="45"/>
      <c r="U76" s="46">
        <f t="shared" si="7"/>
        <v>0</v>
      </c>
      <c r="V76" s="44">
        <f t="shared" si="8"/>
        <v>0</v>
      </c>
    </row>
    <row r="77" spans="1:22" s="44" customFormat="1" ht="12.75" customHeight="1">
      <c r="A77" s="44" t="s">
        <v>99</v>
      </c>
      <c r="B77" s="51"/>
      <c r="C77" s="44" t="s">
        <v>66</v>
      </c>
      <c r="D77" s="35"/>
      <c r="E77" s="45">
        <v>2741249</v>
      </c>
      <c r="F77" s="45"/>
      <c r="G77" s="45">
        <v>5746685</v>
      </c>
      <c r="H77" s="45"/>
      <c r="I77" s="45">
        <v>1490306</v>
      </c>
      <c r="J77" s="45"/>
      <c r="K77" s="45">
        <v>2699606</v>
      </c>
      <c r="L77" s="45"/>
      <c r="M77" s="45">
        <v>64802</v>
      </c>
      <c r="N77" s="45"/>
      <c r="O77" s="45">
        <v>0</v>
      </c>
      <c r="P77" s="45"/>
      <c r="Q77" s="45">
        <v>2982277</v>
      </c>
      <c r="R77" s="45"/>
      <c r="S77" s="45">
        <f t="shared" si="6"/>
        <v>3047079</v>
      </c>
      <c r="T77" s="45"/>
      <c r="U77" s="46">
        <f t="shared" si="7"/>
        <v>0</v>
      </c>
      <c r="V77" s="44">
        <f t="shared" si="8"/>
        <v>0</v>
      </c>
    </row>
    <row r="78" spans="1:22" s="44" customFormat="1" ht="12.75" customHeight="1">
      <c r="A78" s="44" t="s">
        <v>100</v>
      </c>
      <c r="B78" s="51"/>
      <c r="C78" s="44" t="s">
        <v>27</v>
      </c>
      <c r="D78" s="35"/>
      <c r="E78" s="45">
        <f>4063418+8215</f>
        <v>4071633</v>
      </c>
      <c r="F78" s="45"/>
      <c r="G78" s="45">
        <v>20309627</v>
      </c>
      <c r="H78" s="45"/>
      <c r="I78" s="45">
        <v>7985069</v>
      </c>
      <c r="J78" s="45"/>
      <c r="K78" s="45">
        <v>10380090</v>
      </c>
      <c r="L78" s="45"/>
      <c r="M78" s="45">
        <f>74598+23298</f>
        <v>97896</v>
      </c>
      <c r="N78" s="45"/>
      <c r="O78" s="45">
        <v>0</v>
      </c>
      <c r="P78" s="45"/>
      <c r="Q78" s="45">
        <v>9831641</v>
      </c>
      <c r="R78" s="45"/>
      <c r="S78" s="45">
        <f t="shared" si="6"/>
        <v>9929537</v>
      </c>
      <c r="T78" s="45"/>
      <c r="U78" s="46">
        <f t="shared" si="7"/>
        <v>0</v>
      </c>
      <c r="V78" s="44">
        <f t="shared" si="8"/>
        <v>0</v>
      </c>
    </row>
    <row r="79" spans="1:22" s="44" customFormat="1" ht="12.75" customHeight="1">
      <c r="A79" s="44" t="s">
        <v>101</v>
      </c>
      <c r="B79" s="51"/>
      <c r="C79" s="44" t="s">
        <v>30</v>
      </c>
      <c r="D79" s="35"/>
      <c r="E79" s="45">
        <v>4722692</v>
      </c>
      <c r="F79" s="45"/>
      <c r="G79" s="45">
        <v>9881505</v>
      </c>
      <c r="H79" s="45"/>
      <c r="I79" s="45">
        <v>3274919</v>
      </c>
      <c r="J79" s="45"/>
      <c r="K79" s="45">
        <v>4170101</v>
      </c>
      <c r="L79" s="45"/>
      <c r="M79" s="45">
        <f>55473+54405+24482</f>
        <v>134360</v>
      </c>
      <c r="N79" s="45"/>
      <c r="O79" s="45">
        <v>0</v>
      </c>
      <c r="P79" s="45"/>
      <c r="Q79" s="45">
        <v>5577044</v>
      </c>
      <c r="R79" s="45"/>
      <c r="S79" s="45">
        <f t="shared" si="6"/>
        <v>5711404</v>
      </c>
      <c r="T79" s="45"/>
      <c r="U79" s="46">
        <f t="shared" si="7"/>
        <v>0</v>
      </c>
      <c r="V79" s="44">
        <f t="shared" si="8"/>
        <v>0</v>
      </c>
    </row>
    <row r="80" spans="1:22" s="44" customFormat="1" ht="12.75" customHeight="1">
      <c r="A80" s="44" t="s">
        <v>102</v>
      </c>
      <c r="B80" s="51"/>
      <c r="C80" s="44" t="s">
        <v>103</v>
      </c>
      <c r="D80" s="35"/>
      <c r="E80" s="45">
        <v>12112144</v>
      </c>
      <c r="F80" s="45"/>
      <c r="G80" s="45">
        <v>18728518</v>
      </c>
      <c r="H80" s="45"/>
      <c r="I80" s="45">
        <v>3999722</v>
      </c>
      <c r="J80" s="45"/>
      <c r="K80" s="45">
        <v>5035745</v>
      </c>
      <c r="L80" s="45"/>
      <c r="M80" s="45">
        <v>37690</v>
      </c>
      <c r="N80" s="45"/>
      <c r="O80" s="45">
        <v>0</v>
      </c>
      <c r="P80" s="45"/>
      <c r="Q80" s="45">
        <v>13655083</v>
      </c>
      <c r="R80" s="45"/>
      <c r="S80" s="45">
        <f t="shared" ref="S80:S146" si="9">+Q80+O80+M80</f>
        <v>13692773</v>
      </c>
      <c r="T80" s="45"/>
      <c r="U80" s="46">
        <f t="shared" ref="U80:U146" si="10">+G80-K80-S80</f>
        <v>0</v>
      </c>
      <c r="V80" s="44">
        <f t="shared" ref="V80:V146" si="11">+G80-K80-S80</f>
        <v>0</v>
      </c>
    </row>
    <row r="81" spans="1:22" s="44" customFormat="1" ht="12.75" customHeight="1">
      <c r="A81" s="44" t="s">
        <v>104</v>
      </c>
      <c r="B81" s="51"/>
      <c r="C81" s="44" t="s">
        <v>13</v>
      </c>
      <c r="D81" s="35"/>
      <c r="E81" s="45">
        <f>6870953+42439</f>
        <v>6913392</v>
      </c>
      <c r="F81" s="45"/>
      <c r="G81" s="45">
        <v>10044764</v>
      </c>
      <c r="H81" s="45"/>
      <c r="I81" s="45">
        <v>1473038</v>
      </c>
      <c r="J81" s="45"/>
      <c r="K81" s="45">
        <v>3327164</v>
      </c>
      <c r="L81" s="45"/>
      <c r="M81" s="45">
        <f>457332+105578+200585+25547</f>
        <v>789042</v>
      </c>
      <c r="N81" s="45"/>
      <c r="O81" s="45">
        <v>0</v>
      </c>
      <c r="P81" s="45"/>
      <c r="Q81" s="45">
        <v>5928558</v>
      </c>
      <c r="R81" s="45"/>
      <c r="S81" s="45">
        <f t="shared" si="9"/>
        <v>6717600</v>
      </c>
      <c r="T81" s="45"/>
      <c r="U81" s="46">
        <f t="shared" si="10"/>
        <v>0</v>
      </c>
      <c r="V81" s="44">
        <f t="shared" si="11"/>
        <v>0</v>
      </c>
    </row>
    <row r="82" spans="1:22" s="44" customFormat="1" ht="12.75" customHeight="1">
      <c r="A82" s="44" t="s">
        <v>105</v>
      </c>
      <c r="B82" s="51"/>
      <c r="C82" s="44" t="s">
        <v>27</v>
      </c>
      <c r="D82" s="35"/>
      <c r="E82" s="45">
        <v>148393</v>
      </c>
      <c r="F82" s="45"/>
      <c r="G82" s="45">
        <v>5993497</v>
      </c>
      <c r="H82" s="45"/>
      <c r="I82" s="45">
        <v>4359831</v>
      </c>
      <c r="J82" s="45"/>
      <c r="K82" s="45">
        <v>4812114</v>
      </c>
      <c r="L82" s="45"/>
      <c r="M82" s="45">
        <v>24344</v>
      </c>
      <c r="N82" s="45"/>
      <c r="O82" s="45">
        <v>0</v>
      </c>
      <c r="P82" s="45"/>
      <c r="Q82" s="45">
        <v>1157039</v>
      </c>
      <c r="R82" s="45"/>
      <c r="S82" s="45">
        <f t="shared" si="9"/>
        <v>1181383</v>
      </c>
      <c r="T82" s="45"/>
      <c r="U82" s="46">
        <f t="shared" si="10"/>
        <v>0</v>
      </c>
      <c r="V82" s="44">
        <f t="shared" si="11"/>
        <v>0</v>
      </c>
    </row>
    <row r="83" spans="1:22" s="44" customFormat="1" ht="12.75" customHeight="1">
      <c r="A83" s="44" t="s">
        <v>106</v>
      </c>
      <c r="B83" s="51"/>
      <c r="C83" s="44" t="s">
        <v>107</v>
      </c>
      <c r="D83" s="35"/>
      <c r="E83" s="45">
        <f>12712561+20269+92217</f>
        <v>12825047</v>
      </c>
      <c r="F83" s="45"/>
      <c r="G83" s="45">
        <v>17896824</v>
      </c>
      <c r="H83" s="45"/>
      <c r="I83" s="45">
        <v>3233214</v>
      </c>
      <c r="J83" s="45"/>
      <c r="K83" s="45">
        <v>11862277</v>
      </c>
      <c r="L83" s="45"/>
      <c r="M83" s="45">
        <f>1124561+70916</f>
        <v>1195477</v>
      </c>
      <c r="N83" s="45"/>
      <c r="O83" s="45">
        <v>0</v>
      </c>
      <c r="P83" s="45"/>
      <c r="Q83" s="45">
        <v>4839070</v>
      </c>
      <c r="R83" s="45"/>
      <c r="S83" s="45">
        <f t="shared" si="9"/>
        <v>6034547</v>
      </c>
      <c r="T83" s="45"/>
      <c r="U83" s="46">
        <f t="shared" si="10"/>
        <v>0</v>
      </c>
      <c r="V83" s="44">
        <f t="shared" si="11"/>
        <v>0</v>
      </c>
    </row>
    <row r="84" spans="1:22" s="44" customFormat="1" ht="12.75" customHeight="1">
      <c r="A84" s="44" t="s">
        <v>108</v>
      </c>
      <c r="B84" s="65"/>
      <c r="C84" s="44" t="s">
        <v>45</v>
      </c>
      <c r="D84" s="35"/>
      <c r="E84" s="45">
        <v>2329090</v>
      </c>
      <c r="F84" s="45"/>
      <c r="G84" s="45">
        <v>5671551</v>
      </c>
      <c r="H84" s="45"/>
      <c r="I84" s="45">
        <v>1985213</v>
      </c>
      <c r="J84" s="45"/>
      <c r="K84" s="45">
        <v>2637205</v>
      </c>
      <c r="L84" s="45"/>
      <c r="M84" s="45">
        <v>616430</v>
      </c>
      <c r="N84" s="45"/>
      <c r="O84" s="45">
        <v>0</v>
      </c>
      <c r="P84" s="45"/>
      <c r="Q84" s="45">
        <v>2417916</v>
      </c>
      <c r="R84" s="45"/>
      <c r="S84" s="45">
        <f>+Q84+O84+M84</f>
        <v>3034346</v>
      </c>
      <c r="T84" s="45"/>
      <c r="U84" s="44">
        <f>+G84-K84-S84</f>
        <v>0</v>
      </c>
      <c r="V84" s="44">
        <f>+G84-K84-S84</f>
        <v>0</v>
      </c>
    </row>
    <row r="85" spans="1:22" s="44" customFormat="1" ht="12.75" customHeight="1">
      <c r="A85" s="44" t="s">
        <v>109</v>
      </c>
      <c r="C85" s="44" t="s">
        <v>110</v>
      </c>
      <c r="D85" s="35"/>
      <c r="E85" s="45">
        <v>1287718</v>
      </c>
      <c r="F85" s="45"/>
      <c r="G85" s="45">
        <v>3778339</v>
      </c>
      <c r="H85" s="45"/>
      <c r="I85" s="45">
        <v>1562206</v>
      </c>
      <c r="J85" s="45"/>
      <c r="K85" s="45">
        <v>2155390</v>
      </c>
      <c r="L85" s="45"/>
      <c r="M85" s="45">
        <v>0</v>
      </c>
      <c r="N85" s="45"/>
      <c r="O85" s="45">
        <v>0</v>
      </c>
      <c r="P85" s="45"/>
      <c r="Q85" s="45">
        <v>1622949</v>
      </c>
      <c r="R85" s="45"/>
      <c r="S85" s="45">
        <f t="shared" si="9"/>
        <v>1622949</v>
      </c>
      <c r="T85" s="45"/>
      <c r="U85" s="44">
        <f t="shared" si="10"/>
        <v>0</v>
      </c>
      <c r="V85" s="44">
        <f t="shared" si="11"/>
        <v>0</v>
      </c>
    </row>
    <row r="86" spans="1:22" s="44" customFormat="1" ht="12.75" customHeight="1">
      <c r="A86" s="46" t="s">
        <v>43</v>
      </c>
      <c r="B86" s="46"/>
      <c r="C86" s="46" t="s">
        <v>111</v>
      </c>
      <c r="D86" s="64"/>
      <c r="E86" s="45">
        <f>4459977+12850</f>
        <v>4472827</v>
      </c>
      <c r="F86" s="45"/>
      <c r="G86" s="45">
        <v>7444667</v>
      </c>
      <c r="H86" s="45"/>
      <c r="I86" s="45">
        <v>1899610</v>
      </c>
      <c r="J86" s="45"/>
      <c r="K86" s="45">
        <v>6254894</v>
      </c>
      <c r="L86" s="45"/>
      <c r="M86" s="45">
        <v>14739</v>
      </c>
      <c r="N86" s="45"/>
      <c r="O86" s="45">
        <v>0</v>
      </c>
      <c r="P86" s="45"/>
      <c r="Q86" s="45">
        <v>1175034</v>
      </c>
      <c r="R86" s="45"/>
      <c r="S86" s="45">
        <f t="shared" si="9"/>
        <v>1189773</v>
      </c>
      <c r="T86" s="45"/>
      <c r="U86" s="46">
        <f t="shared" si="10"/>
        <v>0</v>
      </c>
      <c r="V86" s="44">
        <f t="shared" si="11"/>
        <v>0</v>
      </c>
    </row>
    <row r="87" spans="1:22" s="44" customFormat="1" ht="12.75" customHeight="1">
      <c r="A87" s="44" t="s">
        <v>112</v>
      </c>
      <c r="B87" s="51"/>
      <c r="C87" s="44" t="s">
        <v>76</v>
      </c>
      <c r="D87" s="35"/>
      <c r="E87" s="45">
        <v>3345710</v>
      </c>
      <c r="F87" s="45"/>
      <c r="G87" s="45">
        <v>4622199</v>
      </c>
      <c r="H87" s="45"/>
      <c r="I87" s="45">
        <v>324340</v>
      </c>
      <c r="J87" s="45"/>
      <c r="K87" s="45">
        <v>1565966</v>
      </c>
      <c r="L87" s="45"/>
      <c r="M87" s="45">
        <f>32924+6006</f>
        <v>38930</v>
      </c>
      <c r="N87" s="45"/>
      <c r="O87" s="45">
        <v>329771</v>
      </c>
      <c r="P87" s="45"/>
      <c r="Q87" s="45">
        <v>2687532</v>
      </c>
      <c r="R87" s="45"/>
      <c r="S87" s="45">
        <f t="shared" si="9"/>
        <v>3056233</v>
      </c>
      <c r="T87" s="45"/>
      <c r="U87" s="46">
        <f t="shared" si="10"/>
        <v>0</v>
      </c>
      <c r="V87" s="44">
        <f t="shared" si="11"/>
        <v>0</v>
      </c>
    </row>
    <row r="88" spans="1:22" s="44" customFormat="1" ht="12.75" customHeight="1">
      <c r="A88" s="44" t="s">
        <v>113</v>
      </c>
      <c r="C88" s="44" t="s">
        <v>43</v>
      </c>
      <c r="D88" s="35"/>
      <c r="E88" s="45">
        <v>31202465</v>
      </c>
      <c r="F88" s="45"/>
      <c r="G88" s="45">
        <v>40563126</v>
      </c>
      <c r="H88" s="45"/>
      <c r="I88" s="45">
        <v>6945881</v>
      </c>
      <c r="J88" s="45"/>
      <c r="K88" s="45">
        <v>8892199</v>
      </c>
      <c r="L88" s="45"/>
      <c r="M88" s="45">
        <v>14078731</v>
      </c>
      <c r="N88" s="45"/>
      <c r="O88" s="45">
        <v>1661984</v>
      </c>
      <c r="P88" s="45"/>
      <c r="Q88" s="45">
        <v>15930212</v>
      </c>
      <c r="R88" s="45"/>
      <c r="S88" s="45">
        <f t="shared" si="9"/>
        <v>31670927</v>
      </c>
      <c r="T88" s="45"/>
      <c r="U88" s="46">
        <f t="shared" si="10"/>
        <v>0</v>
      </c>
      <c r="V88" s="44">
        <f t="shared" si="11"/>
        <v>0</v>
      </c>
    </row>
    <row r="89" spans="1:22" s="44" customFormat="1" ht="12.75" customHeight="1">
      <c r="A89" s="46" t="s">
        <v>494</v>
      </c>
      <c r="B89" s="46"/>
      <c r="C89" s="46" t="s">
        <v>57</v>
      </c>
      <c r="D89" s="64"/>
      <c r="E89" s="45">
        <v>787518</v>
      </c>
      <c r="F89" s="45"/>
      <c r="G89" s="45">
        <v>3857023</v>
      </c>
      <c r="H89" s="45"/>
      <c r="I89" s="45">
        <v>1071725</v>
      </c>
      <c r="J89" s="45"/>
      <c r="K89" s="45">
        <v>1848091</v>
      </c>
      <c r="L89" s="45"/>
      <c r="M89" s="45">
        <f>81147+63260</f>
        <v>144407</v>
      </c>
      <c r="N89" s="45"/>
      <c r="O89" s="45">
        <v>0</v>
      </c>
      <c r="P89" s="45"/>
      <c r="Q89" s="45">
        <v>1864525</v>
      </c>
      <c r="R89" s="45"/>
      <c r="S89" s="45">
        <f>+Q89+O89+M89</f>
        <v>2008932</v>
      </c>
      <c r="T89" s="45"/>
      <c r="U89" s="46">
        <f>+G89-K89-S89</f>
        <v>0</v>
      </c>
      <c r="V89" s="44">
        <f>+G89-K89-S89</f>
        <v>0</v>
      </c>
    </row>
    <row r="90" spans="1:22" s="44" customFormat="1" ht="12.75" customHeight="1">
      <c r="A90" s="44" t="s">
        <v>114</v>
      </c>
      <c r="B90" s="51"/>
      <c r="C90" s="44" t="s">
        <v>27</v>
      </c>
      <c r="D90" s="35"/>
      <c r="E90" s="45">
        <v>0</v>
      </c>
      <c r="F90" s="45"/>
      <c r="G90" s="45">
        <v>12963751</v>
      </c>
      <c r="H90" s="45"/>
      <c r="I90" s="45">
        <v>11930596</v>
      </c>
      <c r="J90" s="45"/>
      <c r="K90" s="45">
        <v>15913406</v>
      </c>
      <c r="L90" s="45"/>
      <c r="M90" s="45">
        <v>60575</v>
      </c>
      <c r="N90" s="45"/>
      <c r="O90" s="45">
        <v>0</v>
      </c>
      <c r="P90" s="45"/>
      <c r="Q90" s="45">
        <v>-3010230</v>
      </c>
      <c r="R90" s="45"/>
      <c r="S90" s="45">
        <f>+Q90+O90+M90</f>
        <v>-2949655</v>
      </c>
      <c r="T90" s="45"/>
      <c r="U90" s="46">
        <f>+G90-K90-S90</f>
        <v>0</v>
      </c>
      <c r="V90" s="44">
        <f>+G90-K90-S90</f>
        <v>0</v>
      </c>
    </row>
    <row r="91" spans="1:22" s="44" customFormat="1" ht="12.75" customHeight="1">
      <c r="A91" s="44" t="s">
        <v>115</v>
      </c>
      <c r="C91" s="44" t="s">
        <v>19</v>
      </c>
      <c r="D91" s="35"/>
      <c r="E91" s="45">
        <v>1168327</v>
      </c>
      <c r="F91" s="45"/>
      <c r="G91" s="45">
        <v>2698859</v>
      </c>
      <c r="H91" s="45"/>
      <c r="I91" s="45">
        <v>1006579</v>
      </c>
      <c r="J91" s="45"/>
      <c r="K91" s="45">
        <v>1291554</v>
      </c>
      <c r="L91" s="45"/>
      <c r="M91" s="45">
        <v>15440</v>
      </c>
      <c r="N91" s="45"/>
      <c r="O91" s="45">
        <v>0</v>
      </c>
      <c r="P91" s="45"/>
      <c r="Q91" s="45">
        <v>1391865</v>
      </c>
      <c r="R91" s="45"/>
      <c r="S91" s="45">
        <f t="shared" si="9"/>
        <v>1407305</v>
      </c>
      <c r="T91" s="45"/>
      <c r="U91" s="46">
        <f t="shared" si="10"/>
        <v>0</v>
      </c>
      <c r="V91" s="44">
        <f t="shared" si="11"/>
        <v>0</v>
      </c>
    </row>
    <row r="92" spans="1:22" s="44" customFormat="1" ht="12.75" customHeight="1">
      <c r="A92" s="46" t="s">
        <v>116</v>
      </c>
      <c r="B92" s="46"/>
      <c r="C92" s="46" t="s">
        <v>80</v>
      </c>
      <c r="D92" s="64"/>
      <c r="E92" s="45">
        <v>273195</v>
      </c>
      <c r="F92" s="45"/>
      <c r="G92" s="45">
        <v>2114409</v>
      </c>
      <c r="H92" s="45"/>
      <c r="I92" s="45">
        <v>1381627</v>
      </c>
      <c r="J92" s="45"/>
      <c r="K92" s="45">
        <v>1683431</v>
      </c>
      <c r="L92" s="45"/>
      <c r="M92" s="45">
        <v>390</v>
      </c>
      <c r="N92" s="45"/>
      <c r="O92" s="45">
        <v>0</v>
      </c>
      <c r="P92" s="45"/>
      <c r="Q92" s="45">
        <v>430588</v>
      </c>
      <c r="R92" s="45"/>
      <c r="S92" s="45">
        <f t="shared" si="9"/>
        <v>430978</v>
      </c>
      <c r="T92" s="45"/>
      <c r="U92" s="46">
        <f t="shared" si="10"/>
        <v>0</v>
      </c>
      <c r="V92" s="44">
        <f t="shared" si="11"/>
        <v>0</v>
      </c>
    </row>
    <row r="93" spans="1:22" s="44" customFormat="1" ht="12.75" customHeight="1">
      <c r="A93" s="44" t="s">
        <v>117</v>
      </c>
      <c r="C93" s="44" t="s">
        <v>43</v>
      </c>
      <c r="D93" s="35"/>
      <c r="E93" s="45">
        <v>2027209</v>
      </c>
      <c r="F93" s="45"/>
      <c r="G93" s="45">
        <v>5435968</v>
      </c>
      <c r="H93" s="45"/>
      <c r="I93" s="45">
        <v>706523</v>
      </c>
      <c r="J93" s="45"/>
      <c r="K93" s="45">
        <v>2738892</v>
      </c>
      <c r="L93" s="45"/>
      <c r="M93" s="45">
        <f>203645+83303</f>
        <v>286948</v>
      </c>
      <c r="N93" s="45"/>
      <c r="O93" s="45">
        <v>0</v>
      </c>
      <c r="P93" s="45"/>
      <c r="Q93" s="45">
        <v>2410128</v>
      </c>
      <c r="R93" s="45"/>
      <c r="S93" s="45">
        <f t="shared" si="9"/>
        <v>2697076</v>
      </c>
      <c r="T93" s="45"/>
      <c r="U93" s="46">
        <f t="shared" si="10"/>
        <v>0</v>
      </c>
      <c r="V93" s="44">
        <f t="shared" si="11"/>
        <v>0</v>
      </c>
    </row>
    <row r="94" spans="1:22" s="44" customFormat="1" ht="12.75" customHeight="1">
      <c r="A94" s="44" t="s">
        <v>118</v>
      </c>
      <c r="B94" s="51"/>
      <c r="C94" s="44" t="s">
        <v>13</v>
      </c>
      <c r="D94" s="35"/>
      <c r="E94" s="45">
        <v>16883240</v>
      </c>
      <c r="F94" s="45"/>
      <c r="G94" s="45">
        <v>23408168</v>
      </c>
      <c r="H94" s="45"/>
      <c r="I94" s="45">
        <v>3099341</v>
      </c>
      <c r="J94" s="45"/>
      <c r="K94" s="45">
        <v>6874932</v>
      </c>
      <c r="L94" s="45"/>
      <c r="M94" s="45">
        <v>1096746</v>
      </c>
      <c r="N94" s="45"/>
      <c r="O94" s="45">
        <v>0</v>
      </c>
      <c r="P94" s="45"/>
      <c r="Q94" s="45">
        <v>15436490</v>
      </c>
      <c r="R94" s="45"/>
      <c r="S94" s="45">
        <f t="shared" si="9"/>
        <v>16533236</v>
      </c>
      <c r="T94" s="45"/>
      <c r="U94" s="46">
        <f t="shared" si="10"/>
        <v>0</v>
      </c>
      <c r="V94" s="44">
        <f t="shared" si="11"/>
        <v>0</v>
      </c>
    </row>
    <row r="95" spans="1:22" s="44" customFormat="1" ht="12.75" customHeight="1">
      <c r="A95" s="44" t="s">
        <v>120</v>
      </c>
      <c r="B95" s="51"/>
      <c r="C95" s="44" t="s">
        <v>121</v>
      </c>
      <c r="D95" s="35"/>
      <c r="E95" s="45">
        <v>2690721</v>
      </c>
      <c r="F95" s="45"/>
      <c r="G95" s="45">
        <v>6083450</v>
      </c>
      <c r="H95" s="45"/>
      <c r="I95" s="45">
        <v>636940</v>
      </c>
      <c r="J95" s="45"/>
      <c r="K95" s="45">
        <v>2199119</v>
      </c>
      <c r="L95" s="45"/>
      <c r="M95" s="45">
        <v>275382</v>
      </c>
      <c r="N95" s="45"/>
      <c r="O95" s="45">
        <v>0</v>
      </c>
      <c r="P95" s="45"/>
      <c r="Q95" s="45">
        <v>3608949</v>
      </c>
      <c r="R95" s="45"/>
      <c r="S95" s="45">
        <f t="shared" si="9"/>
        <v>3884331</v>
      </c>
      <c r="T95" s="45"/>
      <c r="U95" s="46">
        <f t="shared" si="10"/>
        <v>0</v>
      </c>
      <c r="V95" s="44">
        <f t="shared" si="11"/>
        <v>0</v>
      </c>
    </row>
    <row r="96" spans="1:22" s="44" customFormat="1" ht="12.75" customHeight="1">
      <c r="A96" s="44" t="s">
        <v>122</v>
      </c>
      <c r="B96" s="51"/>
      <c r="C96" s="44" t="s">
        <v>43</v>
      </c>
      <c r="D96" s="35"/>
      <c r="E96" s="45">
        <v>22722304</v>
      </c>
      <c r="F96" s="45"/>
      <c r="G96" s="45">
        <v>29029782</v>
      </c>
      <c r="H96" s="45"/>
      <c r="I96" s="45">
        <v>4177609</v>
      </c>
      <c r="J96" s="45"/>
      <c r="K96" s="45">
        <v>5087313</v>
      </c>
      <c r="L96" s="45"/>
      <c r="M96" s="45">
        <v>1716494</v>
      </c>
      <c r="N96" s="45"/>
      <c r="O96" s="45">
        <v>0</v>
      </c>
      <c r="P96" s="45"/>
      <c r="Q96" s="45">
        <v>22225975</v>
      </c>
      <c r="R96" s="45"/>
      <c r="S96" s="45">
        <f t="shared" si="9"/>
        <v>23942469</v>
      </c>
      <c r="T96" s="45"/>
      <c r="U96" s="46">
        <f t="shared" si="10"/>
        <v>0</v>
      </c>
      <c r="V96" s="44">
        <f t="shared" si="11"/>
        <v>0</v>
      </c>
    </row>
    <row r="97" spans="1:22" s="44" customFormat="1" ht="12.75" customHeight="1">
      <c r="A97" s="44" t="s">
        <v>45</v>
      </c>
      <c r="B97" s="51"/>
      <c r="C97" s="44" t="s">
        <v>103</v>
      </c>
      <c r="D97" s="35"/>
      <c r="E97" s="45">
        <v>4035641</v>
      </c>
      <c r="F97" s="45"/>
      <c r="G97" s="45">
        <v>13741849</v>
      </c>
      <c r="H97" s="45"/>
      <c r="I97" s="45">
        <v>5880423</v>
      </c>
      <c r="J97" s="45"/>
      <c r="K97" s="45">
        <v>9141854</v>
      </c>
      <c r="L97" s="45"/>
      <c r="M97" s="45">
        <v>949595</v>
      </c>
      <c r="N97" s="45"/>
      <c r="O97" s="45">
        <v>0</v>
      </c>
      <c r="P97" s="45"/>
      <c r="Q97" s="45">
        <v>3650400</v>
      </c>
      <c r="R97" s="45"/>
      <c r="S97" s="45">
        <f t="shared" si="9"/>
        <v>4599995</v>
      </c>
      <c r="T97" s="45"/>
      <c r="U97" s="46">
        <f t="shared" si="10"/>
        <v>0</v>
      </c>
      <c r="V97" s="44">
        <f t="shared" si="11"/>
        <v>0</v>
      </c>
    </row>
    <row r="98" spans="1:22" s="44" customFormat="1" ht="12.75" customHeight="1">
      <c r="A98" s="44" t="s">
        <v>123</v>
      </c>
      <c r="B98" s="51"/>
      <c r="C98" s="44" t="s">
        <v>45</v>
      </c>
      <c r="D98" s="35"/>
      <c r="E98" s="45">
        <v>1453030</v>
      </c>
      <c r="F98" s="45"/>
      <c r="G98" s="45">
        <v>3669259</v>
      </c>
      <c r="H98" s="45"/>
      <c r="I98" s="45">
        <v>543723</v>
      </c>
      <c r="J98" s="45"/>
      <c r="K98" s="45">
        <v>1791781</v>
      </c>
      <c r="L98" s="45"/>
      <c r="M98" s="45">
        <v>89890</v>
      </c>
      <c r="N98" s="45"/>
      <c r="O98" s="45">
        <v>0</v>
      </c>
      <c r="P98" s="45"/>
      <c r="Q98" s="45">
        <v>1787588</v>
      </c>
      <c r="R98" s="45"/>
      <c r="S98" s="45">
        <f t="shared" si="9"/>
        <v>1877478</v>
      </c>
      <c r="T98" s="45"/>
      <c r="U98" s="46">
        <f t="shared" si="10"/>
        <v>0</v>
      </c>
      <c r="V98" s="44">
        <f t="shared" si="11"/>
        <v>0</v>
      </c>
    </row>
    <row r="99" spans="1:22" s="44" customFormat="1" ht="12.75" customHeight="1">
      <c r="A99" s="44" t="s">
        <v>124</v>
      </c>
      <c r="B99" s="51"/>
      <c r="C99" s="44" t="s">
        <v>125</v>
      </c>
      <c r="D99" s="35"/>
      <c r="E99" s="45">
        <v>3153221</v>
      </c>
      <c r="F99" s="45"/>
      <c r="G99" s="45">
        <v>4882108</v>
      </c>
      <c r="H99" s="45"/>
      <c r="I99" s="45">
        <v>881110</v>
      </c>
      <c r="J99" s="45"/>
      <c r="K99" s="45">
        <v>1134118</v>
      </c>
      <c r="L99" s="45"/>
      <c r="M99" s="45">
        <v>304325</v>
      </c>
      <c r="N99" s="45"/>
      <c r="O99" s="45">
        <v>0</v>
      </c>
      <c r="P99" s="45"/>
      <c r="Q99" s="45">
        <v>3443665</v>
      </c>
      <c r="R99" s="45"/>
      <c r="S99" s="45">
        <f t="shared" si="9"/>
        <v>3747990</v>
      </c>
      <c r="T99" s="45"/>
      <c r="U99" s="46">
        <f t="shared" si="10"/>
        <v>0</v>
      </c>
      <c r="V99" s="44">
        <f t="shared" si="11"/>
        <v>0</v>
      </c>
    </row>
    <row r="100" spans="1:22" s="44" customFormat="1" ht="12.75" customHeight="1">
      <c r="A100" s="44" t="s">
        <v>126</v>
      </c>
      <c r="C100" s="44" t="s">
        <v>27</v>
      </c>
      <c r="D100" s="35"/>
      <c r="E100" s="45">
        <v>2851339</v>
      </c>
      <c r="F100" s="45"/>
      <c r="G100" s="45">
        <v>6433800</v>
      </c>
      <c r="H100" s="45"/>
      <c r="I100" s="45">
        <v>1700269</v>
      </c>
      <c r="J100" s="45"/>
      <c r="K100" s="45">
        <v>2180573</v>
      </c>
      <c r="L100" s="45"/>
      <c r="M100" s="45">
        <v>170239</v>
      </c>
      <c r="N100" s="45"/>
      <c r="O100" s="45">
        <v>0</v>
      </c>
      <c r="P100" s="45"/>
      <c r="Q100" s="45">
        <v>4082988</v>
      </c>
      <c r="R100" s="45"/>
      <c r="S100" s="45">
        <f t="shared" si="9"/>
        <v>4253227</v>
      </c>
      <c r="T100" s="45"/>
      <c r="U100" s="46">
        <f t="shared" si="10"/>
        <v>0</v>
      </c>
      <c r="V100" s="44">
        <f t="shared" si="11"/>
        <v>0</v>
      </c>
    </row>
    <row r="101" spans="1:22" s="44" customFormat="1" ht="12.75" customHeight="1">
      <c r="A101" s="44" t="s">
        <v>127</v>
      </c>
      <c r="B101" s="51"/>
      <c r="C101" s="44" t="s">
        <v>43</v>
      </c>
      <c r="D101" s="35"/>
      <c r="E101" s="45">
        <v>3124480</v>
      </c>
      <c r="F101" s="45"/>
      <c r="G101" s="45">
        <v>7325398</v>
      </c>
      <c r="H101" s="45"/>
      <c r="I101" s="45">
        <v>2265015</v>
      </c>
      <c r="J101" s="45"/>
      <c r="K101" s="45">
        <v>3564768</v>
      </c>
      <c r="L101" s="45"/>
      <c r="M101" s="45">
        <v>239375</v>
      </c>
      <c r="N101" s="45"/>
      <c r="O101" s="45">
        <v>0</v>
      </c>
      <c r="P101" s="45"/>
      <c r="Q101" s="45">
        <v>3521255</v>
      </c>
      <c r="R101" s="45"/>
      <c r="S101" s="45">
        <f t="shared" si="9"/>
        <v>3760630</v>
      </c>
      <c r="T101" s="45"/>
      <c r="U101" s="46">
        <f t="shared" si="10"/>
        <v>0</v>
      </c>
      <c r="V101" s="44">
        <f t="shared" si="11"/>
        <v>0</v>
      </c>
    </row>
    <row r="102" spans="1:22" s="44" customFormat="1" ht="12.75" customHeight="1">
      <c r="A102" s="44" t="s">
        <v>128</v>
      </c>
      <c r="C102" s="44" t="s">
        <v>119</v>
      </c>
      <c r="D102" s="35"/>
      <c r="E102" s="45">
        <f>1621806+6234</f>
        <v>1628040</v>
      </c>
      <c r="F102" s="45"/>
      <c r="G102" s="45">
        <v>3734614</v>
      </c>
      <c r="H102" s="45"/>
      <c r="I102" s="45">
        <v>879167</v>
      </c>
      <c r="J102" s="45"/>
      <c r="K102" s="45">
        <v>1073558</v>
      </c>
      <c r="L102" s="45"/>
      <c r="M102" s="45">
        <v>179995</v>
      </c>
      <c r="N102" s="45"/>
      <c r="O102" s="45">
        <v>0</v>
      </c>
      <c r="P102" s="45"/>
      <c r="Q102" s="45">
        <v>2481061</v>
      </c>
      <c r="R102" s="45"/>
      <c r="S102" s="45">
        <f t="shared" si="9"/>
        <v>2661056</v>
      </c>
      <c r="T102" s="45"/>
      <c r="U102" s="46">
        <f t="shared" si="10"/>
        <v>0</v>
      </c>
      <c r="V102" s="44">
        <f t="shared" si="11"/>
        <v>0</v>
      </c>
    </row>
    <row r="103" spans="1:22" s="44" customFormat="1" ht="12.75" customHeight="1">
      <c r="A103" s="44" t="s">
        <v>129</v>
      </c>
      <c r="B103" s="51"/>
      <c r="C103" s="44" t="s">
        <v>80</v>
      </c>
      <c r="D103" s="35"/>
      <c r="E103" s="45">
        <v>336046</v>
      </c>
      <c r="F103" s="45"/>
      <c r="G103" s="45">
        <v>1322302</v>
      </c>
      <c r="H103" s="45"/>
      <c r="I103" s="45">
        <v>260747</v>
      </c>
      <c r="J103" s="45"/>
      <c r="K103" s="45">
        <v>682440</v>
      </c>
      <c r="L103" s="45"/>
      <c r="M103" s="45">
        <v>60524</v>
      </c>
      <c r="N103" s="45"/>
      <c r="O103" s="45">
        <v>0</v>
      </c>
      <c r="P103" s="45"/>
      <c r="Q103" s="45">
        <v>579338</v>
      </c>
      <c r="R103" s="45"/>
      <c r="S103" s="45">
        <f t="shared" si="9"/>
        <v>639862</v>
      </c>
      <c r="T103" s="45"/>
      <c r="U103" s="46">
        <f t="shared" si="10"/>
        <v>0</v>
      </c>
      <c r="V103" s="44">
        <f t="shared" si="11"/>
        <v>0</v>
      </c>
    </row>
    <row r="104" spans="1:22" s="44" customFormat="1" ht="12.75" customHeight="1">
      <c r="A104" s="46" t="s">
        <v>130</v>
      </c>
      <c r="B104" s="46"/>
      <c r="C104" s="46" t="s">
        <v>66</v>
      </c>
      <c r="D104" s="64"/>
      <c r="E104" s="45">
        <v>5806095</v>
      </c>
      <c r="F104" s="45"/>
      <c r="G104" s="45">
        <v>11752482</v>
      </c>
      <c r="H104" s="45"/>
      <c r="I104" s="45">
        <v>2789576</v>
      </c>
      <c r="J104" s="45"/>
      <c r="K104" s="45">
        <v>3468303</v>
      </c>
      <c r="L104" s="45"/>
      <c r="M104" s="45">
        <v>808268</v>
      </c>
      <c r="N104" s="45"/>
      <c r="O104" s="45">
        <v>0</v>
      </c>
      <c r="P104" s="45"/>
      <c r="Q104" s="45">
        <v>7475911</v>
      </c>
      <c r="R104" s="45"/>
      <c r="S104" s="45">
        <f t="shared" si="9"/>
        <v>8284179</v>
      </c>
      <c r="T104" s="45"/>
      <c r="U104" s="46">
        <f t="shared" si="10"/>
        <v>0</v>
      </c>
      <c r="V104" s="44">
        <f t="shared" si="11"/>
        <v>0</v>
      </c>
    </row>
    <row r="105" spans="1:22" s="44" customFormat="1" ht="12.75" customHeight="1">
      <c r="A105" s="44" t="s">
        <v>131</v>
      </c>
      <c r="B105" s="51"/>
      <c r="C105" s="44" t="s">
        <v>13</v>
      </c>
      <c r="D105" s="35"/>
      <c r="E105" s="45">
        <v>9436729</v>
      </c>
      <c r="F105" s="45"/>
      <c r="G105" s="45">
        <v>19404193</v>
      </c>
      <c r="H105" s="45"/>
      <c r="I105" s="45">
        <v>6677417</v>
      </c>
      <c r="J105" s="45"/>
      <c r="K105" s="45">
        <v>7311124</v>
      </c>
      <c r="L105" s="45"/>
      <c r="M105" s="45">
        <v>371479</v>
      </c>
      <c r="N105" s="45"/>
      <c r="O105" s="45">
        <v>0</v>
      </c>
      <c r="P105" s="45"/>
      <c r="Q105" s="45">
        <v>11721590</v>
      </c>
      <c r="R105" s="45"/>
      <c r="S105" s="45">
        <f t="shared" si="9"/>
        <v>12093069</v>
      </c>
      <c r="T105" s="45"/>
      <c r="U105" s="46">
        <f t="shared" si="10"/>
        <v>0</v>
      </c>
      <c r="V105" s="44">
        <f t="shared" si="11"/>
        <v>0</v>
      </c>
    </row>
    <row r="106" spans="1:22" s="44" customFormat="1" ht="12.75" customHeight="1">
      <c r="A106" s="44" t="s">
        <v>38</v>
      </c>
      <c r="B106" s="51"/>
      <c r="C106" s="44" t="s">
        <v>132</v>
      </c>
      <c r="D106" s="35"/>
      <c r="E106" s="45">
        <v>481838</v>
      </c>
      <c r="F106" s="45"/>
      <c r="G106" s="45">
        <v>1527378</v>
      </c>
      <c r="H106" s="45"/>
      <c r="I106" s="45">
        <v>694364</v>
      </c>
      <c r="J106" s="45"/>
      <c r="K106" s="45">
        <v>909515</v>
      </c>
      <c r="L106" s="45"/>
      <c r="M106" s="45">
        <v>36985</v>
      </c>
      <c r="N106" s="45"/>
      <c r="O106" s="45">
        <v>0</v>
      </c>
      <c r="P106" s="45"/>
      <c r="Q106" s="45">
        <v>580878</v>
      </c>
      <c r="R106" s="45"/>
      <c r="S106" s="45">
        <f t="shared" si="9"/>
        <v>617863</v>
      </c>
      <c r="T106" s="45"/>
      <c r="U106" s="46">
        <f t="shared" si="10"/>
        <v>0</v>
      </c>
      <c r="V106" s="44">
        <f t="shared" si="11"/>
        <v>0</v>
      </c>
    </row>
    <row r="107" spans="1:22" s="44" customFormat="1" ht="12.75" customHeight="1">
      <c r="A107" s="44" t="s">
        <v>133</v>
      </c>
      <c r="B107" s="51"/>
      <c r="C107" s="44" t="s">
        <v>27</v>
      </c>
      <c r="D107" s="35"/>
      <c r="E107" s="45">
        <v>2037235</v>
      </c>
      <c r="F107" s="45"/>
      <c r="G107" s="45">
        <v>14376819</v>
      </c>
      <c r="H107" s="45"/>
      <c r="I107" s="45">
        <v>2355895</v>
      </c>
      <c r="J107" s="45"/>
      <c r="K107" s="45">
        <v>3456551</v>
      </c>
      <c r="L107" s="45"/>
      <c r="M107" s="45">
        <v>689909</v>
      </c>
      <c r="N107" s="45"/>
      <c r="O107" s="45">
        <v>0</v>
      </c>
      <c r="P107" s="45"/>
      <c r="Q107" s="45">
        <v>10230359</v>
      </c>
      <c r="R107" s="45"/>
      <c r="S107" s="45">
        <f t="shared" si="9"/>
        <v>10920268</v>
      </c>
      <c r="T107" s="45"/>
      <c r="U107" s="46">
        <f t="shared" si="10"/>
        <v>0</v>
      </c>
      <c r="V107" s="44">
        <f t="shared" si="11"/>
        <v>0</v>
      </c>
    </row>
    <row r="108" spans="1:22" s="44" customFormat="1" ht="12.75" customHeight="1">
      <c r="A108" s="44" t="s">
        <v>483</v>
      </c>
      <c r="B108" s="51"/>
      <c r="C108" s="44" t="s">
        <v>45</v>
      </c>
      <c r="D108" s="35"/>
      <c r="E108" s="45">
        <v>2051646</v>
      </c>
      <c r="F108" s="45"/>
      <c r="G108" s="45">
        <v>3390473</v>
      </c>
      <c r="H108" s="45"/>
      <c r="I108" s="45">
        <v>920134</v>
      </c>
      <c r="J108" s="45"/>
      <c r="K108" s="45">
        <v>1262023</v>
      </c>
      <c r="L108" s="45"/>
      <c r="M108" s="45">
        <v>204609</v>
      </c>
      <c r="N108" s="45"/>
      <c r="O108" s="45">
        <v>0</v>
      </c>
      <c r="P108" s="45"/>
      <c r="Q108" s="45">
        <v>1923841</v>
      </c>
      <c r="R108" s="45"/>
      <c r="S108" s="45">
        <f t="shared" si="9"/>
        <v>2128450</v>
      </c>
      <c r="T108" s="45"/>
      <c r="U108" s="46">
        <f t="shared" si="10"/>
        <v>0</v>
      </c>
      <c r="V108" s="44">
        <f t="shared" si="11"/>
        <v>0</v>
      </c>
    </row>
    <row r="109" spans="1:22" s="44" customFormat="1" ht="12.75" customHeight="1">
      <c r="A109" s="44" t="s">
        <v>134</v>
      </c>
      <c r="B109" s="51"/>
      <c r="C109" s="44" t="s">
        <v>135</v>
      </c>
      <c r="D109" s="35"/>
      <c r="E109" s="45">
        <v>1066872</v>
      </c>
      <c r="F109" s="45"/>
      <c r="G109" s="45">
        <v>2373707</v>
      </c>
      <c r="H109" s="45"/>
      <c r="I109" s="45">
        <v>784068</v>
      </c>
      <c r="J109" s="45"/>
      <c r="K109" s="45">
        <v>1111671</v>
      </c>
      <c r="L109" s="45"/>
      <c r="M109" s="45">
        <v>22444</v>
      </c>
      <c r="N109" s="45"/>
      <c r="O109" s="45">
        <v>0</v>
      </c>
      <c r="P109" s="45"/>
      <c r="Q109" s="45">
        <v>1239592</v>
      </c>
      <c r="R109" s="45"/>
      <c r="S109" s="45">
        <f t="shared" si="9"/>
        <v>1262036</v>
      </c>
      <c r="T109" s="45"/>
      <c r="U109" s="46">
        <f t="shared" si="10"/>
        <v>0</v>
      </c>
      <c r="V109" s="44">
        <f t="shared" si="11"/>
        <v>0</v>
      </c>
    </row>
    <row r="110" spans="1:22" s="44" customFormat="1" ht="12.75" customHeight="1">
      <c r="A110" s="44" t="s">
        <v>136</v>
      </c>
      <c r="C110" s="44" t="s">
        <v>136</v>
      </c>
      <c r="D110" s="35"/>
      <c r="E110" s="45">
        <v>2017752</v>
      </c>
      <c r="F110" s="45"/>
      <c r="G110" s="45">
        <v>3309990</v>
      </c>
      <c r="H110" s="45"/>
      <c r="I110" s="45">
        <v>422270</v>
      </c>
      <c r="J110" s="45"/>
      <c r="K110" s="45">
        <v>579043</v>
      </c>
      <c r="L110" s="45"/>
      <c r="M110" s="45">
        <v>67175</v>
      </c>
      <c r="N110" s="45"/>
      <c r="O110" s="45">
        <v>0</v>
      </c>
      <c r="P110" s="45"/>
      <c r="Q110" s="45">
        <v>2663772</v>
      </c>
      <c r="R110" s="45"/>
      <c r="S110" s="45">
        <f t="shared" si="9"/>
        <v>2730947</v>
      </c>
      <c r="T110" s="45"/>
      <c r="U110" s="46">
        <f t="shared" si="10"/>
        <v>0</v>
      </c>
      <c r="V110" s="44">
        <f t="shared" si="11"/>
        <v>0</v>
      </c>
    </row>
    <row r="111" spans="1:22" s="44" customFormat="1" ht="12.75" customHeight="1">
      <c r="A111" s="44" t="s">
        <v>137</v>
      </c>
      <c r="C111" s="44" t="s">
        <v>22</v>
      </c>
      <c r="D111" s="35"/>
      <c r="E111" s="45">
        <v>8937263</v>
      </c>
      <c r="F111" s="45"/>
      <c r="G111" s="45">
        <v>13018571</v>
      </c>
      <c r="H111" s="45"/>
      <c r="I111" s="45">
        <v>2338208</v>
      </c>
      <c r="J111" s="45"/>
      <c r="K111" s="45">
        <v>2927657</v>
      </c>
      <c r="L111" s="45"/>
      <c r="M111" s="45">
        <f>542972+14766+65353</f>
        <v>623091</v>
      </c>
      <c r="N111" s="45"/>
      <c r="O111" s="45">
        <v>0</v>
      </c>
      <c r="P111" s="45"/>
      <c r="Q111" s="45">
        <v>9467823</v>
      </c>
      <c r="R111" s="45"/>
      <c r="S111" s="45">
        <f t="shared" si="9"/>
        <v>10090914</v>
      </c>
      <c r="T111" s="45"/>
      <c r="U111" s="46">
        <f t="shared" si="10"/>
        <v>0</v>
      </c>
      <c r="V111" s="44">
        <f t="shared" si="11"/>
        <v>0</v>
      </c>
    </row>
    <row r="112" spans="1:22" s="137" customFormat="1" ht="12.75" hidden="1" customHeight="1">
      <c r="A112" s="137" t="s">
        <v>138</v>
      </c>
      <c r="B112" s="140"/>
      <c r="C112" s="137" t="s">
        <v>139</v>
      </c>
      <c r="D112" s="142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>
        <f t="shared" si="9"/>
        <v>0</v>
      </c>
      <c r="T112" s="143"/>
      <c r="U112" s="139">
        <f t="shared" si="10"/>
        <v>0</v>
      </c>
      <c r="V112" s="137">
        <f t="shared" si="11"/>
        <v>0</v>
      </c>
    </row>
    <row r="113" spans="1:22" s="44" customFormat="1" ht="12.75" customHeight="1">
      <c r="A113" s="44" t="s">
        <v>140</v>
      </c>
      <c r="B113" s="51"/>
      <c r="C113" s="44" t="s">
        <v>66</v>
      </c>
      <c r="D113" s="35"/>
      <c r="E113" s="45">
        <v>32004432</v>
      </c>
      <c r="F113" s="45"/>
      <c r="G113" s="45">
        <v>47341961</v>
      </c>
      <c r="H113" s="45"/>
      <c r="I113" s="45">
        <v>11573067</v>
      </c>
      <c r="J113" s="45"/>
      <c r="K113" s="45">
        <v>14506197</v>
      </c>
      <c r="L113" s="45"/>
      <c r="M113" s="45">
        <v>1309942</v>
      </c>
      <c r="N113" s="45"/>
      <c r="O113" s="45">
        <v>0</v>
      </c>
      <c r="P113" s="45"/>
      <c r="Q113" s="45">
        <v>31525822</v>
      </c>
      <c r="R113" s="45"/>
      <c r="S113" s="45">
        <f t="shared" si="9"/>
        <v>32835764</v>
      </c>
      <c r="T113" s="45"/>
      <c r="U113" s="46">
        <f t="shared" si="10"/>
        <v>0</v>
      </c>
      <c r="V113" s="44">
        <f t="shared" si="11"/>
        <v>0</v>
      </c>
    </row>
    <row r="114" spans="1:22" s="44" customFormat="1" ht="12.75" customHeight="1">
      <c r="A114" s="44" t="s">
        <v>479</v>
      </c>
      <c r="B114" s="51"/>
      <c r="C114" s="44" t="s">
        <v>92</v>
      </c>
      <c r="D114" s="35"/>
      <c r="E114" s="45">
        <v>247345</v>
      </c>
      <c r="F114" s="45"/>
      <c r="G114" s="45">
        <v>2151122</v>
      </c>
      <c r="H114" s="45"/>
      <c r="I114" s="45">
        <v>1517907</v>
      </c>
      <c r="J114" s="45"/>
      <c r="K114" s="45">
        <v>1870107</v>
      </c>
      <c r="L114" s="45"/>
      <c r="M114" s="45">
        <v>33189</v>
      </c>
      <c r="N114" s="45"/>
      <c r="O114" s="45">
        <v>0</v>
      </c>
      <c r="P114" s="45"/>
      <c r="Q114" s="45">
        <v>247826</v>
      </c>
      <c r="R114" s="45"/>
      <c r="S114" s="45">
        <f t="shared" si="9"/>
        <v>281015</v>
      </c>
      <c r="T114" s="45"/>
      <c r="U114" s="46">
        <f t="shared" si="10"/>
        <v>0</v>
      </c>
      <c r="V114" s="44">
        <f t="shared" si="11"/>
        <v>0</v>
      </c>
    </row>
    <row r="115" spans="1:22" s="46" customFormat="1" ht="12.75" customHeight="1">
      <c r="A115" s="44" t="s">
        <v>141</v>
      </c>
      <c r="B115" s="44"/>
      <c r="C115" s="44" t="s">
        <v>27</v>
      </c>
      <c r="D115" s="35"/>
      <c r="E115" s="45">
        <v>193072</v>
      </c>
      <c r="F115" s="45"/>
      <c r="G115" s="45">
        <v>18368264</v>
      </c>
      <c r="H115" s="45"/>
      <c r="I115" s="45">
        <v>13922974</v>
      </c>
      <c r="J115" s="45"/>
      <c r="K115" s="45">
        <v>16312091</v>
      </c>
      <c r="L115" s="45"/>
      <c r="M115" s="45">
        <v>69864</v>
      </c>
      <c r="N115" s="45"/>
      <c r="O115" s="45">
        <v>0</v>
      </c>
      <c r="P115" s="45"/>
      <c r="Q115" s="45">
        <v>1986309</v>
      </c>
      <c r="R115" s="45"/>
      <c r="S115" s="45">
        <f t="shared" si="9"/>
        <v>2056173</v>
      </c>
      <c r="T115" s="45"/>
      <c r="U115" s="46">
        <f t="shared" si="10"/>
        <v>0</v>
      </c>
      <c r="V115" s="44">
        <f t="shared" si="11"/>
        <v>0</v>
      </c>
    </row>
    <row r="116" spans="1:22" s="44" customFormat="1" ht="12.75" customHeight="1">
      <c r="A116" s="44" t="s">
        <v>142</v>
      </c>
      <c r="B116" s="51"/>
      <c r="C116" s="44" t="s">
        <v>102</v>
      </c>
      <c r="D116" s="35"/>
      <c r="E116" s="45">
        <v>2879878</v>
      </c>
      <c r="F116" s="45"/>
      <c r="G116" s="45">
        <v>9636926</v>
      </c>
      <c r="H116" s="45"/>
      <c r="I116" s="45">
        <v>4190975</v>
      </c>
      <c r="J116" s="45"/>
      <c r="K116" s="45">
        <v>5586021</v>
      </c>
      <c r="L116" s="45"/>
      <c r="M116" s="45">
        <v>290959</v>
      </c>
      <c r="N116" s="45"/>
      <c r="O116" s="45">
        <v>0</v>
      </c>
      <c r="P116" s="45"/>
      <c r="Q116" s="45">
        <v>3759946</v>
      </c>
      <c r="R116" s="45"/>
      <c r="S116" s="45">
        <f>+Q116+O116+M116</f>
        <v>4050905</v>
      </c>
      <c r="T116" s="45"/>
      <c r="U116" s="46">
        <f t="shared" si="10"/>
        <v>0</v>
      </c>
      <c r="V116" s="44">
        <f t="shared" si="11"/>
        <v>0</v>
      </c>
    </row>
    <row r="117" spans="1:22" s="44" customFormat="1" ht="12.75" customHeight="1">
      <c r="A117" s="44" t="s">
        <v>143</v>
      </c>
      <c r="B117" s="51"/>
      <c r="C117" s="44" t="s">
        <v>111</v>
      </c>
      <c r="D117" s="35"/>
      <c r="E117" s="45">
        <v>3029266</v>
      </c>
      <c r="F117" s="45"/>
      <c r="G117" s="45">
        <v>7151017</v>
      </c>
      <c r="H117" s="45"/>
      <c r="I117" s="45">
        <v>2109072</v>
      </c>
      <c r="J117" s="45"/>
      <c r="K117" s="45">
        <v>2545320</v>
      </c>
      <c r="L117" s="45"/>
      <c r="M117" s="45">
        <v>1586780</v>
      </c>
      <c r="N117" s="45"/>
      <c r="O117" s="45">
        <v>0</v>
      </c>
      <c r="P117" s="45"/>
      <c r="Q117" s="45">
        <v>3018917</v>
      </c>
      <c r="R117" s="45"/>
      <c r="S117" s="45">
        <f>+Q117+O117+M117</f>
        <v>4605697</v>
      </c>
      <c r="T117" s="45"/>
      <c r="U117" s="46">
        <f t="shared" si="10"/>
        <v>0</v>
      </c>
      <c r="V117" s="44">
        <f t="shared" si="11"/>
        <v>0</v>
      </c>
    </row>
    <row r="118" spans="1:22" s="44" customFormat="1" ht="12.75" customHeight="1">
      <c r="A118" s="44" t="s">
        <v>144</v>
      </c>
      <c r="B118" s="51"/>
      <c r="C118" s="44" t="s">
        <v>88</v>
      </c>
      <c r="D118" s="35"/>
      <c r="E118" s="45">
        <v>1643755</v>
      </c>
      <c r="F118" s="45"/>
      <c r="G118" s="45">
        <v>9635932</v>
      </c>
      <c r="H118" s="45"/>
      <c r="I118" s="45">
        <v>4107350</v>
      </c>
      <c r="J118" s="45"/>
      <c r="K118" s="45">
        <v>5782394</v>
      </c>
      <c r="L118" s="45"/>
      <c r="M118" s="45">
        <v>366104</v>
      </c>
      <c r="N118" s="45"/>
      <c r="O118" s="45">
        <v>0</v>
      </c>
      <c r="P118" s="45"/>
      <c r="Q118" s="45">
        <v>3487434</v>
      </c>
      <c r="R118" s="45"/>
      <c r="S118" s="45">
        <f t="shared" si="9"/>
        <v>3853538</v>
      </c>
      <c r="T118" s="45"/>
      <c r="U118" s="46">
        <f t="shared" si="10"/>
        <v>0</v>
      </c>
      <c r="V118" s="44">
        <f t="shared" si="11"/>
        <v>0</v>
      </c>
    </row>
    <row r="119" spans="1:22" s="44" customFormat="1" ht="12.75" customHeight="1">
      <c r="A119" s="44" t="s">
        <v>36</v>
      </c>
      <c r="B119" s="51"/>
      <c r="C119" s="44" t="s">
        <v>145</v>
      </c>
      <c r="D119" s="35"/>
      <c r="E119" s="45">
        <v>1056964</v>
      </c>
      <c r="F119" s="45"/>
      <c r="G119" s="45">
        <v>1916049</v>
      </c>
      <c r="H119" s="45"/>
      <c r="I119" s="45">
        <v>504316</v>
      </c>
      <c r="J119" s="45"/>
      <c r="K119" s="45">
        <v>748093</v>
      </c>
      <c r="L119" s="45"/>
      <c r="M119" s="45">
        <v>2436</v>
      </c>
      <c r="N119" s="45"/>
      <c r="O119" s="45">
        <v>0</v>
      </c>
      <c r="P119" s="45"/>
      <c r="Q119" s="45">
        <v>1165520</v>
      </c>
      <c r="R119" s="45"/>
      <c r="S119" s="45">
        <f t="shared" si="9"/>
        <v>1167956</v>
      </c>
      <c r="T119" s="45"/>
      <c r="U119" s="46">
        <f t="shared" si="10"/>
        <v>0</v>
      </c>
      <c r="V119" s="44">
        <f t="shared" si="11"/>
        <v>0</v>
      </c>
    </row>
    <row r="120" spans="1:22" s="44" customFormat="1" ht="12.75" customHeight="1">
      <c r="A120" s="44" t="s">
        <v>146</v>
      </c>
      <c r="B120" s="51"/>
      <c r="C120" s="44" t="s">
        <v>147</v>
      </c>
      <c r="D120" s="35"/>
      <c r="E120" s="45">
        <v>901780</v>
      </c>
      <c r="F120" s="45"/>
      <c r="G120" s="45">
        <v>2849819</v>
      </c>
      <c r="H120" s="45"/>
      <c r="I120" s="45">
        <v>1208279</v>
      </c>
      <c r="J120" s="45"/>
      <c r="K120" s="45">
        <v>1550107</v>
      </c>
      <c r="L120" s="45"/>
      <c r="M120" s="45">
        <v>50369</v>
      </c>
      <c r="N120" s="45"/>
      <c r="O120" s="45">
        <v>0</v>
      </c>
      <c r="P120" s="45"/>
      <c r="Q120" s="45">
        <v>1249343</v>
      </c>
      <c r="R120" s="45"/>
      <c r="S120" s="45">
        <f t="shared" si="9"/>
        <v>1299712</v>
      </c>
      <c r="T120" s="45"/>
      <c r="U120" s="46">
        <f t="shared" si="10"/>
        <v>0</v>
      </c>
      <c r="V120" s="44">
        <f t="shared" si="11"/>
        <v>0</v>
      </c>
    </row>
    <row r="121" spans="1:22" s="44" customFormat="1" ht="12.75" customHeight="1">
      <c r="A121" s="44" t="s">
        <v>17</v>
      </c>
      <c r="B121" s="51"/>
      <c r="C121" s="44" t="s">
        <v>17</v>
      </c>
      <c r="D121" s="35"/>
      <c r="E121" s="45">
        <f>42138+525000</f>
        <v>567138</v>
      </c>
      <c r="F121" s="45"/>
      <c r="G121" s="45">
        <v>9128345</v>
      </c>
      <c r="H121" s="45"/>
      <c r="I121" s="45">
        <v>5334642</v>
      </c>
      <c r="J121" s="45"/>
      <c r="K121" s="45">
        <v>7827676</v>
      </c>
      <c r="L121" s="45"/>
      <c r="M121" s="45">
        <f>687255+525000</f>
        <v>1212255</v>
      </c>
      <c r="N121" s="45"/>
      <c r="O121" s="45">
        <v>0</v>
      </c>
      <c r="P121" s="45"/>
      <c r="Q121" s="45">
        <v>88414</v>
      </c>
      <c r="R121" s="45"/>
      <c r="S121" s="45">
        <f t="shared" si="9"/>
        <v>1300669</v>
      </c>
      <c r="T121" s="45"/>
      <c r="U121" s="46">
        <f t="shared" si="10"/>
        <v>0</v>
      </c>
      <c r="V121" s="44">
        <f t="shared" si="11"/>
        <v>0</v>
      </c>
    </row>
    <row r="122" spans="1:22" s="46" customFormat="1" ht="12.75" customHeight="1">
      <c r="A122" s="46" t="s">
        <v>148</v>
      </c>
      <c r="C122" s="46" t="s">
        <v>15</v>
      </c>
      <c r="D122" s="64"/>
      <c r="E122" s="45">
        <v>1420537</v>
      </c>
      <c r="F122" s="45"/>
      <c r="G122" s="45">
        <v>2701243</v>
      </c>
      <c r="H122" s="45"/>
      <c r="I122" s="45">
        <v>727745</v>
      </c>
      <c r="J122" s="45"/>
      <c r="K122" s="45">
        <v>864843</v>
      </c>
      <c r="L122" s="45"/>
      <c r="M122" s="45">
        <v>72746</v>
      </c>
      <c r="N122" s="45"/>
      <c r="O122" s="45">
        <v>0</v>
      </c>
      <c r="P122" s="45"/>
      <c r="Q122" s="45">
        <v>1763654</v>
      </c>
      <c r="R122" s="45"/>
      <c r="S122" s="45">
        <f t="shared" si="9"/>
        <v>1836400</v>
      </c>
      <c r="T122" s="45"/>
      <c r="U122" s="46">
        <f t="shared" si="10"/>
        <v>0</v>
      </c>
      <c r="V122" s="44">
        <f t="shared" si="11"/>
        <v>0</v>
      </c>
    </row>
    <row r="123" spans="1:22" s="44" customFormat="1" ht="12.75" customHeight="1">
      <c r="A123" s="44" t="s">
        <v>149</v>
      </c>
      <c r="B123" s="51"/>
      <c r="C123" s="44" t="s">
        <v>45</v>
      </c>
      <c r="D123" s="35"/>
      <c r="E123" s="45">
        <v>0</v>
      </c>
      <c r="F123" s="45"/>
      <c r="G123" s="45">
        <v>1229675</v>
      </c>
      <c r="H123" s="45"/>
      <c r="I123" s="45">
        <v>1071476</v>
      </c>
      <c r="J123" s="45"/>
      <c r="K123" s="45">
        <v>1314186</v>
      </c>
      <c r="L123" s="45"/>
      <c r="M123" s="45">
        <f>16054+1939</f>
        <v>17993</v>
      </c>
      <c r="N123" s="45"/>
      <c r="O123" s="45">
        <v>0</v>
      </c>
      <c r="P123" s="45"/>
      <c r="Q123" s="45">
        <v>-102504</v>
      </c>
      <c r="R123" s="45"/>
      <c r="S123" s="45">
        <f t="shared" si="9"/>
        <v>-84511</v>
      </c>
      <c r="T123" s="45"/>
      <c r="U123" s="46">
        <f t="shared" si="10"/>
        <v>0</v>
      </c>
      <c r="V123" s="44">
        <f t="shared" si="11"/>
        <v>0</v>
      </c>
    </row>
    <row r="124" spans="1:22" s="46" customFormat="1" ht="12.75" customHeight="1">
      <c r="A124" s="44" t="s">
        <v>150</v>
      </c>
      <c r="B124" s="51"/>
      <c r="C124" s="44" t="s">
        <v>27</v>
      </c>
      <c r="D124" s="35"/>
      <c r="E124" s="45">
        <f>2343303+817870</f>
        <v>3161173</v>
      </c>
      <c r="F124" s="45"/>
      <c r="G124" s="45">
        <v>10188971</v>
      </c>
      <c r="H124" s="45"/>
      <c r="I124" s="45">
        <v>5294758</v>
      </c>
      <c r="J124" s="45"/>
      <c r="K124" s="45">
        <v>5887674</v>
      </c>
      <c r="L124" s="45"/>
      <c r="M124" s="45">
        <f>180891+115860+28117</f>
        <v>324868</v>
      </c>
      <c r="N124" s="45"/>
      <c r="O124" s="45">
        <v>0</v>
      </c>
      <c r="P124" s="45"/>
      <c r="Q124" s="45">
        <v>3976429</v>
      </c>
      <c r="R124" s="45"/>
      <c r="S124" s="45">
        <f t="shared" si="9"/>
        <v>4301297</v>
      </c>
      <c r="T124" s="45"/>
      <c r="U124" s="46">
        <f t="shared" si="10"/>
        <v>0</v>
      </c>
      <c r="V124" s="44">
        <f t="shared" si="11"/>
        <v>0</v>
      </c>
    </row>
    <row r="125" spans="1:22" s="44" customFormat="1" ht="12.75" customHeight="1">
      <c r="A125" s="44" t="s">
        <v>151</v>
      </c>
      <c r="C125" s="44" t="s">
        <v>13</v>
      </c>
      <c r="D125" s="35"/>
      <c r="E125" s="45">
        <v>863696</v>
      </c>
      <c r="F125" s="45"/>
      <c r="G125" s="45">
        <v>4859336</v>
      </c>
      <c r="H125" s="45"/>
      <c r="I125" s="45">
        <v>2628296</v>
      </c>
      <c r="J125" s="45"/>
      <c r="K125" s="45">
        <v>3272366</v>
      </c>
      <c r="L125" s="45"/>
      <c r="M125" s="45">
        <v>100754</v>
      </c>
      <c r="N125" s="45"/>
      <c r="O125" s="45">
        <v>0</v>
      </c>
      <c r="P125" s="45"/>
      <c r="Q125" s="45">
        <v>1486216</v>
      </c>
      <c r="R125" s="45"/>
      <c r="S125" s="45">
        <f t="shared" si="9"/>
        <v>1586970</v>
      </c>
      <c r="T125" s="45"/>
      <c r="U125" s="46">
        <f t="shared" si="10"/>
        <v>0</v>
      </c>
      <c r="V125" s="44">
        <f t="shared" si="11"/>
        <v>0</v>
      </c>
    </row>
    <row r="126" spans="1:22" s="44" customFormat="1" ht="12.75" customHeight="1">
      <c r="A126" s="44" t="s">
        <v>482</v>
      </c>
      <c r="C126" s="44" t="s">
        <v>45</v>
      </c>
      <c r="D126" s="35"/>
      <c r="E126" s="45">
        <v>1971687</v>
      </c>
      <c r="F126" s="45"/>
      <c r="G126" s="45">
        <v>5608902</v>
      </c>
      <c r="H126" s="45"/>
      <c r="I126" s="45">
        <v>2898285</v>
      </c>
      <c r="J126" s="45"/>
      <c r="K126" s="45">
        <v>3141824</v>
      </c>
      <c r="L126" s="45"/>
      <c r="M126" s="45">
        <v>0</v>
      </c>
      <c r="N126" s="45"/>
      <c r="O126" s="45">
        <v>0</v>
      </c>
      <c r="P126" s="45"/>
      <c r="Q126" s="45">
        <v>2467078</v>
      </c>
      <c r="R126" s="45"/>
      <c r="S126" s="45">
        <f t="shared" si="9"/>
        <v>2467078</v>
      </c>
      <c r="T126" s="45"/>
      <c r="U126" s="46">
        <f t="shared" si="10"/>
        <v>0</v>
      </c>
      <c r="V126" s="44">
        <f t="shared" si="11"/>
        <v>0</v>
      </c>
    </row>
    <row r="127" spans="1:22" s="46" customFormat="1" ht="12.75" customHeight="1">
      <c r="A127" s="44" t="s">
        <v>152</v>
      </c>
      <c r="B127" s="51"/>
      <c r="C127" s="44" t="s">
        <v>153</v>
      </c>
      <c r="D127" s="35"/>
      <c r="E127" s="45">
        <v>1651663</v>
      </c>
      <c r="F127" s="45"/>
      <c r="G127" s="45">
        <v>7167842</v>
      </c>
      <c r="H127" s="45"/>
      <c r="I127" s="45">
        <v>3514768</v>
      </c>
      <c r="J127" s="45"/>
      <c r="K127" s="45">
        <v>5659340</v>
      </c>
      <c r="L127" s="45"/>
      <c r="M127" s="45">
        <v>1143234</v>
      </c>
      <c r="N127" s="45"/>
      <c r="O127" s="45">
        <v>0</v>
      </c>
      <c r="P127" s="45"/>
      <c r="Q127" s="45">
        <v>365268</v>
      </c>
      <c r="R127" s="45"/>
      <c r="S127" s="45">
        <f t="shared" si="9"/>
        <v>1508502</v>
      </c>
      <c r="T127" s="45"/>
      <c r="U127" s="46">
        <f t="shared" si="10"/>
        <v>0</v>
      </c>
      <c r="V127" s="44">
        <f t="shared" si="11"/>
        <v>0</v>
      </c>
    </row>
    <row r="128" spans="1:22" s="137" customFormat="1" ht="12.75" hidden="1" customHeight="1">
      <c r="A128" s="137" t="s">
        <v>154</v>
      </c>
      <c r="B128" s="140"/>
      <c r="C128" s="137" t="s">
        <v>27</v>
      </c>
      <c r="D128" s="142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>
        <f t="shared" si="9"/>
        <v>0</v>
      </c>
      <c r="T128" s="143"/>
      <c r="U128" s="139">
        <f t="shared" si="10"/>
        <v>0</v>
      </c>
      <c r="V128" s="137">
        <f t="shared" si="11"/>
        <v>0</v>
      </c>
    </row>
    <row r="129" spans="1:22" s="44" customFormat="1" ht="12.75" customHeight="1">
      <c r="A129" s="44" t="s">
        <v>155</v>
      </c>
      <c r="C129" s="44" t="s">
        <v>40</v>
      </c>
      <c r="D129" s="35"/>
      <c r="E129" s="45">
        <f>2666894+36194+23666</f>
        <v>2726754</v>
      </c>
      <c r="F129" s="45"/>
      <c r="G129" s="45">
        <v>4859491</v>
      </c>
      <c r="H129" s="45"/>
      <c r="I129" s="45">
        <v>947728</v>
      </c>
      <c r="J129" s="45"/>
      <c r="K129" s="45">
        <v>1959850</v>
      </c>
      <c r="L129" s="45"/>
      <c r="M129" s="45">
        <f>106358+23666</f>
        <v>130024</v>
      </c>
      <c r="N129" s="45"/>
      <c r="O129" s="45">
        <v>0</v>
      </c>
      <c r="P129" s="45"/>
      <c r="Q129" s="45">
        <v>2769617</v>
      </c>
      <c r="R129" s="45"/>
      <c r="S129" s="45">
        <f t="shared" si="9"/>
        <v>2899641</v>
      </c>
      <c r="T129" s="45"/>
      <c r="U129" s="46">
        <f t="shared" si="10"/>
        <v>0</v>
      </c>
      <c r="V129" s="44">
        <f t="shared" si="11"/>
        <v>0</v>
      </c>
    </row>
    <row r="130" spans="1:22" s="44" customFormat="1" ht="12.75" customHeight="1">
      <c r="A130" s="44" t="s">
        <v>156</v>
      </c>
      <c r="B130" s="51"/>
      <c r="C130" s="44" t="s">
        <v>156</v>
      </c>
      <c r="D130" s="35"/>
      <c r="E130" s="45">
        <v>3608638</v>
      </c>
      <c r="F130" s="45"/>
      <c r="G130" s="45">
        <v>10321845</v>
      </c>
      <c r="H130" s="45"/>
      <c r="I130" s="45">
        <v>4653143</v>
      </c>
      <c r="J130" s="45"/>
      <c r="K130" s="45">
        <v>6215921</v>
      </c>
      <c r="L130" s="45"/>
      <c r="M130" s="45">
        <v>84424</v>
      </c>
      <c r="N130" s="45"/>
      <c r="O130" s="45">
        <v>0</v>
      </c>
      <c r="P130" s="45"/>
      <c r="Q130" s="45">
        <v>4021500</v>
      </c>
      <c r="R130" s="45"/>
      <c r="S130" s="45">
        <f t="shared" si="9"/>
        <v>4105924</v>
      </c>
      <c r="T130" s="45"/>
      <c r="U130" s="46">
        <f t="shared" si="10"/>
        <v>0</v>
      </c>
      <c r="V130" s="44">
        <f t="shared" si="11"/>
        <v>0</v>
      </c>
    </row>
    <row r="131" spans="1:22" s="44" customFormat="1" ht="12.75" customHeight="1">
      <c r="A131" s="44" t="s">
        <v>157</v>
      </c>
      <c r="B131" s="51"/>
      <c r="C131" s="44" t="s">
        <v>33</v>
      </c>
      <c r="D131" s="35"/>
      <c r="E131" s="45">
        <v>1053365</v>
      </c>
      <c r="F131" s="45"/>
      <c r="G131" s="45">
        <v>1374435</v>
      </c>
      <c r="H131" s="45"/>
      <c r="I131" s="45">
        <v>884947</v>
      </c>
      <c r="J131" s="45"/>
      <c r="K131" s="45">
        <v>1009607</v>
      </c>
      <c r="L131" s="45"/>
      <c r="M131" s="45">
        <v>68180</v>
      </c>
      <c r="N131" s="45"/>
      <c r="O131" s="45">
        <v>296648</v>
      </c>
      <c r="P131" s="45"/>
      <c r="Q131" s="45">
        <v>0</v>
      </c>
      <c r="R131" s="45"/>
      <c r="S131" s="45">
        <f t="shared" si="9"/>
        <v>364828</v>
      </c>
      <c r="T131" s="45"/>
      <c r="U131" s="46">
        <f t="shared" si="10"/>
        <v>0</v>
      </c>
      <c r="V131" s="44">
        <f t="shared" si="11"/>
        <v>0</v>
      </c>
    </row>
    <row r="132" spans="1:22" s="44" customFormat="1" ht="12.75" customHeight="1">
      <c r="A132" s="44" t="s">
        <v>158</v>
      </c>
      <c r="B132" s="51"/>
      <c r="C132" s="44" t="s">
        <v>159</v>
      </c>
      <c r="D132" s="35"/>
      <c r="E132" s="45">
        <v>5533313</v>
      </c>
      <c r="F132" s="45"/>
      <c r="G132" s="45">
        <v>9396542</v>
      </c>
      <c r="H132" s="45"/>
      <c r="I132" s="45">
        <v>2672393</v>
      </c>
      <c r="J132" s="45"/>
      <c r="K132" s="45">
        <v>3248231</v>
      </c>
      <c r="L132" s="45"/>
      <c r="M132" s="45">
        <v>663155</v>
      </c>
      <c r="N132" s="45"/>
      <c r="O132" s="45">
        <v>0</v>
      </c>
      <c r="P132" s="45"/>
      <c r="Q132" s="45">
        <v>5485156</v>
      </c>
      <c r="R132" s="45"/>
      <c r="S132" s="45">
        <f t="shared" si="9"/>
        <v>6148311</v>
      </c>
      <c r="T132" s="45"/>
      <c r="U132" s="46">
        <f t="shared" si="10"/>
        <v>0</v>
      </c>
      <c r="V132" s="44">
        <f t="shared" si="11"/>
        <v>0</v>
      </c>
    </row>
    <row r="133" spans="1:22" s="44" customFormat="1" ht="12.75" customHeight="1">
      <c r="B133" s="51"/>
      <c r="D133" s="3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8" t="s">
        <v>485</v>
      </c>
      <c r="T133" s="45"/>
      <c r="U133" s="46"/>
    </row>
    <row r="134" spans="1:22" s="46" customFormat="1" ht="12.75" customHeight="1">
      <c r="A134" s="46" t="s">
        <v>160</v>
      </c>
      <c r="B134" s="66"/>
      <c r="C134" s="46" t="s">
        <v>111</v>
      </c>
      <c r="D134" s="64"/>
      <c r="E134" s="94">
        <v>28537633</v>
      </c>
      <c r="F134" s="94"/>
      <c r="G134" s="94">
        <v>38058226</v>
      </c>
      <c r="H134" s="94"/>
      <c r="I134" s="94">
        <v>4747933</v>
      </c>
      <c r="J134" s="94"/>
      <c r="K134" s="94">
        <v>15323526</v>
      </c>
      <c r="L134" s="94"/>
      <c r="M134" s="94">
        <v>7511771</v>
      </c>
      <c r="N134" s="94"/>
      <c r="O134" s="94">
        <v>15222929</v>
      </c>
      <c r="P134" s="94"/>
      <c r="Q134" s="94">
        <v>0</v>
      </c>
      <c r="R134" s="94"/>
      <c r="S134" s="94">
        <f t="shared" si="9"/>
        <v>22734700</v>
      </c>
      <c r="T134" s="94"/>
      <c r="U134" s="46">
        <f t="shared" si="10"/>
        <v>0</v>
      </c>
      <c r="V134" s="46">
        <f t="shared" si="11"/>
        <v>0</v>
      </c>
    </row>
    <row r="135" spans="1:22" s="44" customFormat="1" ht="12.75" customHeight="1">
      <c r="A135" s="44" t="s">
        <v>161</v>
      </c>
      <c r="C135" s="44" t="s">
        <v>15</v>
      </c>
      <c r="D135" s="35"/>
      <c r="E135" s="45">
        <v>432749</v>
      </c>
      <c r="F135" s="45"/>
      <c r="G135" s="45">
        <v>5049343</v>
      </c>
      <c r="H135" s="45"/>
      <c r="I135" s="45">
        <v>2448749</v>
      </c>
      <c r="J135" s="45"/>
      <c r="K135" s="45">
        <v>3442301</v>
      </c>
      <c r="L135" s="45"/>
      <c r="M135" s="45">
        <v>37296</v>
      </c>
      <c r="N135" s="45"/>
      <c r="O135" s="45">
        <v>0</v>
      </c>
      <c r="P135" s="45"/>
      <c r="Q135" s="45">
        <v>1569746</v>
      </c>
      <c r="R135" s="45"/>
      <c r="S135" s="45">
        <f t="shared" si="9"/>
        <v>1607042</v>
      </c>
      <c r="T135" s="45"/>
      <c r="U135" s="46">
        <f t="shared" si="10"/>
        <v>0</v>
      </c>
      <c r="V135" s="44">
        <f t="shared" si="11"/>
        <v>0</v>
      </c>
    </row>
    <row r="136" spans="1:22" s="44" customFormat="1" ht="12.75" customHeight="1">
      <c r="A136" s="44" t="s">
        <v>162</v>
      </c>
      <c r="B136" s="51"/>
      <c r="C136" s="44" t="s">
        <v>163</v>
      </c>
      <c r="D136" s="35"/>
      <c r="E136" s="45">
        <v>761333</v>
      </c>
      <c r="F136" s="45"/>
      <c r="G136" s="45">
        <v>3601226</v>
      </c>
      <c r="H136" s="45"/>
      <c r="I136" s="45">
        <v>2323365</v>
      </c>
      <c r="J136" s="45"/>
      <c r="K136" s="45">
        <v>3534327</v>
      </c>
      <c r="L136" s="45"/>
      <c r="M136" s="45">
        <v>210647</v>
      </c>
      <c r="N136" s="45"/>
      <c r="O136" s="45">
        <v>0</v>
      </c>
      <c r="P136" s="45"/>
      <c r="Q136" s="45">
        <v>-143748</v>
      </c>
      <c r="R136" s="45"/>
      <c r="S136" s="45">
        <f t="shared" si="9"/>
        <v>66899</v>
      </c>
      <c r="T136" s="45"/>
      <c r="U136" s="46">
        <f t="shared" si="10"/>
        <v>0</v>
      </c>
      <c r="V136" s="44">
        <f t="shared" si="11"/>
        <v>0</v>
      </c>
    </row>
    <row r="137" spans="1:22" s="44" customFormat="1" ht="12.75" customHeight="1">
      <c r="A137" s="44" t="s">
        <v>164</v>
      </c>
      <c r="B137" s="51"/>
      <c r="C137" s="44" t="s">
        <v>27</v>
      </c>
      <c r="D137" s="35"/>
      <c r="E137" s="45">
        <v>8597126</v>
      </c>
      <c r="F137" s="45"/>
      <c r="G137" s="45">
        <v>16024282</v>
      </c>
      <c r="H137" s="45"/>
      <c r="I137" s="45">
        <v>5142656</v>
      </c>
      <c r="J137" s="45"/>
      <c r="K137" s="45">
        <v>6168065</v>
      </c>
      <c r="L137" s="45"/>
      <c r="M137" s="45">
        <v>140381</v>
      </c>
      <c r="N137" s="45"/>
      <c r="O137" s="45">
        <v>0</v>
      </c>
      <c r="P137" s="45"/>
      <c r="Q137" s="45">
        <v>9715836</v>
      </c>
      <c r="R137" s="45"/>
      <c r="S137" s="45">
        <f t="shared" si="9"/>
        <v>9856217</v>
      </c>
      <c r="T137" s="45"/>
      <c r="U137" s="46">
        <f t="shared" si="10"/>
        <v>0</v>
      </c>
      <c r="V137" s="44">
        <f t="shared" si="11"/>
        <v>0</v>
      </c>
    </row>
    <row r="138" spans="1:22" s="44" customFormat="1" ht="12.75" customHeight="1">
      <c r="A138" s="44" t="s">
        <v>53</v>
      </c>
      <c r="B138" s="51"/>
      <c r="C138" s="44" t="s">
        <v>53</v>
      </c>
      <c r="D138" s="35"/>
      <c r="E138" s="45">
        <v>6927152</v>
      </c>
      <c r="F138" s="45"/>
      <c r="G138" s="45">
        <v>10082059</v>
      </c>
      <c r="H138" s="45"/>
      <c r="I138" s="45">
        <v>2396626</v>
      </c>
      <c r="J138" s="45"/>
      <c r="K138" s="45">
        <v>2770497</v>
      </c>
      <c r="L138" s="45"/>
      <c r="M138" s="45">
        <v>197480</v>
      </c>
      <c r="N138" s="45"/>
      <c r="O138" s="45">
        <v>0</v>
      </c>
      <c r="P138" s="45"/>
      <c r="Q138" s="45">
        <v>7114082</v>
      </c>
      <c r="R138" s="45"/>
      <c r="S138" s="45">
        <f t="shared" si="9"/>
        <v>7311562</v>
      </c>
      <c r="T138" s="45"/>
      <c r="U138" s="46">
        <f t="shared" si="10"/>
        <v>0</v>
      </c>
      <c r="V138" s="44">
        <f t="shared" si="11"/>
        <v>0</v>
      </c>
    </row>
    <row r="139" spans="1:22" s="44" customFormat="1" ht="12.75" customHeight="1">
      <c r="A139" s="44" t="s">
        <v>165</v>
      </c>
      <c r="B139" s="51"/>
      <c r="C139" s="44" t="s">
        <v>92</v>
      </c>
      <c r="D139" s="35"/>
      <c r="E139" s="45">
        <v>15829496</v>
      </c>
      <c r="F139" s="45"/>
      <c r="G139" s="45">
        <v>28294427</v>
      </c>
      <c r="H139" s="45"/>
      <c r="I139" s="45">
        <v>5487296</v>
      </c>
      <c r="J139" s="45"/>
      <c r="K139" s="45">
        <v>10301314</v>
      </c>
      <c r="L139" s="45"/>
      <c r="M139" s="45">
        <v>1215466</v>
      </c>
      <c r="N139" s="45"/>
      <c r="O139" s="45">
        <v>0</v>
      </c>
      <c r="P139" s="45"/>
      <c r="Q139" s="45">
        <v>16777647</v>
      </c>
      <c r="R139" s="45"/>
      <c r="S139" s="45">
        <f t="shared" si="9"/>
        <v>17993113</v>
      </c>
      <c r="T139" s="45"/>
      <c r="U139" s="46">
        <f t="shared" si="10"/>
        <v>0</v>
      </c>
      <c r="V139" s="44">
        <f t="shared" si="11"/>
        <v>0</v>
      </c>
    </row>
    <row r="140" spans="1:22" s="44" customFormat="1" ht="12.75" customHeight="1">
      <c r="A140" s="44" t="s">
        <v>166</v>
      </c>
      <c r="B140" s="51"/>
      <c r="C140" s="44" t="s">
        <v>92</v>
      </c>
      <c r="D140" s="35"/>
      <c r="E140" s="45">
        <v>498740</v>
      </c>
      <c r="F140" s="45"/>
      <c r="G140" s="45">
        <v>1551615</v>
      </c>
      <c r="H140" s="45"/>
      <c r="I140" s="45">
        <v>479984</v>
      </c>
      <c r="J140" s="45"/>
      <c r="K140" s="45">
        <v>1027955</v>
      </c>
      <c r="L140" s="45"/>
      <c r="M140" s="45">
        <v>60346</v>
      </c>
      <c r="N140" s="45"/>
      <c r="O140" s="45">
        <v>0</v>
      </c>
      <c r="P140" s="45"/>
      <c r="Q140" s="45">
        <v>463314</v>
      </c>
      <c r="R140" s="45"/>
      <c r="S140" s="45">
        <f t="shared" si="9"/>
        <v>523660</v>
      </c>
      <c r="T140" s="45"/>
      <c r="U140" s="46">
        <f t="shared" si="10"/>
        <v>0</v>
      </c>
      <c r="V140" s="44">
        <f>+G140-K140-S140</f>
        <v>0</v>
      </c>
    </row>
    <row r="141" spans="1:22" s="44" customFormat="1" ht="12.75" customHeight="1">
      <c r="A141" s="44" t="s">
        <v>167</v>
      </c>
      <c r="B141" s="51"/>
      <c r="C141" s="44" t="s">
        <v>66</v>
      </c>
      <c r="D141" s="35"/>
      <c r="E141" s="45">
        <v>4631250</v>
      </c>
      <c r="F141" s="45"/>
      <c r="G141" s="45">
        <v>9619690</v>
      </c>
      <c r="H141" s="45"/>
      <c r="I141" s="45">
        <v>2996917</v>
      </c>
      <c r="J141" s="45"/>
      <c r="K141" s="45">
        <v>4333255</v>
      </c>
      <c r="L141" s="45"/>
      <c r="M141" s="45">
        <f>654503+155702+1130856</f>
        <v>1941061</v>
      </c>
      <c r="N141" s="45"/>
      <c r="O141" s="45">
        <v>157080</v>
      </c>
      <c r="P141" s="45"/>
      <c r="Q141" s="45">
        <v>3188294</v>
      </c>
      <c r="R141" s="45"/>
      <c r="S141" s="45">
        <f t="shared" si="9"/>
        <v>5286435</v>
      </c>
      <c r="T141" s="45"/>
      <c r="U141" s="46">
        <f t="shared" si="10"/>
        <v>0</v>
      </c>
      <c r="V141" s="44">
        <f t="shared" si="11"/>
        <v>0</v>
      </c>
    </row>
    <row r="142" spans="1:22" s="44" customFormat="1" ht="12.75" customHeight="1">
      <c r="A142" s="44" t="s">
        <v>168</v>
      </c>
      <c r="B142" s="51"/>
      <c r="C142" s="44" t="s">
        <v>27</v>
      </c>
      <c r="D142" s="35"/>
      <c r="E142" s="45">
        <v>3045524</v>
      </c>
      <c r="F142" s="45"/>
      <c r="G142" s="45">
        <v>7910564</v>
      </c>
      <c r="H142" s="45"/>
      <c r="I142" s="45">
        <v>2733989</v>
      </c>
      <c r="J142" s="45"/>
      <c r="K142" s="45">
        <v>3653632</v>
      </c>
      <c r="L142" s="45"/>
      <c r="M142" s="45">
        <v>292054</v>
      </c>
      <c r="N142" s="45"/>
      <c r="O142" s="45">
        <v>0</v>
      </c>
      <c r="P142" s="45"/>
      <c r="Q142" s="45">
        <v>3964878</v>
      </c>
      <c r="R142" s="45"/>
      <c r="S142" s="45">
        <f t="shared" si="9"/>
        <v>4256932</v>
      </c>
      <c r="T142" s="45"/>
      <c r="U142" s="46">
        <f t="shared" si="10"/>
        <v>0</v>
      </c>
      <c r="V142" s="44">
        <f t="shared" si="11"/>
        <v>0</v>
      </c>
    </row>
    <row r="143" spans="1:22" s="44" customFormat="1" ht="12.75" customHeight="1">
      <c r="A143" s="44" t="s">
        <v>169</v>
      </c>
      <c r="B143" s="51"/>
      <c r="C143" s="44" t="s">
        <v>103</v>
      </c>
      <c r="D143" s="35"/>
      <c r="E143" s="45">
        <v>8310498</v>
      </c>
      <c r="F143" s="45"/>
      <c r="G143" s="45">
        <v>18416227</v>
      </c>
      <c r="H143" s="45"/>
      <c r="I143" s="45">
        <v>7338647</v>
      </c>
      <c r="J143" s="45"/>
      <c r="K143" s="45">
        <v>9341650</v>
      </c>
      <c r="L143" s="45"/>
      <c r="M143" s="45">
        <f>195113+15893</f>
        <v>211006</v>
      </c>
      <c r="N143" s="45"/>
      <c r="O143" s="45">
        <v>0</v>
      </c>
      <c r="P143" s="45"/>
      <c r="Q143" s="45">
        <v>8863571</v>
      </c>
      <c r="R143" s="45"/>
      <c r="S143" s="45">
        <f t="shared" si="9"/>
        <v>9074577</v>
      </c>
      <c r="T143" s="45"/>
      <c r="U143" s="46">
        <f t="shared" si="10"/>
        <v>0</v>
      </c>
      <c r="V143" s="44">
        <f t="shared" si="11"/>
        <v>0</v>
      </c>
    </row>
    <row r="144" spans="1:22" s="44" customFormat="1" ht="12.75" customHeight="1">
      <c r="A144" s="44" t="s">
        <v>170</v>
      </c>
      <c r="C144" s="44" t="s">
        <v>171</v>
      </c>
      <c r="D144" s="35"/>
      <c r="E144" s="45">
        <v>2717884</v>
      </c>
      <c r="F144" s="45"/>
      <c r="G144" s="45">
        <v>4740503</v>
      </c>
      <c r="H144" s="45"/>
      <c r="I144" s="45">
        <v>1573563</v>
      </c>
      <c r="J144" s="45"/>
      <c r="K144" s="45">
        <v>1853751</v>
      </c>
      <c r="L144" s="45"/>
      <c r="M144" s="45">
        <v>157112</v>
      </c>
      <c r="N144" s="45"/>
      <c r="O144" s="45">
        <v>0</v>
      </c>
      <c r="P144" s="45"/>
      <c r="Q144" s="45">
        <v>2729640</v>
      </c>
      <c r="R144" s="45"/>
      <c r="S144" s="45">
        <f t="shared" si="9"/>
        <v>2886752</v>
      </c>
      <c r="T144" s="45"/>
      <c r="U144" s="46">
        <f t="shared" si="10"/>
        <v>0</v>
      </c>
      <c r="V144" s="44">
        <f t="shared" si="11"/>
        <v>0</v>
      </c>
    </row>
    <row r="145" spans="1:22" s="44" customFormat="1" ht="12.75" customHeight="1">
      <c r="A145" s="44" t="s">
        <v>172</v>
      </c>
      <c r="B145" s="51"/>
      <c r="C145" s="44" t="s">
        <v>103</v>
      </c>
      <c r="D145" s="35"/>
      <c r="E145" s="45">
        <v>4126480</v>
      </c>
      <c r="F145" s="45"/>
      <c r="G145" s="45">
        <v>6547528</v>
      </c>
      <c r="H145" s="45"/>
      <c r="I145" s="45">
        <v>1701123</v>
      </c>
      <c r="J145" s="45"/>
      <c r="K145" s="45">
        <v>2026607</v>
      </c>
      <c r="L145" s="45"/>
      <c r="M145" s="45">
        <v>264594</v>
      </c>
      <c r="N145" s="45"/>
      <c r="O145" s="45">
        <v>0</v>
      </c>
      <c r="P145" s="45"/>
      <c r="Q145" s="45">
        <v>4256327</v>
      </c>
      <c r="R145" s="45"/>
      <c r="S145" s="45">
        <f t="shared" si="9"/>
        <v>4520921</v>
      </c>
      <c r="T145" s="45"/>
      <c r="U145" s="46">
        <f t="shared" si="10"/>
        <v>0</v>
      </c>
      <c r="V145" s="44">
        <f t="shared" si="11"/>
        <v>0</v>
      </c>
    </row>
    <row r="146" spans="1:22" s="44" customFormat="1" ht="12.75" customHeight="1">
      <c r="A146" s="44" t="s">
        <v>66</v>
      </c>
      <c r="B146" s="51"/>
      <c r="C146" s="44" t="s">
        <v>45</v>
      </c>
      <c r="D146" s="35"/>
      <c r="E146" s="45">
        <v>11746971</v>
      </c>
      <c r="F146" s="45"/>
      <c r="G146" s="45">
        <v>15473495</v>
      </c>
      <c r="H146" s="45"/>
      <c r="I146" s="45">
        <v>2413461</v>
      </c>
      <c r="J146" s="45"/>
      <c r="K146" s="45">
        <v>2907572</v>
      </c>
      <c r="L146" s="45"/>
      <c r="M146" s="45">
        <v>411288</v>
      </c>
      <c r="N146" s="45"/>
      <c r="O146" s="45">
        <v>0</v>
      </c>
      <c r="P146" s="45"/>
      <c r="Q146" s="45">
        <v>12154635</v>
      </c>
      <c r="R146" s="45"/>
      <c r="S146" s="45">
        <f t="shared" si="9"/>
        <v>12565923</v>
      </c>
      <c r="T146" s="45"/>
      <c r="U146" s="46">
        <f t="shared" si="10"/>
        <v>0</v>
      </c>
      <c r="V146" s="44">
        <f t="shared" si="11"/>
        <v>0</v>
      </c>
    </row>
    <row r="147" spans="1:22" s="44" customFormat="1" ht="12.75" customHeight="1">
      <c r="A147" s="44" t="s">
        <v>173</v>
      </c>
      <c r="B147" s="51"/>
      <c r="C147" s="44" t="s">
        <v>66</v>
      </c>
      <c r="D147" s="35"/>
      <c r="E147" s="45">
        <v>15706376</v>
      </c>
      <c r="F147" s="45"/>
      <c r="G147" s="45">
        <v>19048057</v>
      </c>
      <c r="H147" s="45"/>
      <c r="I147" s="45">
        <v>1083881</v>
      </c>
      <c r="J147" s="45"/>
      <c r="K147" s="45">
        <v>2160343</v>
      </c>
      <c r="L147" s="45"/>
      <c r="M147" s="45">
        <v>393092</v>
      </c>
      <c r="N147" s="45"/>
      <c r="O147" s="45">
        <v>0</v>
      </c>
      <c r="P147" s="45"/>
      <c r="Q147" s="45">
        <v>16494622</v>
      </c>
      <c r="R147" s="45"/>
      <c r="S147" s="45">
        <f t="shared" ref="S147:S213" si="12">+Q147+O147+M147</f>
        <v>16887714</v>
      </c>
      <c r="T147" s="45"/>
      <c r="U147" s="46">
        <f t="shared" ref="U147:U213" si="13">+G147-K147-S147</f>
        <v>0</v>
      </c>
      <c r="V147" s="44">
        <f t="shared" ref="V147:V212" si="14">+G147-K147-S147</f>
        <v>0</v>
      </c>
    </row>
    <row r="148" spans="1:22" s="44" customFormat="1" ht="12.75" customHeight="1">
      <c r="A148" s="44" t="s">
        <v>174</v>
      </c>
      <c r="C148" s="44" t="s">
        <v>45</v>
      </c>
      <c r="D148" s="35"/>
      <c r="E148" s="45">
        <v>361456</v>
      </c>
      <c r="F148" s="45"/>
      <c r="G148" s="45">
        <v>1361439</v>
      </c>
      <c r="H148" s="45"/>
      <c r="I148" s="45">
        <v>802239</v>
      </c>
      <c r="J148" s="45"/>
      <c r="K148" s="45">
        <v>959399</v>
      </c>
      <c r="L148" s="45"/>
      <c r="M148" s="45">
        <v>0</v>
      </c>
      <c r="N148" s="45"/>
      <c r="O148" s="45">
        <v>0</v>
      </c>
      <c r="P148" s="45"/>
      <c r="Q148" s="45">
        <v>402040</v>
      </c>
      <c r="R148" s="45"/>
      <c r="S148" s="45">
        <f t="shared" si="12"/>
        <v>402040</v>
      </c>
      <c r="T148" s="45"/>
      <c r="U148" s="46">
        <f t="shared" si="13"/>
        <v>0</v>
      </c>
      <c r="V148" s="44">
        <f t="shared" si="14"/>
        <v>0</v>
      </c>
    </row>
    <row r="149" spans="1:22" s="44" customFormat="1" ht="12.75" customHeight="1">
      <c r="A149" s="44" t="s">
        <v>175</v>
      </c>
      <c r="B149" s="51"/>
      <c r="C149" s="44" t="s">
        <v>176</v>
      </c>
      <c r="D149" s="35"/>
      <c r="E149" s="45">
        <v>3424094</v>
      </c>
      <c r="F149" s="45"/>
      <c r="G149" s="45">
        <v>7358968</v>
      </c>
      <c r="H149" s="45"/>
      <c r="I149" s="45">
        <v>1880951</v>
      </c>
      <c r="J149" s="45"/>
      <c r="K149" s="45">
        <v>2538770</v>
      </c>
      <c r="L149" s="45"/>
      <c r="M149" s="45">
        <v>607319</v>
      </c>
      <c r="N149" s="45"/>
      <c r="O149" s="45">
        <v>0</v>
      </c>
      <c r="P149" s="45"/>
      <c r="Q149" s="45">
        <v>4212879</v>
      </c>
      <c r="R149" s="45"/>
      <c r="S149" s="45">
        <f t="shared" si="12"/>
        <v>4820198</v>
      </c>
      <c r="T149" s="45"/>
      <c r="U149" s="46">
        <f t="shared" si="13"/>
        <v>0</v>
      </c>
      <c r="V149" s="44">
        <f t="shared" si="14"/>
        <v>0</v>
      </c>
    </row>
    <row r="150" spans="1:22" s="44" customFormat="1" ht="12.75" customHeight="1">
      <c r="A150" s="44" t="s">
        <v>177</v>
      </c>
      <c r="B150" s="51"/>
      <c r="C150" s="44" t="s">
        <v>13</v>
      </c>
      <c r="D150" s="35"/>
      <c r="E150" s="45">
        <v>1385103</v>
      </c>
      <c r="F150" s="45"/>
      <c r="G150" s="45">
        <v>2159028</v>
      </c>
      <c r="H150" s="45"/>
      <c r="I150" s="45">
        <v>521987</v>
      </c>
      <c r="J150" s="45"/>
      <c r="K150" s="45">
        <v>605018</v>
      </c>
      <c r="L150" s="45"/>
      <c r="M150" s="45">
        <v>12485</v>
      </c>
      <c r="N150" s="45"/>
      <c r="O150" s="45">
        <v>0</v>
      </c>
      <c r="P150" s="45"/>
      <c r="Q150" s="45">
        <v>1541525</v>
      </c>
      <c r="R150" s="45"/>
      <c r="S150" s="45">
        <f t="shared" si="12"/>
        <v>1554010</v>
      </c>
      <c r="T150" s="45"/>
      <c r="U150" s="46">
        <f t="shared" si="13"/>
        <v>0</v>
      </c>
      <c r="V150" s="44">
        <f t="shared" si="14"/>
        <v>0</v>
      </c>
    </row>
    <row r="151" spans="1:22" s="44" customFormat="1" ht="12.75" customHeight="1">
      <c r="A151" s="44" t="s">
        <v>178</v>
      </c>
      <c r="B151" s="51"/>
      <c r="C151" s="44" t="s">
        <v>179</v>
      </c>
      <c r="D151" s="35"/>
      <c r="E151" s="45">
        <v>1742930</v>
      </c>
      <c r="F151" s="45"/>
      <c r="G151" s="45">
        <v>3287934</v>
      </c>
      <c r="H151" s="45"/>
      <c r="I151" s="45">
        <v>710559</v>
      </c>
      <c r="J151" s="45"/>
      <c r="K151" s="45">
        <v>1034787</v>
      </c>
      <c r="L151" s="45"/>
      <c r="M151" s="45">
        <v>22238</v>
      </c>
      <c r="N151" s="45"/>
      <c r="O151" s="45">
        <v>0</v>
      </c>
      <c r="P151" s="45"/>
      <c r="Q151" s="45">
        <v>2230909</v>
      </c>
      <c r="R151" s="45"/>
      <c r="S151" s="45">
        <f t="shared" si="12"/>
        <v>2253147</v>
      </c>
      <c r="T151" s="45"/>
      <c r="U151" s="46">
        <f t="shared" si="13"/>
        <v>0</v>
      </c>
      <c r="V151" s="44">
        <f t="shared" si="14"/>
        <v>0</v>
      </c>
    </row>
    <row r="152" spans="1:22" s="137" customFormat="1" ht="12.75" hidden="1" customHeight="1">
      <c r="A152" s="137" t="s">
        <v>180</v>
      </c>
      <c r="B152" s="140"/>
      <c r="C152" s="137" t="s">
        <v>20</v>
      </c>
      <c r="D152" s="142"/>
      <c r="E152" s="143">
        <v>0</v>
      </c>
      <c r="F152" s="143"/>
      <c r="G152" s="143">
        <v>0</v>
      </c>
      <c r="H152" s="143"/>
      <c r="I152" s="143">
        <v>0</v>
      </c>
      <c r="J152" s="143"/>
      <c r="K152" s="143">
        <v>0</v>
      </c>
      <c r="L152" s="143"/>
      <c r="M152" s="143">
        <v>0</v>
      </c>
      <c r="N152" s="143"/>
      <c r="O152" s="143">
        <v>0</v>
      </c>
      <c r="P152" s="143"/>
      <c r="Q152" s="143">
        <v>0</v>
      </c>
      <c r="R152" s="143"/>
      <c r="S152" s="143">
        <f t="shared" si="12"/>
        <v>0</v>
      </c>
      <c r="T152" s="143"/>
      <c r="U152" s="139">
        <f t="shared" si="13"/>
        <v>0</v>
      </c>
      <c r="V152" s="137">
        <f t="shared" si="14"/>
        <v>0</v>
      </c>
    </row>
    <row r="153" spans="1:22" s="44" customFormat="1" ht="12.75" customHeight="1">
      <c r="A153" s="44" t="s">
        <v>182</v>
      </c>
      <c r="B153" s="51"/>
      <c r="C153" s="44" t="s">
        <v>183</v>
      </c>
      <c r="D153" s="35"/>
      <c r="E153" s="45">
        <v>263004</v>
      </c>
      <c r="F153" s="45"/>
      <c r="G153" s="45">
        <v>900609</v>
      </c>
      <c r="H153" s="45"/>
      <c r="I153" s="45">
        <v>399522</v>
      </c>
      <c r="J153" s="45"/>
      <c r="K153" s="45">
        <v>962311</v>
      </c>
      <c r="L153" s="45"/>
      <c r="M153" s="45">
        <v>42403</v>
      </c>
      <c r="N153" s="45"/>
      <c r="O153" s="45">
        <v>0</v>
      </c>
      <c r="P153" s="45"/>
      <c r="Q153" s="45">
        <v>-104105</v>
      </c>
      <c r="R153" s="45"/>
      <c r="S153" s="45">
        <f t="shared" si="12"/>
        <v>-61702</v>
      </c>
      <c r="T153" s="45"/>
      <c r="U153" s="46">
        <f t="shared" si="13"/>
        <v>0</v>
      </c>
      <c r="V153" s="44">
        <f t="shared" si="14"/>
        <v>0</v>
      </c>
    </row>
    <row r="154" spans="1:22" s="44" customFormat="1" ht="12.75" customHeight="1">
      <c r="A154" s="44" t="s">
        <v>491</v>
      </c>
      <c r="B154" s="51"/>
      <c r="C154" s="44" t="s">
        <v>13</v>
      </c>
      <c r="D154" s="35"/>
      <c r="E154" s="45">
        <v>1164888</v>
      </c>
      <c r="F154" s="45"/>
      <c r="G154" s="45">
        <v>2010852</v>
      </c>
      <c r="H154" s="45"/>
      <c r="I154" s="45">
        <v>393654</v>
      </c>
      <c r="J154" s="45"/>
      <c r="K154" s="45">
        <v>425562</v>
      </c>
      <c r="L154" s="45"/>
      <c r="M154" s="45">
        <v>25127</v>
      </c>
      <c r="N154" s="45"/>
      <c r="O154" s="45">
        <v>0</v>
      </c>
      <c r="P154" s="45"/>
      <c r="Q154" s="45">
        <v>1560163</v>
      </c>
      <c r="R154" s="45"/>
      <c r="S154" s="45">
        <f>+Q154+O154+M154</f>
        <v>1585290</v>
      </c>
      <c r="T154" s="45"/>
      <c r="U154" s="46">
        <f>+G154-K154-S154</f>
        <v>0</v>
      </c>
      <c r="V154" s="44">
        <f>+G154-K154-S154</f>
        <v>0</v>
      </c>
    </row>
    <row r="155" spans="1:22" s="44" customFormat="1" ht="12.75" customHeight="1">
      <c r="A155" s="44" t="s">
        <v>184</v>
      </c>
      <c r="B155" s="51"/>
      <c r="C155" s="44" t="s">
        <v>89</v>
      </c>
      <c r="D155" s="35"/>
      <c r="E155" s="45">
        <v>2172597</v>
      </c>
      <c r="F155" s="45"/>
      <c r="G155" s="45">
        <v>4419469</v>
      </c>
      <c r="H155" s="45"/>
      <c r="I155" s="45">
        <v>1512313</v>
      </c>
      <c r="J155" s="45"/>
      <c r="K155" s="45">
        <v>1782727</v>
      </c>
      <c r="L155" s="45"/>
      <c r="M155" s="45">
        <v>129001</v>
      </c>
      <c r="N155" s="45"/>
      <c r="O155" s="45">
        <v>0</v>
      </c>
      <c r="P155" s="45"/>
      <c r="Q155" s="45">
        <v>2507741</v>
      </c>
      <c r="R155" s="45"/>
      <c r="S155" s="45">
        <f t="shared" si="12"/>
        <v>2636742</v>
      </c>
      <c r="T155" s="45"/>
      <c r="U155" s="46">
        <f t="shared" si="13"/>
        <v>0</v>
      </c>
      <c r="V155" s="44">
        <f t="shared" si="14"/>
        <v>0</v>
      </c>
    </row>
    <row r="156" spans="1:22" s="44" customFormat="1" ht="12.75" customHeight="1">
      <c r="A156" s="44" t="s">
        <v>181</v>
      </c>
      <c r="B156" s="51"/>
      <c r="C156" s="44" t="s">
        <v>125</v>
      </c>
      <c r="D156" s="35"/>
      <c r="E156" s="45">
        <v>3937670</v>
      </c>
      <c r="F156" s="45"/>
      <c r="G156" s="45">
        <v>8564187</v>
      </c>
      <c r="H156" s="45"/>
      <c r="I156" s="45">
        <v>3320175</v>
      </c>
      <c r="J156" s="45"/>
      <c r="K156" s="45">
        <v>4998344</v>
      </c>
      <c r="L156" s="45"/>
      <c r="M156" s="45">
        <v>848097</v>
      </c>
      <c r="N156" s="45"/>
      <c r="O156" s="45">
        <v>0</v>
      </c>
      <c r="P156" s="45"/>
      <c r="Q156" s="45">
        <v>2717746</v>
      </c>
      <c r="R156" s="45"/>
      <c r="S156" s="45">
        <f t="shared" si="12"/>
        <v>3565843</v>
      </c>
      <c r="T156" s="45"/>
      <c r="U156" s="46">
        <f t="shared" si="13"/>
        <v>0</v>
      </c>
      <c r="V156" s="44">
        <f t="shared" si="14"/>
        <v>0</v>
      </c>
    </row>
    <row r="157" spans="1:22" s="44" customFormat="1" ht="12.75" customHeight="1">
      <c r="A157" s="44" t="s">
        <v>185</v>
      </c>
      <c r="C157" s="44" t="s">
        <v>80</v>
      </c>
      <c r="D157" s="35"/>
      <c r="E157" s="45">
        <v>13876596</v>
      </c>
      <c r="F157" s="45"/>
      <c r="G157" s="45">
        <v>18654500</v>
      </c>
      <c r="H157" s="45"/>
      <c r="I157" s="45">
        <v>1704921</v>
      </c>
      <c r="J157" s="45"/>
      <c r="K157" s="45">
        <v>2771625</v>
      </c>
      <c r="L157" s="45"/>
      <c r="M157" s="45">
        <v>61656</v>
      </c>
      <c r="N157" s="45"/>
      <c r="O157" s="45">
        <v>0</v>
      </c>
      <c r="P157" s="45"/>
      <c r="Q157" s="45">
        <v>15821219</v>
      </c>
      <c r="R157" s="45"/>
      <c r="S157" s="45">
        <f t="shared" si="12"/>
        <v>15882875</v>
      </c>
      <c r="T157" s="45"/>
      <c r="U157" s="46">
        <f t="shared" si="13"/>
        <v>0</v>
      </c>
      <c r="V157" s="44">
        <f>+G157-K157-S157</f>
        <v>0</v>
      </c>
    </row>
    <row r="158" spans="1:22" s="44" customFormat="1" ht="12.75" customHeight="1">
      <c r="A158" s="44" t="s">
        <v>186</v>
      </c>
      <c r="B158" s="51"/>
      <c r="C158" s="44" t="s">
        <v>15</v>
      </c>
      <c r="D158" s="35"/>
      <c r="E158" s="45">
        <v>3478886</v>
      </c>
      <c r="F158" s="45"/>
      <c r="G158" s="45">
        <v>7104635</v>
      </c>
      <c r="H158" s="45"/>
      <c r="I158" s="45">
        <v>1943712</v>
      </c>
      <c r="J158" s="45"/>
      <c r="K158" s="45">
        <v>2224703</v>
      </c>
      <c r="L158" s="45"/>
      <c r="M158" s="45">
        <v>59073</v>
      </c>
      <c r="N158" s="45"/>
      <c r="O158" s="45">
        <v>1200000</v>
      </c>
      <c r="P158" s="45"/>
      <c r="Q158" s="45">
        <v>3620859</v>
      </c>
      <c r="R158" s="45"/>
      <c r="S158" s="45">
        <f t="shared" si="12"/>
        <v>4879932</v>
      </c>
      <c r="T158" s="45"/>
      <c r="U158" s="46">
        <f t="shared" si="13"/>
        <v>0</v>
      </c>
      <c r="V158" s="44">
        <f t="shared" si="14"/>
        <v>0</v>
      </c>
    </row>
    <row r="159" spans="1:22" s="44" customFormat="1" ht="12.75" customHeight="1">
      <c r="A159" s="44" t="s">
        <v>187</v>
      </c>
      <c r="C159" s="44" t="s">
        <v>27</v>
      </c>
      <c r="D159" s="35"/>
      <c r="E159" s="45">
        <v>2396942</v>
      </c>
      <c r="F159" s="45"/>
      <c r="G159" s="45">
        <v>12227162</v>
      </c>
      <c r="H159" s="45"/>
      <c r="I159" s="45">
        <v>6783537</v>
      </c>
      <c r="J159" s="45"/>
      <c r="K159" s="45">
        <v>8183449</v>
      </c>
      <c r="L159" s="45"/>
      <c r="M159" s="45">
        <v>180744</v>
      </c>
      <c r="N159" s="45"/>
      <c r="O159" s="45">
        <v>0</v>
      </c>
      <c r="P159" s="45"/>
      <c r="Q159" s="45">
        <v>3862969</v>
      </c>
      <c r="R159" s="45"/>
      <c r="S159" s="45">
        <f t="shared" si="12"/>
        <v>4043713</v>
      </c>
      <c r="T159" s="45"/>
      <c r="U159" s="44">
        <f t="shared" si="13"/>
        <v>0</v>
      </c>
      <c r="V159" s="44">
        <f t="shared" si="14"/>
        <v>0</v>
      </c>
    </row>
    <row r="160" spans="1:22" s="44" customFormat="1" ht="12.75" customHeight="1">
      <c r="A160" s="44" t="s">
        <v>189</v>
      </c>
      <c r="B160" s="51"/>
      <c r="C160" s="44" t="s">
        <v>17</v>
      </c>
      <c r="D160" s="35"/>
      <c r="E160" s="45">
        <v>1593864</v>
      </c>
      <c r="F160" s="45"/>
      <c r="G160" s="45">
        <v>3541400</v>
      </c>
      <c r="H160" s="45"/>
      <c r="I160" s="45">
        <v>1762399</v>
      </c>
      <c r="J160" s="45"/>
      <c r="K160" s="45">
        <v>2234342</v>
      </c>
      <c r="L160" s="45"/>
      <c r="M160" s="45">
        <v>187828</v>
      </c>
      <c r="N160" s="45"/>
      <c r="O160" s="45">
        <v>0</v>
      </c>
      <c r="P160" s="45"/>
      <c r="Q160" s="45">
        <v>1119230</v>
      </c>
      <c r="R160" s="45"/>
      <c r="S160" s="45">
        <f t="shared" si="12"/>
        <v>1307058</v>
      </c>
      <c r="T160" s="45"/>
      <c r="U160" s="46">
        <f t="shared" si="13"/>
        <v>0</v>
      </c>
      <c r="V160" s="44">
        <f t="shared" si="14"/>
        <v>0</v>
      </c>
    </row>
    <row r="161" spans="1:22" s="44" customFormat="1" ht="12.75" customHeight="1">
      <c r="A161" s="44" t="s">
        <v>188</v>
      </c>
      <c r="B161" s="51"/>
      <c r="C161" s="44" t="s">
        <v>27</v>
      </c>
      <c r="D161" s="35"/>
      <c r="E161" s="45">
        <v>1929610</v>
      </c>
      <c r="F161" s="45"/>
      <c r="G161" s="45">
        <v>6664815</v>
      </c>
      <c r="H161" s="45"/>
      <c r="I161" s="45">
        <v>2785040</v>
      </c>
      <c r="J161" s="45"/>
      <c r="K161" s="45">
        <v>3442813</v>
      </c>
      <c r="L161" s="45"/>
      <c r="M161" s="45">
        <v>276822</v>
      </c>
      <c r="N161" s="45"/>
      <c r="O161" s="45">
        <v>0</v>
      </c>
      <c r="P161" s="45"/>
      <c r="Q161" s="45">
        <v>2945180</v>
      </c>
      <c r="R161" s="45"/>
      <c r="S161" s="45">
        <f t="shared" si="12"/>
        <v>3222002</v>
      </c>
      <c r="T161" s="45"/>
      <c r="U161" s="46">
        <f t="shared" si="13"/>
        <v>0</v>
      </c>
      <c r="V161" s="44">
        <f t="shared" si="14"/>
        <v>0</v>
      </c>
    </row>
    <row r="162" spans="1:22" s="44" customFormat="1" ht="12.75" customHeight="1">
      <c r="A162" s="44" t="s">
        <v>190</v>
      </c>
      <c r="B162" s="51"/>
      <c r="C162" s="44" t="s">
        <v>47</v>
      </c>
      <c r="D162" s="35"/>
      <c r="E162" s="45">
        <v>1124476</v>
      </c>
      <c r="F162" s="45"/>
      <c r="G162" s="45">
        <v>2749873</v>
      </c>
      <c r="H162" s="45"/>
      <c r="I162" s="45">
        <v>776951</v>
      </c>
      <c r="J162" s="45"/>
      <c r="K162" s="45">
        <v>1005479</v>
      </c>
      <c r="L162" s="45"/>
      <c r="M162" s="45">
        <v>74392</v>
      </c>
      <c r="N162" s="45"/>
      <c r="O162" s="45">
        <v>0</v>
      </c>
      <c r="P162" s="45"/>
      <c r="Q162" s="45">
        <v>1670002</v>
      </c>
      <c r="R162" s="45"/>
      <c r="S162" s="45">
        <f t="shared" si="12"/>
        <v>1744394</v>
      </c>
      <c r="T162" s="45"/>
      <c r="U162" s="46">
        <f t="shared" si="13"/>
        <v>0</v>
      </c>
      <c r="V162" s="44">
        <f t="shared" si="14"/>
        <v>0</v>
      </c>
    </row>
    <row r="163" spans="1:22" s="44" customFormat="1" ht="12.75" customHeight="1">
      <c r="A163" s="44" t="s">
        <v>191</v>
      </c>
      <c r="C163" s="44" t="s">
        <v>13</v>
      </c>
      <c r="D163" s="35"/>
      <c r="E163" s="45">
        <v>393422</v>
      </c>
      <c r="F163" s="45"/>
      <c r="G163" s="45">
        <v>3680557</v>
      </c>
      <c r="H163" s="45"/>
      <c r="I163" s="45">
        <v>1459180</v>
      </c>
      <c r="J163" s="45"/>
      <c r="K163" s="45">
        <v>1778136</v>
      </c>
      <c r="L163" s="45"/>
      <c r="M163" s="45">
        <v>29733</v>
      </c>
      <c r="N163" s="45"/>
      <c r="O163" s="45">
        <v>0</v>
      </c>
      <c r="P163" s="45"/>
      <c r="Q163" s="45">
        <v>1872688</v>
      </c>
      <c r="R163" s="45"/>
      <c r="S163" s="45">
        <f t="shared" si="12"/>
        <v>1902421</v>
      </c>
      <c r="T163" s="45"/>
      <c r="U163" s="46">
        <f t="shared" si="13"/>
        <v>0</v>
      </c>
      <c r="V163" s="44">
        <f t="shared" si="14"/>
        <v>0</v>
      </c>
    </row>
    <row r="164" spans="1:22" s="44" customFormat="1" ht="12.75" customHeight="1">
      <c r="A164" s="44" t="s">
        <v>192</v>
      </c>
      <c r="B164" s="51"/>
      <c r="C164" s="44" t="s">
        <v>38</v>
      </c>
      <c r="D164" s="35"/>
      <c r="E164" s="45">
        <v>2291454</v>
      </c>
      <c r="F164" s="45"/>
      <c r="G164" s="45">
        <v>4577987</v>
      </c>
      <c r="H164" s="45"/>
      <c r="I164" s="45">
        <v>925444</v>
      </c>
      <c r="J164" s="45"/>
      <c r="K164" s="45">
        <v>1273484</v>
      </c>
      <c r="L164" s="45"/>
      <c r="M164" s="45">
        <v>107330</v>
      </c>
      <c r="N164" s="45"/>
      <c r="O164" s="45">
        <v>0</v>
      </c>
      <c r="P164" s="45"/>
      <c r="Q164" s="45">
        <v>3197173</v>
      </c>
      <c r="R164" s="45"/>
      <c r="S164" s="45">
        <f t="shared" si="12"/>
        <v>3304503</v>
      </c>
      <c r="T164" s="45"/>
      <c r="U164" s="46">
        <f t="shared" si="13"/>
        <v>0</v>
      </c>
      <c r="V164" s="44">
        <f t="shared" si="14"/>
        <v>0</v>
      </c>
    </row>
    <row r="165" spans="1:22" s="139" customFormat="1" ht="12.75" hidden="1" customHeight="1">
      <c r="A165" s="139" t="s">
        <v>193</v>
      </c>
      <c r="C165" s="139" t="s">
        <v>45</v>
      </c>
      <c r="D165" s="145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>
        <f t="shared" si="12"/>
        <v>0</v>
      </c>
      <c r="T165" s="143"/>
      <c r="U165" s="139">
        <f t="shared" si="13"/>
        <v>0</v>
      </c>
      <c r="V165" s="137">
        <f t="shared" si="14"/>
        <v>0</v>
      </c>
    </row>
    <row r="166" spans="1:22" s="44" customFormat="1" ht="12.75" customHeight="1">
      <c r="A166" s="44" t="s">
        <v>194</v>
      </c>
      <c r="B166" s="51"/>
      <c r="C166" s="44" t="s">
        <v>66</v>
      </c>
      <c r="D166" s="35"/>
      <c r="E166" s="45">
        <v>9758995</v>
      </c>
      <c r="F166" s="45"/>
      <c r="G166" s="45">
        <v>13839924</v>
      </c>
      <c r="H166" s="45"/>
      <c r="I166" s="45">
        <v>3318736</v>
      </c>
      <c r="J166" s="45"/>
      <c r="K166" s="45">
        <v>8274532</v>
      </c>
      <c r="L166" s="45"/>
      <c r="M166" s="45">
        <v>120964</v>
      </c>
      <c r="N166" s="45"/>
      <c r="O166" s="45">
        <v>0</v>
      </c>
      <c r="P166" s="45"/>
      <c r="Q166" s="45">
        <v>5444428</v>
      </c>
      <c r="R166" s="45"/>
      <c r="S166" s="45">
        <f t="shared" si="12"/>
        <v>5565392</v>
      </c>
      <c r="T166" s="45"/>
      <c r="U166" s="46">
        <f t="shared" si="13"/>
        <v>0</v>
      </c>
      <c r="V166" s="44">
        <f>+G166-K166-S166</f>
        <v>0</v>
      </c>
    </row>
    <row r="167" spans="1:22" s="44" customFormat="1" ht="12.75" customHeight="1">
      <c r="A167" s="44" t="s">
        <v>195</v>
      </c>
      <c r="B167" s="51"/>
      <c r="C167" s="44" t="s">
        <v>17</v>
      </c>
      <c r="D167" s="35"/>
      <c r="E167" s="45">
        <v>7690722</v>
      </c>
      <c r="F167" s="45"/>
      <c r="G167" s="45">
        <v>10126615</v>
      </c>
      <c r="H167" s="45"/>
      <c r="I167" s="45">
        <v>922778</v>
      </c>
      <c r="J167" s="45"/>
      <c r="K167" s="45">
        <v>1202853</v>
      </c>
      <c r="L167" s="45"/>
      <c r="M167" s="45">
        <v>0</v>
      </c>
      <c r="N167" s="45"/>
      <c r="O167" s="45">
        <v>205386</v>
      </c>
      <c r="P167" s="45"/>
      <c r="Q167" s="45">
        <v>8718376</v>
      </c>
      <c r="R167" s="45"/>
      <c r="S167" s="45">
        <f t="shared" si="12"/>
        <v>8923762</v>
      </c>
      <c r="T167" s="45"/>
      <c r="U167" s="46">
        <f t="shared" si="13"/>
        <v>0</v>
      </c>
      <c r="V167" s="44">
        <f t="shared" si="14"/>
        <v>0</v>
      </c>
    </row>
    <row r="168" spans="1:22" s="137" customFormat="1" ht="12.75" hidden="1" customHeight="1">
      <c r="A168" s="137" t="s">
        <v>196</v>
      </c>
      <c r="B168" s="140"/>
      <c r="C168" s="137" t="s">
        <v>27</v>
      </c>
      <c r="D168" s="142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>
        <f t="shared" si="12"/>
        <v>0</v>
      </c>
      <c r="T168" s="143"/>
      <c r="U168" s="139">
        <f t="shared" si="13"/>
        <v>0</v>
      </c>
      <c r="V168" s="137">
        <f t="shared" si="14"/>
        <v>0</v>
      </c>
    </row>
    <row r="169" spans="1:22" s="137" customFormat="1" ht="12.75" hidden="1" customHeight="1">
      <c r="A169" s="137" t="s">
        <v>386</v>
      </c>
      <c r="B169" s="140"/>
      <c r="C169" s="137" t="s">
        <v>153</v>
      </c>
      <c r="D169" s="142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>
        <f>+Q169+O169+M169</f>
        <v>0</v>
      </c>
      <c r="T169" s="143"/>
      <c r="U169" s="139">
        <f t="shared" si="13"/>
        <v>0</v>
      </c>
      <c r="V169" s="137">
        <f t="shared" si="14"/>
        <v>0</v>
      </c>
    </row>
    <row r="170" spans="1:22" s="44" customFormat="1" ht="12.75" customHeight="1">
      <c r="A170" s="46" t="s">
        <v>197</v>
      </c>
      <c r="B170" s="46"/>
      <c r="C170" s="46" t="s">
        <v>163</v>
      </c>
      <c r="D170" s="64"/>
      <c r="E170" s="45">
        <v>11435414</v>
      </c>
      <c r="F170" s="45"/>
      <c r="G170" s="45">
        <v>17049599</v>
      </c>
      <c r="H170" s="45"/>
      <c r="I170" s="45">
        <v>2546679</v>
      </c>
      <c r="J170" s="45"/>
      <c r="K170" s="45">
        <v>3201172</v>
      </c>
      <c r="L170" s="45"/>
      <c r="M170" s="45">
        <v>827969</v>
      </c>
      <c r="N170" s="45"/>
      <c r="O170" s="45">
        <v>0</v>
      </c>
      <c r="P170" s="45"/>
      <c r="Q170" s="45">
        <v>13020458</v>
      </c>
      <c r="R170" s="45"/>
      <c r="S170" s="45">
        <f t="shared" si="12"/>
        <v>13848427</v>
      </c>
      <c r="T170" s="45"/>
      <c r="U170" s="46">
        <f t="shared" si="13"/>
        <v>0</v>
      </c>
      <c r="V170" s="44">
        <f t="shared" si="14"/>
        <v>0</v>
      </c>
    </row>
    <row r="171" spans="1:22" s="44" customFormat="1" ht="12.75" customHeight="1">
      <c r="A171" s="44" t="s">
        <v>198</v>
      </c>
      <c r="B171" s="51"/>
      <c r="C171" s="44" t="s">
        <v>199</v>
      </c>
      <c r="D171" s="35"/>
      <c r="E171" s="45">
        <v>2245389</v>
      </c>
      <c r="F171" s="45"/>
      <c r="G171" s="45">
        <v>4301158</v>
      </c>
      <c r="H171" s="45"/>
      <c r="I171" s="45">
        <v>1141170</v>
      </c>
      <c r="J171" s="45"/>
      <c r="K171" s="45">
        <v>1411885</v>
      </c>
      <c r="L171" s="45"/>
      <c r="M171" s="45">
        <v>92442</v>
      </c>
      <c r="N171" s="45"/>
      <c r="O171" s="45">
        <v>0</v>
      </c>
      <c r="P171" s="45"/>
      <c r="Q171" s="45">
        <v>2796831</v>
      </c>
      <c r="R171" s="45"/>
      <c r="S171" s="45">
        <f t="shared" si="12"/>
        <v>2889273</v>
      </c>
      <c r="T171" s="45"/>
      <c r="U171" s="46">
        <f t="shared" si="13"/>
        <v>0</v>
      </c>
      <c r="V171" s="44">
        <f t="shared" si="14"/>
        <v>0</v>
      </c>
    </row>
    <row r="172" spans="1:22" s="44" customFormat="1" ht="12.75" customHeight="1">
      <c r="A172" s="44" t="s">
        <v>200</v>
      </c>
      <c r="B172" s="51"/>
      <c r="C172" s="44" t="s">
        <v>103</v>
      </c>
      <c r="D172" s="35"/>
      <c r="E172" s="45">
        <v>5947717</v>
      </c>
      <c r="F172" s="45"/>
      <c r="G172" s="45">
        <v>9045678</v>
      </c>
      <c r="H172" s="45"/>
      <c r="I172" s="45">
        <v>2577491</v>
      </c>
      <c r="J172" s="45"/>
      <c r="K172" s="45">
        <v>2897895</v>
      </c>
      <c r="L172" s="45"/>
      <c r="M172" s="45">
        <v>438915</v>
      </c>
      <c r="N172" s="45"/>
      <c r="O172" s="45">
        <v>0</v>
      </c>
      <c r="P172" s="45"/>
      <c r="Q172" s="45">
        <v>5708868</v>
      </c>
      <c r="R172" s="45"/>
      <c r="S172" s="45">
        <f t="shared" si="12"/>
        <v>6147783</v>
      </c>
      <c r="T172" s="45"/>
      <c r="U172" s="46">
        <f t="shared" si="13"/>
        <v>0</v>
      </c>
      <c r="V172" s="44">
        <f t="shared" si="14"/>
        <v>0</v>
      </c>
    </row>
    <row r="173" spans="1:22" s="44" customFormat="1" ht="12.75" customHeight="1">
      <c r="A173" s="44" t="s">
        <v>201</v>
      </c>
      <c r="C173" s="44" t="s">
        <v>92</v>
      </c>
      <c r="D173" s="35"/>
      <c r="E173" s="45">
        <v>4791506</v>
      </c>
      <c r="F173" s="45"/>
      <c r="G173" s="45">
        <v>9484631</v>
      </c>
      <c r="H173" s="45"/>
      <c r="I173" s="45">
        <v>1368160</v>
      </c>
      <c r="J173" s="45"/>
      <c r="K173" s="45">
        <v>2728102</v>
      </c>
      <c r="L173" s="45"/>
      <c r="M173" s="45">
        <v>516396</v>
      </c>
      <c r="N173" s="45"/>
      <c r="O173" s="45">
        <v>0</v>
      </c>
      <c r="P173" s="45"/>
      <c r="Q173" s="45">
        <v>6240133</v>
      </c>
      <c r="R173" s="45"/>
      <c r="S173" s="45">
        <f t="shared" si="12"/>
        <v>6756529</v>
      </c>
      <c r="T173" s="45"/>
      <c r="U173" s="46">
        <f t="shared" si="13"/>
        <v>0</v>
      </c>
      <c r="V173" s="44">
        <f t="shared" si="14"/>
        <v>0</v>
      </c>
    </row>
    <row r="174" spans="1:22" s="44" customFormat="1" ht="12.75" customHeight="1">
      <c r="A174" s="44" t="s">
        <v>202</v>
      </c>
      <c r="B174" s="51"/>
      <c r="C174" s="44" t="s">
        <v>27</v>
      </c>
      <c r="D174" s="35"/>
      <c r="E174" s="45">
        <v>3287221</v>
      </c>
      <c r="F174" s="45"/>
      <c r="G174" s="45">
        <v>15314148</v>
      </c>
      <c r="H174" s="45"/>
      <c r="I174" s="45">
        <v>8003274</v>
      </c>
      <c r="J174" s="45"/>
      <c r="K174" s="45">
        <v>11133656</v>
      </c>
      <c r="L174" s="45"/>
      <c r="M174" s="45">
        <v>352565</v>
      </c>
      <c r="N174" s="45"/>
      <c r="O174" s="45">
        <v>0</v>
      </c>
      <c r="P174" s="45"/>
      <c r="Q174" s="45">
        <v>3827927</v>
      </c>
      <c r="R174" s="45"/>
      <c r="S174" s="45">
        <f t="shared" si="12"/>
        <v>4180492</v>
      </c>
      <c r="T174" s="45"/>
      <c r="U174" s="46">
        <f t="shared" si="13"/>
        <v>0</v>
      </c>
      <c r="V174" s="44">
        <f t="shared" si="14"/>
        <v>0</v>
      </c>
    </row>
    <row r="175" spans="1:22" s="44" customFormat="1" ht="12.75" customHeight="1">
      <c r="A175" s="46" t="s">
        <v>203</v>
      </c>
      <c r="B175" s="46"/>
      <c r="C175" s="46" t="s">
        <v>27</v>
      </c>
      <c r="D175" s="64"/>
      <c r="E175" s="45">
        <v>3287221</v>
      </c>
      <c r="F175" s="45"/>
      <c r="G175" s="45">
        <v>15314148</v>
      </c>
      <c r="H175" s="45"/>
      <c r="I175" s="45">
        <v>8003274</v>
      </c>
      <c r="J175" s="45"/>
      <c r="K175" s="45">
        <v>11133656</v>
      </c>
      <c r="L175" s="45"/>
      <c r="M175" s="45">
        <v>352565</v>
      </c>
      <c r="N175" s="45"/>
      <c r="O175" s="45">
        <v>0</v>
      </c>
      <c r="P175" s="45"/>
      <c r="Q175" s="45">
        <v>3827927</v>
      </c>
      <c r="R175" s="45"/>
      <c r="S175" s="45">
        <f t="shared" si="12"/>
        <v>4180492</v>
      </c>
      <c r="T175" s="45"/>
      <c r="U175" s="46">
        <f t="shared" si="13"/>
        <v>0</v>
      </c>
      <c r="V175" s="44">
        <f t="shared" si="14"/>
        <v>0</v>
      </c>
    </row>
    <row r="176" spans="1:22" s="44" customFormat="1" ht="12.75" customHeight="1">
      <c r="A176" s="44" t="s">
        <v>204</v>
      </c>
      <c r="B176" s="51"/>
      <c r="C176" s="44" t="s">
        <v>125</v>
      </c>
      <c r="D176" s="35"/>
      <c r="E176" s="45">
        <v>971095</v>
      </c>
      <c r="F176" s="45"/>
      <c r="G176" s="45">
        <v>2048644</v>
      </c>
      <c r="H176" s="45"/>
      <c r="I176" s="45">
        <v>171239</v>
      </c>
      <c r="J176" s="45"/>
      <c r="K176" s="45">
        <v>1097444</v>
      </c>
      <c r="L176" s="45"/>
      <c r="M176" s="45">
        <v>12787</v>
      </c>
      <c r="N176" s="45"/>
      <c r="O176" s="45">
        <v>0</v>
      </c>
      <c r="P176" s="45"/>
      <c r="Q176" s="45">
        <v>938413</v>
      </c>
      <c r="R176" s="45"/>
      <c r="S176" s="45">
        <f t="shared" si="12"/>
        <v>951200</v>
      </c>
      <c r="T176" s="45"/>
      <c r="U176" s="46">
        <f t="shared" si="13"/>
        <v>0</v>
      </c>
      <c r="V176" s="44">
        <f t="shared" si="14"/>
        <v>0</v>
      </c>
    </row>
    <row r="177" spans="1:22" s="46" customFormat="1" ht="12.75" customHeight="1">
      <c r="A177" s="46" t="s">
        <v>205</v>
      </c>
      <c r="C177" s="46" t="s">
        <v>27</v>
      </c>
      <c r="D177" s="64"/>
      <c r="E177" s="45">
        <v>5184380</v>
      </c>
      <c r="F177" s="45"/>
      <c r="G177" s="45">
        <v>8931239</v>
      </c>
      <c r="H177" s="45"/>
      <c r="I177" s="45">
        <v>2411597</v>
      </c>
      <c r="J177" s="45"/>
      <c r="K177" s="45">
        <v>2970046</v>
      </c>
      <c r="L177" s="45"/>
      <c r="M177" s="45">
        <v>586010</v>
      </c>
      <c r="N177" s="45"/>
      <c r="O177" s="45">
        <v>0</v>
      </c>
      <c r="P177" s="45"/>
      <c r="Q177" s="45">
        <v>5375183</v>
      </c>
      <c r="R177" s="45"/>
      <c r="S177" s="45">
        <f t="shared" si="12"/>
        <v>5961193</v>
      </c>
      <c r="T177" s="45"/>
      <c r="U177" s="46">
        <f t="shared" si="13"/>
        <v>0</v>
      </c>
      <c r="V177" s="44">
        <f t="shared" si="14"/>
        <v>0</v>
      </c>
    </row>
    <row r="178" spans="1:22" s="44" customFormat="1" ht="12.75" customHeight="1">
      <c r="A178" s="44" t="s">
        <v>206</v>
      </c>
      <c r="C178" s="44" t="s">
        <v>47</v>
      </c>
      <c r="D178" s="35"/>
      <c r="E178" s="45">
        <v>5085308</v>
      </c>
      <c r="F178" s="45"/>
      <c r="G178" s="45">
        <v>8669695</v>
      </c>
      <c r="H178" s="45"/>
      <c r="I178" s="45">
        <v>1872007</v>
      </c>
      <c r="J178" s="45"/>
      <c r="K178" s="45">
        <v>2596580</v>
      </c>
      <c r="L178" s="45"/>
      <c r="M178" s="45">
        <v>301400</v>
      </c>
      <c r="N178" s="45"/>
      <c r="O178" s="45">
        <v>0</v>
      </c>
      <c r="P178" s="45"/>
      <c r="Q178" s="45">
        <v>5771715</v>
      </c>
      <c r="R178" s="45"/>
      <c r="S178" s="45">
        <f t="shared" si="12"/>
        <v>6073115</v>
      </c>
      <c r="T178" s="45"/>
      <c r="U178" s="46">
        <f t="shared" si="13"/>
        <v>0</v>
      </c>
      <c r="V178" s="44">
        <f t="shared" si="14"/>
        <v>0</v>
      </c>
    </row>
    <row r="179" spans="1:22" s="44" customFormat="1" ht="12.75" customHeight="1">
      <c r="A179" s="44" t="s">
        <v>207</v>
      </c>
      <c r="B179" s="51"/>
      <c r="C179" s="44" t="s">
        <v>102</v>
      </c>
      <c r="D179" s="35"/>
      <c r="E179" s="45">
        <v>1455533</v>
      </c>
      <c r="F179" s="45"/>
      <c r="G179" s="45">
        <v>3350184</v>
      </c>
      <c r="H179" s="45"/>
      <c r="I179" s="45">
        <v>1385040</v>
      </c>
      <c r="J179" s="45"/>
      <c r="K179" s="45">
        <v>1702612</v>
      </c>
      <c r="L179" s="45"/>
      <c r="M179" s="45">
        <v>90016</v>
      </c>
      <c r="N179" s="45"/>
      <c r="O179" s="45">
        <v>0</v>
      </c>
      <c r="P179" s="45"/>
      <c r="Q179" s="45">
        <v>1557556</v>
      </c>
      <c r="R179" s="45"/>
      <c r="S179" s="45">
        <f t="shared" si="12"/>
        <v>1647572</v>
      </c>
      <c r="T179" s="45"/>
      <c r="U179" s="46">
        <f t="shared" si="13"/>
        <v>0</v>
      </c>
      <c r="V179" s="44">
        <f t="shared" si="14"/>
        <v>0</v>
      </c>
    </row>
    <row r="180" spans="1:22" s="44" customFormat="1" ht="12.75" customHeight="1">
      <c r="A180" s="44" t="s">
        <v>208</v>
      </c>
      <c r="B180" s="51"/>
      <c r="C180" s="44" t="s">
        <v>209</v>
      </c>
      <c r="D180" s="35"/>
      <c r="E180" s="45">
        <v>5265381</v>
      </c>
      <c r="F180" s="45"/>
      <c r="G180" s="45">
        <v>19273704</v>
      </c>
      <c r="H180" s="45"/>
      <c r="I180" s="45">
        <v>1925693</v>
      </c>
      <c r="J180" s="45"/>
      <c r="K180" s="45">
        <v>2673012</v>
      </c>
      <c r="L180" s="45"/>
      <c r="M180" s="45">
        <v>9926096</v>
      </c>
      <c r="N180" s="45"/>
      <c r="O180" s="45">
        <v>0</v>
      </c>
      <c r="P180" s="45"/>
      <c r="Q180" s="45">
        <v>6674596</v>
      </c>
      <c r="R180" s="45"/>
      <c r="S180" s="45">
        <f t="shared" si="12"/>
        <v>16600692</v>
      </c>
      <c r="T180" s="45"/>
      <c r="U180" s="46">
        <f t="shared" si="13"/>
        <v>0</v>
      </c>
      <c r="V180" s="44">
        <f t="shared" si="14"/>
        <v>0</v>
      </c>
    </row>
    <row r="181" spans="1:22" s="46" customFormat="1" ht="12.75" customHeight="1">
      <c r="A181" s="44" t="s">
        <v>210</v>
      </c>
      <c r="B181" s="44"/>
      <c r="C181" s="44" t="s">
        <v>211</v>
      </c>
      <c r="D181" s="35"/>
      <c r="E181" s="45">
        <v>1193642</v>
      </c>
      <c r="F181" s="45"/>
      <c r="G181" s="45">
        <v>2976032</v>
      </c>
      <c r="H181" s="45"/>
      <c r="I181" s="45">
        <v>1172690</v>
      </c>
      <c r="J181" s="45"/>
      <c r="K181" s="45">
        <v>1331766</v>
      </c>
      <c r="L181" s="45"/>
      <c r="M181" s="45">
        <v>158527</v>
      </c>
      <c r="N181" s="45"/>
      <c r="O181" s="45">
        <v>0</v>
      </c>
      <c r="P181" s="45"/>
      <c r="Q181" s="45">
        <v>1485739</v>
      </c>
      <c r="R181" s="45"/>
      <c r="S181" s="45">
        <f t="shared" si="12"/>
        <v>1644266</v>
      </c>
      <c r="T181" s="45"/>
      <c r="U181" s="46">
        <f t="shared" si="13"/>
        <v>0</v>
      </c>
      <c r="V181" s="44">
        <f t="shared" si="14"/>
        <v>0</v>
      </c>
    </row>
    <row r="182" spans="1:22" s="44" customFormat="1" ht="12.75" customHeight="1">
      <c r="A182" s="44" t="s">
        <v>212</v>
      </c>
      <c r="B182" s="51"/>
      <c r="C182" s="44" t="s">
        <v>213</v>
      </c>
      <c r="D182" s="35"/>
      <c r="E182" s="45">
        <v>194448</v>
      </c>
      <c r="F182" s="45"/>
      <c r="G182" s="45">
        <v>4102992</v>
      </c>
      <c r="H182" s="45"/>
      <c r="I182" s="45">
        <v>2552858</v>
      </c>
      <c r="J182" s="45"/>
      <c r="K182" s="45">
        <v>3303698</v>
      </c>
      <c r="L182" s="45"/>
      <c r="M182" s="45">
        <v>129318</v>
      </c>
      <c r="N182" s="45"/>
      <c r="O182" s="45">
        <v>0</v>
      </c>
      <c r="P182" s="45"/>
      <c r="Q182" s="45">
        <v>669976</v>
      </c>
      <c r="R182" s="45"/>
      <c r="S182" s="45">
        <f t="shared" si="12"/>
        <v>799294</v>
      </c>
      <c r="T182" s="45"/>
      <c r="U182" s="46">
        <f t="shared" si="13"/>
        <v>0</v>
      </c>
      <c r="V182" s="44">
        <f t="shared" si="14"/>
        <v>0</v>
      </c>
    </row>
    <row r="183" spans="1:22" s="44" customFormat="1" ht="12.75" customHeight="1">
      <c r="A183" s="44" t="s">
        <v>214</v>
      </c>
      <c r="C183" s="44" t="s">
        <v>86</v>
      </c>
      <c r="D183" s="35"/>
      <c r="E183" s="45">
        <v>6057421</v>
      </c>
      <c r="F183" s="45"/>
      <c r="G183" s="45">
        <v>8254272</v>
      </c>
      <c r="H183" s="45"/>
      <c r="I183" s="45">
        <v>1620332</v>
      </c>
      <c r="J183" s="45"/>
      <c r="K183" s="45">
        <v>1857623</v>
      </c>
      <c r="L183" s="45"/>
      <c r="M183" s="45">
        <v>351330</v>
      </c>
      <c r="N183" s="45"/>
      <c r="O183" s="45">
        <v>0</v>
      </c>
      <c r="P183" s="45"/>
      <c r="Q183" s="45">
        <v>6045319</v>
      </c>
      <c r="R183" s="45"/>
      <c r="S183" s="45">
        <f t="shared" si="12"/>
        <v>6396649</v>
      </c>
      <c r="T183" s="45"/>
      <c r="U183" s="46">
        <f t="shared" si="13"/>
        <v>0</v>
      </c>
      <c r="V183" s="44">
        <f t="shared" si="14"/>
        <v>0</v>
      </c>
    </row>
    <row r="184" spans="1:22" s="46" customFormat="1" ht="12.75" customHeight="1">
      <c r="A184" s="44" t="s">
        <v>215</v>
      </c>
      <c r="B184" s="44"/>
      <c r="C184" s="44" t="s">
        <v>22</v>
      </c>
      <c r="D184" s="35"/>
      <c r="E184" s="45">
        <v>4018492</v>
      </c>
      <c r="F184" s="45"/>
      <c r="G184" s="45">
        <v>6413262</v>
      </c>
      <c r="H184" s="45"/>
      <c r="I184" s="45">
        <v>1652791</v>
      </c>
      <c r="J184" s="45"/>
      <c r="K184" s="45">
        <v>2156167</v>
      </c>
      <c r="L184" s="45"/>
      <c r="M184" s="45">
        <v>129940</v>
      </c>
      <c r="N184" s="45"/>
      <c r="O184" s="45">
        <v>0</v>
      </c>
      <c r="P184" s="45"/>
      <c r="Q184" s="45">
        <v>4127155</v>
      </c>
      <c r="R184" s="45"/>
      <c r="S184" s="45">
        <f t="shared" si="12"/>
        <v>4257095</v>
      </c>
      <c r="T184" s="45"/>
      <c r="U184" s="46">
        <f t="shared" si="13"/>
        <v>0</v>
      </c>
      <c r="V184" s="44">
        <f t="shared" si="14"/>
        <v>0</v>
      </c>
    </row>
    <row r="185" spans="1:22" s="44" customFormat="1" ht="12.75" customHeight="1">
      <c r="A185" s="44" t="s">
        <v>216</v>
      </c>
      <c r="B185" s="51"/>
      <c r="C185" s="44" t="s">
        <v>45</v>
      </c>
      <c r="D185" s="35"/>
      <c r="E185" s="45">
        <v>1627743</v>
      </c>
      <c r="F185" s="45"/>
      <c r="G185" s="45">
        <v>4760829</v>
      </c>
      <c r="H185" s="45"/>
      <c r="I185" s="45">
        <v>1926008</v>
      </c>
      <c r="J185" s="45"/>
      <c r="K185" s="45">
        <v>2911783</v>
      </c>
      <c r="L185" s="45"/>
      <c r="M185" s="45">
        <v>135663</v>
      </c>
      <c r="N185" s="45"/>
      <c r="O185" s="45">
        <v>0</v>
      </c>
      <c r="P185" s="45"/>
      <c r="Q185" s="45">
        <v>1713383</v>
      </c>
      <c r="R185" s="45"/>
      <c r="S185" s="45">
        <f t="shared" si="12"/>
        <v>1849046</v>
      </c>
      <c r="T185" s="45"/>
      <c r="U185" s="46">
        <f t="shared" si="13"/>
        <v>0</v>
      </c>
      <c r="V185" s="44">
        <f t="shared" si="14"/>
        <v>0</v>
      </c>
    </row>
    <row r="186" spans="1:22" s="44" customFormat="1" ht="12.75" customHeight="1">
      <c r="A186" s="44" t="s">
        <v>217</v>
      </c>
      <c r="B186" s="51"/>
      <c r="C186" s="44" t="s">
        <v>43</v>
      </c>
      <c r="D186" s="35"/>
      <c r="E186" s="45">
        <v>6053592</v>
      </c>
      <c r="F186" s="45"/>
      <c r="G186" s="45">
        <v>9279665</v>
      </c>
      <c r="H186" s="45"/>
      <c r="I186" s="45">
        <v>1311289</v>
      </c>
      <c r="J186" s="45"/>
      <c r="K186" s="45">
        <v>2283186</v>
      </c>
      <c r="L186" s="45"/>
      <c r="M186" s="45">
        <v>189662</v>
      </c>
      <c r="N186" s="45"/>
      <c r="O186" s="45">
        <v>0</v>
      </c>
      <c r="P186" s="45"/>
      <c r="Q186" s="45">
        <v>6806817</v>
      </c>
      <c r="R186" s="45"/>
      <c r="S186" s="45">
        <f t="shared" si="12"/>
        <v>6996479</v>
      </c>
      <c r="T186" s="45"/>
      <c r="U186" s="46">
        <f t="shared" si="13"/>
        <v>0</v>
      </c>
      <c r="V186" s="44">
        <f t="shared" si="14"/>
        <v>0</v>
      </c>
    </row>
    <row r="187" spans="1:22" s="44" customFormat="1" ht="12.75" hidden="1" customHeight="1">
      <c r="A187" s="46" t="s">
        <v>218</v>
      </c>
      <c r="B187" s="46"/>
      <c r="C187" s="46" t="s">
        <v>27</v>
      </c>
      <c r="D187" s="64"/>
      <c r="E187" s="45">
        <v>52214</v>
      </c>
      <c r="F187" s="45"/>
      <c r="G187" s="45">
        <v>3210389</v>
      </c>
      <c r="H187" s="45"/>
      <c r="I187" s="45">
        <v>1858238</v>
      </c>
      <c r="J187" s="45"/>
      <c r="K187" s="45">
        <v>2200123</v>
      </c>
      <c r="L187" s="45"/>
      <c r="M187" s="45">
        <v>8086</v>
      </c>
      <c r="N187" s="45"/>
      <c r="O187" s="45">
        <v>0</v>
      </c>
      <c r="P187" s="45"/>
      <c r="Q187" s="45">
        <v>1002180</v>
      </c>
      <c r="R187" s="45"/>
      <c r="S187" s="45">
        <f t="shared" si="12"/>
        <v>1010266</v>
      </c>
      <c r="T187" s="45"/>
      <c r="U187" s="46">
        <f t="shared" si="13"/>
        <v>0</v>
      </c>
      <c r="V187" s="44">
        <f t="shared" si="14"/>
        <v>0</v>
      </c>
    </row>
    <row r="188" spans="1:22" s="44" customFormat="1" ht="12.75" customHeight="1">
      <c r="A188" s="44" t="s">
        <v>219</v>
      </c>
      <c r="B188" s="51"/>
      <c r="C188" s="44" t="s">
        <v>199</v>
      </c>
      <c r="D188" s="35"/>
      <c r="E188" s="45">
        <v>843446</v>
      </c>
      <c r="F188" s="45"/>
      <c r="G188" s="45">
        <v>1818485</v>
      </c>
      <c r="H188" s="45"/>
      <c r="I188" s="45">
        <v>621060</v>
      </c>
      <c r="J188" s="45"/>
      <c r="K188" s="45">
        <v>845619</v>
      </c>
      <c r="L188" s="45"/>
      <c r="M188" s="45">
        <v>14410</v>
      </c>
      <c r="N188" s="45"/>
      <c r="O188" s="45">
        <v>272329</v>
      </c>
      <c r="P188" s="45"/>
      <c r="Q188" s="45">
        <v>686127</v>
      </c>
      <c r="R188" s="45"/>
      <c r="S188" s="45">
        <f t="shared" si="12"/>
        <v>972866</v>
      </c>
      <c r="T188" s="45"/>
      <c r="U188" s="46">
        <f t="shared" si="13"/>
        <v>0</v>
      </c>
      <c r="V188" s="44">
        <f t="shared" si="14"/>
        <v>0</v>
      </c>
    </row>
    <row r="189" spans="1:22" s="44" customFormat="1" ht="12.75" customHeight="1">
      <c r="A189" s="44" t="s">
        <v>220</v>
      </c>
      <c r="B189" s="51"/>
      <c r="C189" s="44" t="s">
        <v>66</v>
      </c>
      <c r="D189" s="35"/>
      <c r="E189" s="45">
        <v>5520592</v>
      </c>
      <c r="F189" s="45"/>
      <c r="G189" s="45">
        <v>10138952</v>
      </c>
      <c r="H189" s="45"/>
      <c r="I189" s="45">
        <v>3117786</v>
      </c>
      <c r="J189" s="45"/>
      <c r="K189" s="45">
        <v>3262268</v>
      </c>
      <c r="L189" s="45"/>
      <c r="M189" s="45">
        <v>95066</v>
      </c>
      <c r="N189" s="45"/>
      <c r="O189" s="45">
        <v>0</v>
      </c>
      <c r="P189" s="45"/>
      <c r="Q189" s="45">
        <v>6781618</v>
      </c>
      <c r="R189" s="45"/>
      <c r="S189" s="45">
        <f>+Q189+O189+M189</f>
        <v>6876684</v>
      </c>
      <c r="T189" s="45"/>
      <c r="U189" s="46">
        <f t="shared" si="13"/>
        <v>0</v>
      </c>
      <c r="V189" s="44">
        <f t="shared" si="14"/>
        <v>0</v>
      </c>
    </row>
    <row r="190" spans="1:22" s="44" customFormat="1" ht="12.75" customHeight="1">
      <c r="A190" s="44" t="s">
        <v>221</v>
      </c>
      <c r="B190" s="51"/>
      <c r="C190" s="44" t="s">
        <v>27</v>
      </c>
      <c r="D190" s="35"/>
      <c r="E190" s="45">
        <v>8041545</v>
      </c>
      <c r="F190" s="45"/>
      <c r="G190" s="45">
        <v>15984665</v>
      </c>
      <c r="H190" s="45"/>
      <c r="I190" s="45">
        <v>5847634</v>
      </c>
      <c r="J190" s="45"/>
      <c r="K190" s="45">
        <v>6442320</v>
      </c>
      <c r="L190" s="45"/>
      <c r="M190" s="45">
        <v>124395</v>
      </c>
      <c r="N190" s="45"/>
      <c r="O190" s="45">
        <v>0</v>
      </c>
      <c r="P190" s="45"/>
      <c r="Q190" s="45">
        <v>9417950</v>
      </c>
      <c r="R190" s="45"/>
      <c r="S190" s="45">
        <f>+Q190+O190+M190</f>
        <v>9542345</v>
      </c>
      <c r="T190" s="45"/>
      <c r="U190" s="46">
        <f t="shared" si="13"/>
        <v>0</v>
      </c>
      <c r="V190" s="44">
        <f t="shared" si="14"/>
        <v>0</v>
      </c>
    </row>
    <row r="191" spans="1:22" s="44" customFormat="1" ht="12.75" customHeight="1">
      <c r="A191" s="44" t="s">
        <v>222</v>
      </c>
      <c r="C191" s="44" t="s">
        <v>47</v>
      </c>
      <c r="D191" s="35"/>
      <c r="E191" s="45">
        <v>2134944</v>
      </c>
      <c r="F191" s="45"/>
      <c r="G191" s="45">
        <v>3786478</v>
      </c>
      <c r="H191" s="45"/>
      <c r="I191" s="45">
        <v>1148076</v>
      </c>
      <c r="J191" s="45"/>
      <c r="K191" s="45">
        <v>1440384</v>
      </c>
      <c r="L191" s="45"/>
      <c r="M191" s="45">
        <v>246551</v>
      </c>
      <c r="N191" s="45"/>
      <c r="O191" s="45">
        <v>0</v>
      </c>
      <c r="P191" s="45"/>
      <c r="Q191" s="45">
        <v>2099543</v>
      </c>
      <c r="R191" s="45"/>
      <c r="S191" s="45">
        <f t="shared" si="12"/>
        <v>2346094</v>
      </c>
      <c r="T191" s="45"/>
      <c r="U191" s="46">
        <f t="shared" si="13"/>
        <v>0</v>
      </c>
      <c r="V191" s="44">
        <f t="shared" si="14"/>
        <v>0</v>
      </c>
    </row>
    <row r="192" spans="1:22" s="44" customFormat="1" ht="12.75" customHeight="1">
      <c r="A192" s="44" t="s">
        <v>223</v>
      </c>
      <c r="B192" s="51"/>
      <c r="C192" s="44" t="s">
        <v>94</v>
      </c>
      <c r="D192" s="35"/>
      <c r="E192" s="45">
        <v>540218</v>
      </c>
      <c r="F192" s="45"/>
      <c r="G192" s="45">
        <v>1670735</v>
      </c>
      <c r="H192" s="45"/>
      <c r="I192" s="45">
        <v>883766</v>
      </c>
      <c r="J192" s="45"/>
      <c r="K192" s="45">
        <v>1069230</v>
      </c>
      <c r="L192" s="45"/>
      <c r="M192" s="45">
        <v>149536</v>
      </c>
      <c r="N192" s="45"/>
      <c r="O192" s="45">
        <v>0</v>
      </c>
      <c r="P192" s="45"/>
      <c r="Q192" s="45">
        <v>451969</v>
      </c>
      <c r="R192" s="45"/>
      <c r="S192" s="45">
        <f t="shared" si="12"/>
        <v>601505</v>
      </c>
      <c r="T192" s="45"/>
      <c r="U192" s="46">
        <f t="shared" si="13"/>
        <v>0</v>
      </c>
      <c r="V192" s="44">
        <f t="shared" si="14"/>
        <v>0</v>
      </c>
    </row>
    <row r="193" spans="1:22" s="44" customFormat="1" ht="12.75" customHeight="1">
      <c r="A193" s="44" t="s">
        <v>76</v>
      </c>
      <c r="B193" s="51"/>
      <c r="C193" s="44" t="s">
        <v>132</v>
      </c>
      <c r="D193" s="35"/>
      <c r="E193" s="45">
        <v>4023066</v>
      </c>
      <c r="F193" s="45"/>
      <c r="G193" s="45">
        <v>9422632</v>
      </c>
      <c r="H193" s="45"/>
      <c r="I193" s="45">
        <v>4231078</v>
      </c>
      <c r="J193" s="45"/>
      <c r="K193" s="45">
        <v>5176571</v>
      </c>
      <c r="L193" s="45"/>
      <c r="M193" s="45">
        <v>108449</v>
      </c>
      <c r="N193" s="45"/>
      <c r="O193" s="45">
        <v>0</v>
      </c>
      <c r="P193" s="45"/>
      <c r="Q193" s="45">
        <v>4137612</v>
      </c>
      <c r="R193" s="45"/>
      <c r="S193" s="45">
        <f t="shared" si="12"/>
        <v>4246061</v>
      </c>
      <c r="T193" s="45"/>
      <c r="U193" s="46">
        <f t="shared" si="13"/>
        <v>0</v>
      </c>
      <c r="V193" s="44">
        <f t="shared" si="14"/>
        <v>0</v>
      </c>
    </row>
    <row r="194" spans="1:22" s="44" customFormat="1" ht="12.75" customHeight="1">
      <c r="A194" s="44" t="s">
        <v>224</v>
      </c>
      <c r="B194" s="51"/>
      <c r="C194" s="44" t="s">
        <v>27</v>
      </c>
      <c r="D194" s="35"/>
      <c r="E194" s="45">
        <v>4882089</v>
      </c>
      <c r="F194" s="45"/>
      <c r="G194" s="45">
        <v>8669321</v>
      </c>
      <c r="H194" s="45"/>
      <c r="I194" s="45">
        <v>2083478</v>
      </c>
      <c r="J194" s="45"/>
      <c r="K194" s="45">
        <v>2562992</v>
      </c>
      <c r="L194" s="45"/>
      <c r="M194" s="45">
        <v>209940</v>
      </c>
      <c r="N194" s="45"/>
      <c r="O194" s="45">
        <v>0</v>
      </c>
      <c r="P194" s="45"/>
      <c r="Q194" s="45">
        <v>5896389</v>
      </c>
      <c r="R194" s="45"/>
      <c r="S194" s="45">
        <f>+Q194+O194+M194</f>
        <v>6106329</v>
      </c>
      <c r="T194" s="45"/>
      <c r="U194" s="46">
        <f t="shared" si="13"/>
        <v>0</v>
      </c>
      <c r="V194" s="44">
        <f t="shared" si="14"/>
        <v>0</v>
      </c>
    </row>
    <row r="195" spans="1:22" s="44" customFormat="1" ht="12.75" customHeight="1">
      <c r="A195" s="44" t="s">
        <v>225</v>
      </c>
      <c r="C195" s="44" t="s">
        <v>27</v>
      </c>
      <c r="D195" s="35"/>
      <c r="E195" s="45">
        <v>9581384</v>
      </c>
      <c r="F195" s="45"/>
      <c r="G195" s="45">
        <v>28192764</v>
      </c>
      <c r="H195" s="45"/>
      <c r="I195" s="45">
        <v>12721846</v>
      </c>
      <c r="J195" s="45"/>
      <c r="K195" s="45">
        <v>17177243</v>
      </c>
      <c r="L195" s="45"/>
      <c r="M195" s="45">
        <v>737765</v>
      </c>
      <c r="N195" s="45"/>
      <c r="O195" s="45">
        <v>0</v>
      </c>
      <c r="P195" s="45"/>
      <c r="Q195" s="45">
        <v>10277756</v>
      </c>
      <c r="R195" s="45"/>
      <c r="S195" s="45">
        <f t="shared" si="12"/>
        <v>11015521</v>
      </c>
      <c r="T195" s="45"/>
      <c r="U195" s="46">
        <f t="shared" si="13"/>
        <v>0</v>
      </c>
      <c r="V195" s="44">
        <f t="shared" si="14"/>
        <v>0</v>
      </c>
    </row>
    <row r="196" spans="1:22" s="44" customFormat="1" ht="12.75" customHeight="1">
      <c r="A196" s="46" t="s">
        <v>226</v>
      </c>
      <c r="B196" s="46"/>
      <c r="C196" s="46" t="s">
        <v>45</v>
      </c>
      <c r="D196" s="64"/>
      <c r="E196" s="45">
        <v>3764142</v>
      </c>
      <c r="F196" s="45"/>
      <c r="G196" s="45">
        <v>7782661</v>
      </c>
      <c r="H196" s="45"/>
      <c r="I196" s="45">
        <v>663463</v>
      </c>
      <c r="J196" s="45"/>
      <c r="K196" s="45">
        <v>1553576</v>
      </c>
      <c r="L196" s="45"/>
      <c r="M196" s="45">
        <v>99020</v>
      </c>
      <c r="N196" s="45"/>
      <c r="O196" s="45">
        <v>0</v>
      </c>
      <c r="P196" s="45"/>
      <c r="Q196" s="45">
        <v>6130065</v>
      </c>
      <c r="R196" s="45"/>
      <c r="S196" s="45">
        <f t="shared" si="12"/>
        <v>6229085</v>
      </c>
      <c r="T196" s="45"/>
      <c r="U196" s="46">
        <f t="shared" si="13"/>
        <v>0</v>
      </c>
      <c r="V196" s="44">
        <f t="shared" si="14"/>
        <v>0</v>
      </c>
    </row>
    <row r="197" spans="1:22" s="44" customFormat="1" ht="12.75" customHeight="1">
      <c r="A197" s="46"/>
      <c r="B197" s="46"/>
      <c r="C197" s="46"/>
      <c r="D197" s="64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8" t="s">
        <v>485</v>
      </c>
      <c r="T197" s="45"/>
      <c r="U197" s="46"/>
    </row>
    <row r="198" spans="1:22" s="46" customFormat="1" ht="12.75" customHeight="1">
      <c r="A198" s="46" t="s">
        <v>227</v>
      </c>
      <c r="B198" s="66"/>
      <c r="C198" s="46" t="s">
        <v>17</v>
      </c>
      <c r="D198" s="64"/>
      <c r="E198" s="94">
        <v>190449</v>
      </c>
      <c r="F198" s="94"/>
      <c r="G198" s="94">
        <v>1883073</v>
      </c>
      <c r="H198" s="94"/>
      <c r="I198" s="94">
        <v>1365531</v>
      </c>
      <c r="J198" s="94"/>
      <c r="K198" s="94">
        <v>1574928</v>
      </c>
      <c r="L198" s="94"/>
      <c r="M198" s="94">
        <v>48427</v>
      </c>
      <c r="N198" s="94"/>
      <c r="O198" s="94">
        <v>0</v>
      </c>
      <c r="P198" s="94"/>
      <c r="Q198" s="94">
        <v>259718</v>
      </c>
      <c r="R198" s="94"/>
      <c r="S198" s="94">
        <f t="shared" si="12"/>
        <v>308145</v>
      </c>
      <c r="T198" s="94"/>
      <c r="U198" s="46">
        <f t="shared" si="13"/>
        <v>0</v>
      </c>
      <c r="V198" s="46">
        <f t="shared" si="14"/>
        <v>0</v>
      </c>
    </row>
    <row r="199" spans="1:22" s="44" customFormat="1" ht="12.75" customHeight="1">
      <c r="A199" s="44" t="s">
        <v>228</v>
      </c>
      <c r="B199" s="51"/>
      <c r="C199" s="44" t="s">
        <v>153</v>
      </c>
      <c r="D199" s="35"/>
      <c r="E199" s="45">
        <v>781195</v>
      </c>
      <c r="F199" s="45"/>
      <c r="G199" s="45">
        <v>2132200</v>
      </c>
      <c r="H199" s="45"/>
      <c r="I199" s="45">
        <v>238456</v>
      </c>
      <c r="J199" s="45"/>
      <c r="K199" s="45">
        <v>750545</v>
      </c>
      <c r="L199" s="45"/>
      <c r="M199" s="45">
        <v>153520</v>
      </c>
      <c r="N199" s="45"/>
      <c r="O199" s="45">
        <v>0</v>
      </c>
      <c r="P199" s="45"/>
      <c r="Q199" s="45">
        <v>1228135</v>
      </c>
      <c r="R199" s="45"/>
      <c r="S199" s="45">
        <f t="shared" si="12"/>
        <v>1381655</v>
      </c>
      <c r="T199" s="45"/>
      <c r="U199" s="46">
        <f t="shared" si="13"/>
        <v>0</v>
      </c>
      <c r="V199" s="44">
        <f t="shared" si="14"/>
        <v>0</v>
      </c>
    </row>
    <row r="200" spans="1:22" s="44" customFormat="1" ht="12.75" customHeight="1">
      <c r="A200" s="44" t="s">
        <v>229</v>
      </c>
      <c r="B200" s="51"/>
      <c r="C200" s="44" t="s">
        <v>228</v>
      </c>
      <c r="D200" s="35"/>
      <c r="E200" s="45">
        <v>6765825</v>
      </c>
      <c r="F200" s="45"/>
      <c r="G200" s="45">
        <v>9681228</v>
      </c>
      <c r="H200" s="45"/>
      <c r="I200" s="45">
        <v>2479525</v>
      </c>
      <c r="J200" s="45"/>
      <c r="K200" s="45">
        <v>3426439</v>
      </c>
      <c r="L200" s="45"/>
      <c r="M200" s="45">
        <v>174903</v>
      </c>
      <c r="N200" s="45"/>
      <c r="O200" s="45">
        <v>0</v>
      </c>
      <c r="P200" s="45"/>
      <c r="Q200" s="45">
        <v>6079886</v>
      </c>
      <c r="R200" s="45"/>
      <c r="S200" s="45">
        <f t="shared" si="12"/>
        <v>6254789</v>
      </c>
      <c r="T200" s="45"/>
      <c r="U200" s="46">
        <f t="shared" si="13"/>
        <v>0</v>
      </c>
      <c r="V200" s="44">
        <f t="shared" si="14"/>
        <v>0</v>
      </c>
    </row>
    <row r="201" spans="1:22" s="44" customFormat="1" ht="12.75" customHeight="1">
      <c r="A201" s="44" t="s">
        <v>230</v>
      </c>
      <c r="C201" s="44" t="s">
        <v>45</v>
      </c>
      <c r="D201" s="35"/>
      <c r="E201" s="45">
        <v>1369931</v>
      </c>
      <c r="F201" s="45"/>
      <c r="G201" s="45">
        <v>3333295</v>
      </c>
      <c r="H201" s="45"/>
      <c r="I201" s="45">
        <v>1755944</v>
      </c>
      <c r="J201" s="45"/>
      <c r="K201" s="45">
        <v>1921037</v>
      </c>
      <c r="L201" s="45"/>
      <c r="M201" s="45">
        <v>36569</v>
      </c>
      <c r="N201" s="45"/>
      <c r="O201" s="45">
        <v>0</v>
      </c>
      <c r="P201" s="45"/>
      <c r="Q201" s="45">
        <v>1375689</v>
      </c>
      <c r="R201" s="45"/>
      <c r="S201" s="45">
        <f t="shared" si="12"/>
        <v>1412258</v>
      </c>
      <c r="T201" s="45"/>
      <c r="U201" s="46">
        <f t="shared" si="13"/>
        <v>0</v>
      </c>
      <c r="V201" s="44">
        <f t="shared" si="14"/>
        <v>0</v>
      </c>
    </row>
    <row r="202" spans="1:22" s="44" customFormat="1" ht="12.75" customHeight="1">
      <c r="A202" s="44" t="s">
        <v>231</v>
      </c>
      <c r="C202" s="44" t="s">
        <v>27</v>
      </c>
      <c r="D202" s="35"/>
      <c r="E202" s="45">
        <v>24036157</v>
      </c>
      <c r="F202" s="45"/>
      <c r="G202" s="45">
        <v>32722335</v>
      </c>
      <c r="H202" s="45"/>
      <c r="I202" s="45">
        <v>2539758</v>
      </c>
      <c r="J202" s="45"/>
      <c r="K202" s="45">
        <v>3976244</v>
      </c>
      <c r="L202" s="45"/>
      <c r="M202" s="45">
        <v>28746091</v>
      </c>
      <c r="N202" s="45"/>
      <c r="O202" s="45">
        <v>0</v>
      </c>
      <c r="P202" s="45"/>
      <c r="Q202" s="45">
        <v>0</v>
      </c>
      <c r="R202" s="45"/>
      <c r="S202" s="45">
        <f t="shared" si="12"/>
        <v>28746091</v>
      </c>
      <c r="T202" s="45"/>
      <c r="U202" s="46">
        <f t="shared" si="13"/>
        <v>0</v>
      </c>
      <c r="V202" s="44">
        <f t="shared" si="14"/>
        <v>0</v>
      </c>
    </row>
    <row r="203" spans="1:22" s="44" customFormat="1" ht="12.75" customHeight="1">
      <c r="A203" s="44" t="s">
        <v>232</v>
      </c>
      <c r="B203" s="51"/>
      <c r="C203" s="44" t="s">
        <v>27</v>
      </c>
      <c r="D203" s="35"/>
      <c r="E203" s="45">
        <v>5353321</v>
      </c>
      <c r="F203" s="45"/>
      <c r="G203" s="45">
        <v>14848804</v>
      </c>
      <c r="H203" s="45"/>
      <c r="I203" s="45">
        <v>8379338</v>
      </c>
      <c r="J203" s="45"/>
      <c r="K203" s="45">
        <v>9453217</v>
      </c>
      <c r="L203" s="45"/>
      <c r="M203" s="45">
        <v>246721</v>
      </c>
      <c r="N203" s="45"/>
      <c r="O203" s="45">
        <v>0</v>
      </c>
      <c r="P203" s="45"/>
      <c r="Q203" s="45">
        <v>5148866</v>
      </c>
      <c r="R203" s="45"/>
      <c r="S203" s="45">
        <f>+Q203+O203+M203</f>
        <v>5395587</v>
      </c>
      <c r="T203" s="45"/>
      <c r="U203" s="46">
        <f t="shared" si="13"/>
        <v>0</v>
      </c>
      <c r="V203" s="44">
        <f t="shared" si="14"/>
        <v>0</v>
      </c>
    </row>
    <row r="204" spans="1:22" s="44" customFormat="1" ht="12.75" customHeight="1">
      <c r="A204" s="44" t="s">
        <v>233</v>
      </c>
      <c r="B204" s="51"/>
      <c r="C204" s="44" t="s">
        <v>111</v>
      </c>
      <c r="D204" s="35"/>
      <c r="E204" s="45">
        <v>5308881</v>
      </c>
      <c r="F204" s="45"/>
      <c r="G204" s="45">
        <v>7344099</v>
      </c>
      <c r="H204" s="45"/>
      <c r="I204" s="45">
        <v>1217521</v>
      </c>
      <c r="J204" s="45"/>
      <c r="K204" s="45">
        <v>1607082</v>
      </c>
      <c r="L204" s="45"/>
      <c r="M204" s="45">
        <v>304124</v>
      </c>
      <c r="N204" s="45"/>
      <c r="O204" s="45">
        <v>0</v>
      </c>
      <c r="P204" s="45"/>
      <c r="Q204" s="45">
        <v>5432893</v>
      </c>
      <c r="R204" s="45"/>
      <c r="S204" s="45">
        <f t="shared" si="12"/>
        <v>5737017</v>
      </c>
      <c r="T204" s="45"/>
      <c r="U204" s="46">
        <f t="shared" si="13"/>
        <v>0</v>
      </c>
      <c r="V204" s="44">
        <f t="shared" si="14"/>
        <v>0</v>
      </c>
    </row>
    <row r="205" spans="1:22" s="44" customFormat="1" ht="12.75" customHeight="1">
      <c r="A205" s="46" t="s">
        <v>234</v>
      </c>
      <c r="B205" s="46"/>
      <c r="C205" s="46" t="s">
        <v>45</v>
      </c>
      <c r="D205" s="64"/>
      <c r="E205" s="45">
        <v>5296970</v>
      </c>
      <c r="F205" s="45"/>
      <c r="G205" s="45">
        <v>12886478</v>
      </c>
      <c r="H205" s="45"/>
      <c r="I205" s="45">
        <v>3433661</v>
      </c>
      <c r="J205" s="45"/>
      <c r="K205" s="45">
        <v>4949448</v>
      </c>
      <c r="L205" s="45"/>
      <c r="M205" s="45">
        <v>445239</v>
      </c>
      <c r="N205" s="45"/>
      <c r="O205" s="45">
        <v>1158419</v>
      </c>
      <c r="P205" s="45"/>
      <c r="Q205" s="45">
        <v>6333372</v>
      </c>
      <c r="R205" s="45"/>
      <c r="S205" s="45">
        <f t="shared" si="12"/>
        <v>7937030</v>
      </c>
      <c r="T205" s="45"/>
      <c r="U205" s="46">
        <f t="shared" si="13"/>
        <v>0</v>
      </c>
      <c r="V205" s="44">
        <f t="shared" si="14"/>
        <v>0</v>
      </c>
    </row>
    <row r="206" spans="1:22" s="44" customFormat="1" ht="12.75" customHeight="1">
      <c r="A206" s="44" t="s">
        <v>235</v>
      </c>
      <c r="C206" s="44" t="s">
        <v>183</v>
      </c>
      <c r="D206" s="35"/>
      <c r="E206" s="45">
        <v>6424955</v>
      </c>
      <c r="F206" s="45"/>
      <c r="G206" s="45">
        <v>16185592</v>
      </c>
      <c r="H206" s="45"/>
      <c r="I206" s="45">
        <v>6075070</v>
      </c>
      <c r="J206" s="45"/>
      <c r="K206" s="45">
        <v>10405855</v>
      </c>
      <c r="L206" s="45"/>
      <c r="M206" s="45">
        <v>2613000</v>
      </c>
      <c r="N206" s="45"/>
      <c r="O206" s="45">
        <v>0</v>
      </c>
      <c r="P206" s="45"/>
      <c r="Q206" s="45">
        <v>3166737</v>
      </c>
      <c r="R206" s="45"/>
      <c r="S206" s="45">
        <f t="shared" si="12"/>
        <v>5779737</v>
      </c>
      <c r="T206" s="45"/>
      <c r="U206" s="46">
        <f t="shared" si="13"/>
        <v>0</v>
      </c>
      <c r="V206" s="44">
        <f t="shared" si="14"/>
        <v>0</v>
      </c>
    </row>
    <row r="207" spans="1:22" s="44" customFormat="1" ht="12.75" customHeight="1">
      <c r="A207" s="44" t="s">
        <v>236</v>
      </c>
      <c r="B207" s="51"/>
      <c r="C207" s="44" t="s">
        <v>45</v>
      </c>
      <c r="D207" s="35"/>
      <c r="E207" s="45">
        <v>1932420</v>
      </c>
      <c r="F207" s="45"/>
      <c r="G207" s="45">
        <v>9228163</v>
      </c>
      <c r="H207" s="45"/>
      <c r="I207" s="45">
        <v>1285329</v>
      </c>
      <c r="J207" s="45"/>
      <c r="K207" s="45">
        <v>1902763</v>
      </c>
      <c r="L207" s="45"/>
      <c r="M207" s="45">
        <v>7325400</v>
      </c>
      <c r="N207" s="45"/>
      <c r="O207" s="45">
        <v>0</v>
      </c>
      <c r="P207" s="45"/>
      <c r="Q207" s="45">
        <v>0</v>
      </c>
      <c r="R207" s="45"/>
      <c r="S207" s="45">
        <f t="shared" si="12"/>
        <v>7325400</v>
      </c>
      <c r="T207" s="45"/>
      <c r="U207" s="46">
        <f t="shared" si="13"/>
        <v>0</v>
      </c>
      <c r="V207" s="44">
        <f t="shared" si="14"/>
        <v>0</v>
      </c>
    </row>
    <row r="208" spans="1:22" s="44" customFormat="1" ht="12.75" customHeight="1">
      <c r="A208" s="44" t="s">
        <v>237</v>
      </c>
      <c r="C208" s="44" t="s">
        <v>33</v>
      </c>
      <c r="D208" s="35"/>
      <c r="E208" s="45">
        <v>622171</v>
      </c>
      <c r="F208" s="45"/>
      <c r="G208" s="45">
        <v>1770460</v>
      </c>
      <c r="H208" s="45"/>
      <c r="I208" s="45">
        <v>1079597</v>
      </c>
      <c r="J208" s="45"/>
      <c r="K208" s="45">
        <v>1113015</v>
      </c>
      <c r="L208" s="45"/>
      <c r="M208" s="45">
        <v>4858</v>
      </c>
      <c r="N208" s="45"/>
      <c r="O208" s="45">
        <v>0</v>
      </c>
      <c r="P208" s="45"/>
      <c r="Q208" s="45">
        <v>652587</v>
      </c>
      <c r="R208" s="45"/>
      <c r="S208" s="45">
        <f t="shared" si="12"/>
        <v>657445</v>
      </c>
      <c r="T208" s="45"/>
      <c r="U208" s="46">
        <f t="shared" si="13"/>
        <v>0</v>
      </c>
      <c r="V208" s="44">
        <f t="shared" si="14"/>
        <v>0</v>
      </c>
    </row>
    <row r="209" spans="1:22" s="44" customFormat="1" ht="12.75" customHeight="1">
      <c r="A209" s="44" t="s">
        <v>238</v>
      </c>
      <c r="B209" s="51"/>
      <c r="C209" s="44" t="s">
        <v>239</v>
      </c>
      <c r="D209" s="35"/>
      <c r="E209" s="45">
        <v>4666845</v>
      </c>
      <c r="F209" s="45"/>
      <c r="G209" s="45">
        <v>6242729</v>
      </c>
      <c r="H209" s="45"/>
      <c r="I209" s="45">
        <v>533347</v>
      </c>
      <c r="J209" s="45"/>
      <c r="K209" s="45">
        <v>1168545</v>
      </c>
      <c r="L209" s="45"/>
      <c r="M209" s="45">
        <v>274688</v>
      </c>
      <c r="N209" s="45"/>
      <c r="O209" s="45">
        <v>0</v>
      </c>
      <c r="P209" s="45"/>
      <c r="Q209" s="45">
        <v>4799496</v>
      </c>
      <c r="R209" s="45"/>
      <c r="S209" s="45">
        <f t="shared" si="12"/>
        <v>5074184</v>
      </c>
      <c r="T209" s="45"/>
      <c r="U209" s="46">
        <f t="shared" si="13"/>
        <v>0</v>
      </c>
      <c r="V209" s="44">
        <f t="shared" si="14"/>
        <v>0</v>
      </c>
    </row>
    <row r="210" spans="1:22" s="44" customFormat="1" ht="12.75" customHeight="1">
      <c r="A210" s="44" t="s">
        <v>487</v>
      </c>
      <c r="B210" s="51"/>
      <c r="C210" s="44" t="s">
        <v>249</v>
      </c>
      <c r="D210" s="35"/>
      <c r="E210" s="45">
        <v>2017500</v>
      </c>
      <c r="F210" s="45"/>
      <c r="G210" s="45">
        <v>6520296</v>
      </c>
      <c r="H210" s="45"/>
      <c r="I210" s="45">
        <v>2653839</v>
      </c>
      <c r="J210" s="45"/>
      <c r="K210" s="45">
        <v>5209375</v>
      </c>
      <c r="L210" s="45"/>
      <c r="M210" s="45">
        <v>2166736</v>
      </c>
      <c r="N210" s="45"/>
      <c r="O210" s="45">
        <v>0</v>
      </c>
      <c r="P210" s="45"/>
      <c r="Q210" s="45">
        <v>-855815</v>
      </c>
      <c r="R210" s="45"/>
      <c r="S210" s="45">
        <f>+Q210+O210+M210</f>
        <v>1310921</v>
      </c>
      <c r="T210" s="45"/>
      <c r="U210" s="46">
        <f>+G210-K210-S210</f>
        <v>0</v>
      </c>
      <c r="V210" s="44">
        <f>+G210-K210-S210</f>
        <v>0</v>
      </c>
    </row>
    <row r="211" spans="1:22" s="44" customFormat="1" ht="12.75" customHeight="1">
      <c r="A211" s="44" t="s">
        <v>240</v>
      </c>
      <c r="B211" s="51"/>
      <c r="C211" s="44" t="s">
        <v>13</v>
      </c>
      <c r="D211" s="35"/>
      <c r="E211" s="45">
        <v>5085755</v>
      </c>
      <c r="F211" s="45"/>
      <c r="G211" s="45">
        <v>13613582</v>
      </c>
      <c r="H211" s="45"/>
      <c r="I211" s="45">
        <v>1865821</v>
      </c>
      <c r="J211" s="45"/>
      <c r="K211" s="45">
        <v>7730812</v>
      </c>
      <c r="L211" s="45"/>
      <c r="M211" s="45">
        <v>648662</v>
      </c>
      <c r="N211" s="45"/>
      <c r="O211" s="45">
        <v>0</v>
      </c>
      <c r="P211" s="45"/>
      <c r="Q211" s="45">
        <v>5234108</v>
      </c>
      <c r="R211" s="45"/>
      <c r="S211" s="45">
        <f t="shared" si="12"/>
        <v>5882770</v>
      </c>
      <c r="T211" s="45"/>
      <c r="U211" s="46">
        <f t="shared" si="13"/>
        <v>0</v>
      </c>
      <c r="V211" s="44">
        <f t="shared" si="14"/>
        <v>0</v>
      </c>
    </row>
    <row r="212" spans="1:22" s="137" customFormat="1" ht="12.75" hidden="1" customHeight="1">
      <c r="A212" s="137" t="s">
        <v>241</v>
      </c>
      <c r="C212" s="137" t="s">
        <v>22</v>
      </c>
      <c r="D212" s="142"/>
      <c r="E212" s="143">
        <v>0</v>
      </c>
      <c r="F212" s="143"/>
      <c r="G212" s="143">
        <v>0</v>
      </c>
      <c r="H212" s="143"/>
      <c r="I212" s="143">
        <v>0</v>
      </c>
      <c r="J212" s="143"/>
      <c r="K212" s="143">
        <v>0</v>
      </c>
      <c r="L212" s="143"/>
      <c r="M212" s="143">
        <v>0</v>
      </c>
      <c r="N212" s="143"/>
      <c r="O212" s="143">
        <v>0</v>
      </c>
      <c r="P212" s="143"/>
      <c r="Q212" s="143">
        <v>0</v>
      </c>
      <c r="R212" s="143"/>
      <c r="S212" s="143">
        <f t="shared" si="12"/>
        <v>0</v>
      </c>
      <c r="T212" s="143"/>
      <c r="U212" s="139">
        <f t="shared" si="13"/>
        <v>0</v>
      </c>
      <c r="V212" s="137">
        <f t="shared" si="14"/>
        <v>0</v>
      </c>
    </row>
    <row r="213" spans="1:22" s="44" customFormat="1" ht="12.75" customHeight="1">
      <c r="A213" s="44" t="s">
        <v>242</v>
      </c>
      <c r="B213" s="51"/>
      <c r="C213" s="44" t="s">
        <v>27</v>
      </c>
      <c r="D213" s="35"/>
      <c r="E213" s="45">
        <v>8089286</v>
      </c>
      <c r="F213" s="45"/>
      <c r="G213" s="45">
        <v>16642452</v>
      </c>
      <c r="H213" s="45"/>
      <c r="I213" s="45">
        <v>3766257</v>
      </c>
      <c r="J213" s="45"/>
      <c r="K213" s="45">
        <v>5560481</v>
      </c>
      <c r="L213" s="45"/>
      <c r="M213" s="45">
        <v>272177</v>
      </c>
      <c r="N213" s="45"/>
      <c r="O213" s="45">
        <v>0</v>
      </c>
      <c r="P213" s="45"/>
      <c r="Q213" s="45">
        <v>10809794</v>
      </c>
      <c r="R213" s="45"/>
      <c r="S213" s="45">
        <f t="shared" si="12"/>
        <v>11081971</v>
      </c>
      <c r="T213" s="45"/>
      <c r="U213" s="46">
        <f t="shared" si="13"/>
        <v>0</v>
      </c>
      <c r="V213" s="44">
        <f>+G213-K213-S213</f>
        <v>0</v>
      </c>
    </row>
    <row r="214" spans="1:22" s="44" customFormat="1" ht="12.75" customHeight="1">
      <c r="A214" s="44" t="s">
        <v>243</v>
      </c>
      <c r="C214" s="44" t="s">
        <v>163</v>
      </c>
      <c r="D214" s="35"/>
      <c r="E214" s="45">
        <v>50479</v>
      </c>
      <c r="F214" s="45"/>
      <c r="G214" s="45">
        <v>3352069</v>
      </c>
      <c r="H214" s="45"/>
      <c r="I214" s="45">
        <v>1632164</v>
      </c>
      <c r="J214" s="45"/>
      <c r="K214" s="45">
        <v>2418150</v>
      </c>
      <c r="L214" s="45"/>
      <c r="M214" s="45">
        <v>322425</v>
      </c>
      <c r="N214" s="45"/>
      <c r="O214" s="45">
        <v>0</v>
      </c>
      <c r="P214" s="45"/>
      <c r="Q214" s="45">
        <v>611494</v>
      </c>
      <c r="R214" s="45"/>
      <c r="S214" s="45">
        <f t="shared" ref="S214:S256" si="15">+Q214+O214+M214</f>
        <v>933919</v>
      </c>
      <c r="T214" s="45"/>
      <c r="U214" s="46">
        <f t="shared" ref="U214:U256" si="16">+G214-K214-S214</f>
        <v>0</v>
      </c>
      <c r="V214" s="44">
        <f t="shared" ref="V214:V256" si="17">+G214-K214-S214</f>
        <v>0</v>
      </c>
    </row>
    <row r="215" spans="1:22" s="44" customFormat="1" ht="12.75" customHeight="1">
      <c r="A215" s="44" t="s">
        <v>244</v>
      </c>
      <c r="B215" s="51"/>
      <c r="C215" s="44" t="s">
        <v>13</v>
      </c>
      <c r="D215" s="35"/>
      <c r="E215" s="45">
        <v>2324511</v>
      </c>
      <c r="F215" s="45"/>
      <c r="G215" s="45">
        <v>5205426</v>
      </c>
      <c r="H215" s="45"/>
      <c r="I215" s="45">
        <v>945091</v>
      </c>
      <c r="J215" s="45"/>
      <c r="K215" s="45">
        <v>2346348</v>
      </c>
      <c r="L215" s="45"/>
      <c r="M215" s="45">
        <v>346588</v>
      </c>
      <c r="N215" s="45"/>
      <c r="O215" s="45">
        <v>0</v>
      </c>
      <c r="P215" s="45"/>
      <c r="Q215" s="45">
        <v>2512490</v>
      </c>
      <c r="R215" s="45"/>
      <c r="S215" s="45">
        <f t="shared" si="15"/>
        <v>2859078</v>
      </c>
      <c r="T215" s="45"/>
      <c r="U215" s="46">
        <f t="shared" si="16"/>
        <v>0</v>
      </c>
      <c r="V215" s="44">
        <f t="shared" si="17"/>
        <v>0</v>
      </c>
    </row>
    <row r="216" spans="1:22" s="44" customFormat="1" ht="12.75" customHeight="1">
      <c r="A216" s="44" t="s">
        <v>245</v>
      </c>
      <c r="B216" s="51"/>
      <c r="C216" s="44" t="s">
        <v>110</v>
      </c>
      <c r="D216" s="35"/>
      <c r="E216" s="45">
        <v>1510999</v>
      </c>
      <c r="F216" s="45"/>
      <c r="G216" s="45">
        <v>5132777</v>
      </c>
      <c r="H216" s="45"/>
      <c r="I216" s="45">
        <v>1863254</v>
      </c>
      <c r="J216" s="45"/>
      <c r="K216" s="45">
        <v>3503334</v>
      </c>
      <c r="L216" s="45"/>
      <c r="M216" s="45">
        <v>283091</v>
      </c>
      <c r="N216" s="45"/>
      <c r="O216" s="45">
        <v>0</v>
      </c>
      <c r="P216" s="45"/>
      <c r="Q216" s="45">
        <v>1346352</v>
      </c>
      <c r="R216" s="45"/>
      <c r="S216" s="45">
        <f t="shared" si="15"/>
        <v>1629443</v>
      </c>
      <c r="T216" s="45"/>
      <c r="U216" s="46">
        <f t="shared" si="16"/>
        <v>0</v>
      </c>
      <c r="V216" s="44">
        <f t="shared" si="17"/>
        <v>0</v>
      </c>
    </row>
    <row r="217" spans="1:22" s="46" customFormat="1" ht="12.75" customHeight="1">
      <c r="A217" s="46" t="s">
        <v>246</v>
      </c>
      <c r="C217" s="46" t="s">
        <v>209</v>
      </c>
      <c r="D217" s="64"/>
      <c r="E217" s="45">
        <v>3282615</v>
      </c>
      <c r="F217" s="45"/>
      <c r="G217" s="45">
        <v>4861201</v>
      </c>
      <c r="H217" s="45"/>
      <c r="I217" s="45">
        <v>936369</v>
      </c>
      <c r="J217" s="45"/>
      <c r="K217" s="45">
        <v>1254680</v>
      </c>
      <c r="L217" s="45"/>
      <c r="M217" s="45">
        <v>204706</v>
      </c>
      <c r="N217" s="45"/>
      <c r="O217" s="45">
        <v>0</v>
      </c>
      <c r="P217" s="45"/>
      <c r="Q217" s="45">
        <v>3401815</v>
      </c>
      <c r="R217" s="45"/>
      <c r="S217" s="45">
        <f t="shared" si="15"/>
        <v>3606521</v>
      </c>
      <c r="T217" s="45"/>
      <c r="U217" s="46">
        <f t="shared" si="16"/>
        <v>0</v>
      </c>
      <c r="V217" s="44">
        <f t="shared" si="17"/>
        <v>0</v>
      </c>
    </row>
    <row r="218" spans="1:22" s="44" customFormat="1" ht="12.75" customHeight="1">
      <c r="A218" s="44" t="s">
        <v>247</v>
      </c>
      <c r="C218" s="44" t="s">
        <v>163</v>
      </c>
      <c r="D218" s="35"/>
      <c r="E218" s="45">
        <v>3608000</v>
      </c>
      <c r="F218" s="45"/>
      <c r="G218" s="45">
        <v>61889000</v>
      </c>
      <c r="H218" s="45"/>
      <c r="I218" s="45">
        <v>19113000</v>
      </c>
      <c r="J218" s="45"/>
      <c r="K218" s="45">
        <v>49566000</v>
      </c>
      <c r="L218" s="45"/>
      <c r="M218" s="45">
        <v>5485000</v>
      </c>
      <c r="N218" s="45"/>
      <c r="O218" s="45">
        <v>0</v>
      </c>
      <c r="P218" s="45"/>
      <c r="Q218" s="45">
        <v>6838000</v>
      </c>
      <c r="R218" s="45"/>
      <c r="S218" s="45">
        <f t="shared" si="15"/>
        <v>12323000</v>
      </c>
      <c r="T218" s="45"/>
      <c r="U218" s="46">
        <f t="shared" si="16"/>
        <v>0</v>
      </c>
      <c r="V218" s="44">
        <f t="shared" si="17"/>
        <v>0</v>
      </c>
    </row>
    <row r="219" spans="1:22" s="44" customFormat="1" ht="12.75" customHeight="1">
      <c r="A219" s="44" t="s">
        <v>248</v>
      </c>
      <c r="C219" s="44" t="s">
        <v>249</v>
      </c>
      <c r="D219" s="35"/>
      <c r="E219" s="45">
        <v>1319601</v>
      </c>
      <c r="F219" s="45"/>
      <c r="G219" s="45">
        <v>2807642</v>
      </c>
      <c r="H219" s="45"/>
      <c r="I219" s="45">
        <v>1295051</v>
      </c>
      <c r="J219" s="45"/>
      <c r="K219" s="45">
        <v>1320570</v>
      </c>
      <c r="L219" s="45"/>
      <c r="M219" s="45">
        <v>24262</v>
      </c>
      <c r="N219" s="45"/>
      <c r="O219" s="45">
        <v>0</v>
      </c>
      <c r="P219" s="45"/>
      <c r="Q219" s="45">
        <v>1462810</v>
      </c>
      <c r="R219" s="45"/>
      <c r="S219" s="45">
        <f t="shared" si="15"/>
        <v>1487072</v>
      </c>
      <c r="T219" s="45"/>
      <c r="U219" s="46">
        <f t="shared" si="16"/>
        <v>0</v>
      </c>
      <c r="V219" s="44">
        <f t="shared" si="17"/>
        <v>0</v>
      </c>
    </row>
    <row r="220" spans="1:22" s="44" customFormat="1" ht="12.75" customHeight="1">
      <c r="A220" s="44" t="s">
        <v>250</v>
      </c>
      <c r="B220" s="51"/>
      <c r="C220" s="44" t="s">
        <v>103</v>
      </c>
      <c r="D220" s="35"/>
      <c r="E220" s="45">
        <v>2012751</v>
      </c>
      <c r="F220" s="45"/>
      <c r="G220" s="45">
        <v>2982562</v>
      </c>
      <c r="H220" s="45"/>
      <c r="I220" s="45">
        <v>789700</v>
      </c>
      <c r="J220" s="45"/>
      <c r="K220" s="45">
        <v>898490</v>
      </c>
      <c r="L220" s="45"/>
      <c r="M220" s="45">
        <v>13310</v>
      </c>
      <c r="N220" s="45"/>
      <c r="O220" s="45">
        <v>0</v>
      </c>
      <c r="P220" s="45"/>
      <c r="Q220" s="45">
        <v>2070762</v>
      </c>
      <c r="R220" s="45"/>
      <c r="S220" s="45">
        <f t="shared" si="15"/>
        <v>2084072</v>
      </c>
      <c r="T220" s="45"/>
      <c r="U220" s="46">
        <f t="shared" si="16"/>
        <v>0</v>
      </c>
      <c r="V220" s="44">
        <f t="shared" si="17"/>
        <v>0</v>
      </c>
    </row>
    <row r="221" spans="1:22" s="44" customFormat="1" ht="12.75" customHeight="1">
      <c r="A221" s="44" t="s">
        <v>251</v>
      </c>
      <c r="B221" s="51"/>
      <c r="C221" s="44" t="s">
        <v>66</v>
      </c>
      <c r="D221" s="35"/>
      <c r="E221" s="45">
        <v>1363597</v>
      </c>
      <c r="F221" s="45"/>
      <c r="G221" s="45">
        <v>6437834</v>
      </c>
      <c r="H221" s="45"/>
      <c r="I221" s="45">
        <v>3549638</v>
      </c>
      <c r="J221" s="45"/>
      <c r="K221" s="45">
        <v>4386762</v>
      </c>
      <c r="L221" s="45"/>
      <c r="M221" s="45">
        <v>160153</v>
      </c>
      <c r="N221" s="45"/>
      <c r="O221" s="45">
        <v>0</v>
      </c>
      <c r="P221" s="45"/>
      <c r="Q221" s="45">
        <v>1890919</v>
      </c>
      <c r="R221" s="45"/>
      <c r="S221" s="45">
        <f t="shared" si="15"/>
        <v>2051072</v>
      </c>
      <c r="T221" s="45"/>
      <c r="U221" s="46">
        <f t="shared" si="16"/>
        <v>0</v>
      </c>
      <c r="V221" s="44">
        <f t="shared" si="17"/>
        <v>0</v>
      </c>
    </row>
    <row r="222" spans="1:22" s="44" customFormat="1" ht="12.75" customHeight="1">
      <c r="A222" s="44" t="s">
        <v>252</v>
      </c>
      <c r="B222" s="51"/>
      <c r="C222" s="44" t="s">
        <v>209</v>
      </c>
      <c r="D222" s="35"/>
      <c r="E222" s="45">
        <v>37184727</v>
      </c>
      <c r="F222" s="45"/>
      <c r="G222" s="45">
        <v>41690242</v>
      </c>
      <c r="H222" s="45"/>
      <c r="I222" s="45">
        <v>2168304</v>
      </c>
      <c r="J222" s="45"/>
      <c r="K222" s="45">
        <v>3246785</v>
      </c>
      <c r="L222" s="45"/>
      <c r="M222" s="45">
        <v>223214</v>
      </c>
      <c r="N222" s="45"/>
      <c r="O222" s="45">
        <v>0</v>
      </c>
      <c r="P222" s="45"/>
      <c r="Q222" s="45">
        <v>38220243</v>
      </c>
      <c r="R222" s="45"/>
      <c r="S222" s="45">
        <f t="shared" si="15"/>
        <v>38443457</v>
      </c>
      <c r="T222" s="45"/>
      <c r="U222" s="46">
        <f t="shared" si="16"/>
        <v>0</v>
      </c>
      <c r="V222" s="44">
        <f t="shared" si="17"/>
        <v>0</v>
      </c>
    </row>
    <row r="223" spans="1:22" s="44" customFormat="1" ht="12.75" customHeight="1">
      <c r="A223" s="44" t="s">
        <v>253</v>
      </c>
      <c r="B223" s="51"/>
      <c r="C223" s="44" t="s">
        <v>13</v>
      </c>
      <c r="D223" s="35"/>
      <c r="E223" s="45">
        <v>5144413</v>
      </c>
      <c r="F223" s="45"/>
      <c r="G223" s="45">
        <v>9228063</v>
      </c>
      <c r="H223" s="45"/>
      <c r="I223" s="45">
        <v>642684</v>
      </c>
      <c r="J223" s="45"/>
      <c r="K223" s="45">
        <v>1203584</v>
      </c>
      <c r="L223" s="45"/>
      <c r="M223" s="45">
        <f>94057+219776</f>
        <v>313833</v>
      </c>
      <c r="N223" s="45"/>
      <c r="O223" s="45">
        <v>0</v>
      </c>
      <c r="P223" s="45"/>
      <c r="Q223" s="45">
        <v>7710646</v>
      </c>
      <c r="R223" s="45"/>
      <c r="S223" s="45">
        <f>+Q223+O223+M223</f>
        <v>8024479</v>
      </c>
      <c r="T223" s="45"/>
      <c r="U223" s="46">
        <f t="shared" si="16"/>
        <v>0</v>
      </c>
      <c r="V223" s="44">
        <f t="shared" si="17"/>
        <v>0</v>
      </c>
    </row>
    <row r="224" spans="1:22" s="44" customFormat="1" ht="12.75" customHeight="1">
      <c r="A224" s="44" t="s">
        <v>254</v>
      </c>
      <c r="B224" s="51"/>
      <c r="C224" s="44" t="s">
        <v>89</v>
      </c>
      <c r="D224" s="35"/>
      <c r="E224" s="45">
        <v>1179146</v>
      </c>
      <c r="F224" s="45"/>
      <c r="G224" s="45">
        <v>2036082</v>
      </c>
      <c r="H224" s="45"/>
      <c r="I224" s="45">
        <v>597410</v>
      </c>
      <c r="J224" s="45"/>
      <c r="K224" s="45">
        <v>623504</v>
      </c>
      <c r="L224" s="45"/>
      <c r="M224" s="45">
        <v>0</v>
      </c>
      <c r="N224" s="45"/>
      <c r="O224" s="45">
        <v>0</v>
      </c>
      <c r="P224" s="45"/>
      <c r="Q224" s="45">
        <v>1412578</v>
      </c>
      <c r="R224" s="45"/>
      <c r="S224" s="45">
        <f t="shared" si="15"/>
        <v>1412578</v>
      </c>
      <c r="T224" s="45"/>
      <c r="U224" s="46">
        <f t="shared" si="16"/>
        <v>0</v>
      </c>
      <c r="V224" s="44">
        <f t="shared" si="17"/>
        <v>0</v>
      </c>
    </row>
    <row r="225" spans="1:22" s="44" customFormat="1" ht="12.75" customHeight="1">
      <c r="A225" s="44" t="s">
        <v>159</v>
      </c>
      <c r="C225" s="44" t="s">
        <v>66</v>
      </c>
      <c r="D225" s="35"/>
      <c r="E225" s="45">
        <v>260650</v>
      </c>
      <c r="F225" s="45"/>
      <c r="G225" s="45">
        <v>841467</v>
      </c>
      <c r="H225" s="45"/>
      <c r="I225" s="45">
        <v>521169</v>
      </c>
      <c r="J225" s="45"/>
      <c r="K225" s="45">
        <v>530001</v>
      </c>
      <c r="L225" s="45"/>
      <c r="M225" s="45">
        <v>10465</v>
      </c>
      <c r="N225" s="45"/>
      <c r="O225" s="45">
        <v>0</v>
      </c>
      <c r="P225" s="45"/>
      <c r="Q225" s="45">
        <v>301001</v>
      </c>
      <c r="R225" s="45"/>
      <c r="S225" s="45">
        <f>+Q225+O225+M225</f>
        <v>311466</v>
      </c>
      <c r="T225" s="45"/>
      <c r="U225" s="46">
        <f t="shared" si="16"/>
        <v>0</v>
      </c>
      <c r="V225" s="44">
        <f>+G225-K225-S225</f>
        <v>0</v>
      </c>
    </row>
    <row r="226" spans="1:22" s="44" customFormat="1" ht="12.75" customHeight="1">
      <c r="A226" s="44" t="s">
        <v>255</v>
      </c>
      <c r="B226" s="51"/>
      <c r="C226" s="44" t="s">
        <v>27</v>
      </c>
      <c r="D226" s="35"/>
      <c r="E226" s="45">
        <v>0</v>
      </c>
      <c r="F226" s="45"/>
      <c r="G226" s="45">
        <v>7507100</v>
      </c>
      <c r="H226" s="45"/>
      <c r="I226" s="45">
        <v>6101272</v>
      </c>
      <c r="J226" s="45"/>
      <c r="K226" s="45">
        <v>7228724</v>
      </c>
      <c r="L226" s="45"/>
      <c r="M226" s="45">
        <v>122957</v>
      </c>
      <c r="N226" s="45"/>
      <c r="O226" s="45">
        <v>0</v>
      </c>
      <c r="P226" s="45"/>
      <c r="Q226" s="45">
        <v>155419</v>
      </c>
      <c r="R226" s="45"/>
      <c r="S226" s="45">
        <f t="shared" si="15"/>
        <v>278376</v>
      </c>
      <c r="T226" s="45"/>
      <c r="U226" s="46">
        <f t="shared" si="16"/>
        <v>0</v>
      </c>
      <c r="V226" s="44">
        <f t="shared" si="17"/>
        <v>0</v>
      </c>
    </row>
    <row r="227" spans="1:22" s="44" customFormat="1" ht="12.75" customHeight="1">
      <c r="A227" s="44" t="s">
        <v>256</v>
      </c>
      <c r="C227" s="44" t="s">
        <v>43</v>
      </c>
      <c r="D227" s="35"/>
      <c r="E227" s="45">
        <v>25592449</v>
      </c>
      <c r="F227" s="45"/>
      <c r="G227" s="45">
        <v>43480630</v>
      </c>
      <c r="H227" s="45"/>
      <c r="I227" s="45">
        <v>13840237</v>
      </c>
      <c r="J227" s="45"/>
      <c r="K227" s="45">
        <v>15048734</v>
      </c>
      <c r="L227" s="45"/>
      <c r="M227" s="45">
        <v>877531</v>
      </c>
      <c r="N227" s="45"/>
      <c r="O227" s="45">
        <v>6985742</v>
      </c>
      <c r="P227" s="45"/>
      <c r="Q227" s="45">
        <v>20568623</v>
      </c>
      <c r="R227" s="45"/>
      <c r="S227" s="45">
        <f>+Q227+O227+M227</f>
        <v>28431896</v>
      </c>
      <c r="T227" s="45"/>
      <c r="U227" s="44">
        <f t="shared" si="16"/>
        <v>0</v>
      </c>
      <c r="V227" s="44">
        <f>+G227-K227-S227</f>
        <v>0</v>
      </c>
    </row>
    <row r="228" spans="1:22" s="44" customFormat="1" ht="12.75" customHeight="1">
      <c r="A228" s="44" t="s">
        <v>257</v>
      </c>
      <c r="B228" s="51"/>
      <c r="C228" s="44" t="s">
        <v>258</v>
      </c>
      <c r="D228" s="35"/>
      <c r="E228" s="45">
        <v>638474</v>
      </c>
      <c r="F228" s="45"/>
      <c r="G228" s="45">
        <v>1906580</v>
      </c>
      <c r="H228" s="45"/>
      <c r="I228" s="45">
        <v>1068177</v>
      </c>
      <c r="J228" s="45"/>
      <c r="K228" s="45">
        <v>1354358</v>
      </c>
      <c r="L228" s="45"/>
      <c r="M228" s="45">
        <v>4853</v>
      </c>
      <c r="N228" s="45"/>
      <c r="O228" s="45">
        <v>0</v>
      </c>
      <c r="P228" s="45"/>
      <c r="Q228" s="45">
        <v>547369</v>
      </c>
      <c r="R228" s="45"/>
      <c r="S228" s="45">
        <f>+Q228+O228+M228</f>
        <v>552222</v>
      </c>
      <c r="T228" s="45"/>
      <c r="U228" s="46">
        <f t="shared" si="16"/>
        <v>0</v>
      </c>
      <c r="V228" s="44">
        <f>+G228-K228-S228</f>
        <v>0</v>
      </c>
    </row>
    <row r="229" spans="1:22" s="44" customFormat="1" ht="12.75" customHeight="1">
      <c r="A229" s="44" t="s">
        <v>259</v>
      </c>
      <c r="B229" s="51"/>
      <c r="C229" s="44" t="s">
        <v>260</v>
      </c>
      <c r="D229" s="35"/>
      <c r="E229" s="45">
        <v>690161</v>
      </c>
      <c r="F229" s="45"/>
      <c r="G229" s="45">
        <v>2746482</v>
      </c>
      <c r="H229" s="45"/>
      <c r="I229" s="45">
        <v>1046092</v>
      </c>
      <c r="J229" s="45"/>
      <c r="K229" s="45">
        <v>1454570</v>
      </c>
      <c r="L229" s="45"/>
      <c r="M229" s="45">
        <v>256752</v>
      </c>
      <c r="N229" s="45"/>
      <c r="O229" s="45">
        <v>0</v>
      </c>
      <c r="P229" s="45"/>
      <c r="Q229" s="45">
        <v>1035160</v>
      </c>
      <c r="R229" s="45"/>
      <c r="S229" s="45">
        <f t="shared" si="15"/>
        <v>1291912</v>
      </c>
      <c r="T229" s="45"/>
      <c r="U229" s="46">
        <f t="shared" si="16"/>
        <v>0</v>
      </c>
      <c r="V229" s="44">
        <f t="shared" si="17"/>
        <v>0</v>
      </c>
    </row>
    <row r="230" spans="1:22" s="44" customFormat="1" ht="12.75" customHeight="1">
      <c r="A230" s="44" t="s">
        <v>261</v>
      </c>
      <c r="B230" s="51"/>
      <c r="C230" s="44" t="s">
        <v>66</v>
      </c>
      <c r="D230" s="35"/>
      <c r="E230" s="45">
        <v>19472479</v>
      </c>
      <c r="F230" s="45"/>
      <c r="G230" s="45">
        <v>26014969</v>
      </c>
      <c r="H230" s="45"/>
      <c r="I230" s="45">
        <v>4194748</v>
      </c>
      <c r="J230" s="45"/>
      <c r="K230" s="45">
        <v>5512317</v>
      </c>
      <c r="L230" s="45"/>
      <c r="M230" s="45">
        <v>1790777</v>
      </c>
      <c r="N230" s="45"/>
      <c r="O230" s="45">
        <v>0</v>
      </c>
      <c r="P230" s="45"/>
      <c r="Q230" s="45">
        <v>18711875</v>
      </c>
      <c r="R230" s="45"/>
      <c r="S230" s="45">
        <f t="shared" si="15"/>
        <v>20502652</v>
      </c>
      <c r="T230" s="45"/>
      <c r="U230" s="46">
        <f t="shared" si="16"/>
        <v>0</v>
      </c>
      <c r="V230" s="44">
        <f t="shared" si="17"/>
        <v>0</v>
      </c>
    </row>
    <row r="231" spans="1:22" s="44" customFormat="1" ht="12.75" hidden="1" customHeight="1">
      <c r="A231" s="44" t="s">
        <v>490</v>
      </c>
      <c r="B231" s="47"/>
      <c r="C231" s="44" t="s">
        <v>132</v>
      </c>
      <c r="D231" s="35"/>
      <c r="E231" s="45">
        <v>0</v>
      </c>
      <c r="F231" s="45"/>
      <c r="G231" s="45">
        <v>0</v>
      </c>
      <c r="H231" s="45"/>
      <c r="I231" s="45">
        <v>0</v>
      </c>
      <c r="J231" s="45"/>
      <c r="K231" s="45">
        <v>0</v>
      </c>
      <c r="L231" s="45"/>
      <c r="M231" s="45">
        <v>0</v>
      </c>
      <c r="N231" s="45"/>
      <c r="O231" s="45">
        <v>0</v>
      </c>
      <c r="P231" s="45"/>
      <c r="Q231" s="45">
        <v>0</v>
      </c>
      <c r="R231" s="45"/>
      <c r="S231" s="45">
        <f t="shared" si="15"/>
        <v>0</v>
      </c>
      <c r="T231" s="45"/>
      <c r="U231" s="46">
        <f t="shared" si="16"/>
        <v>0</v>
      </c>
      <c r="V231" s="44">
        <f t="shared" si="17"/>
        <v>0</v>
      </c>
    </row>
    <row r="232" spans="1:22" s="44" customFormat="1" ht="12.75" customHeight="1">
      <c r="A232" s="44" t="s">
        <v>262</v>
      </c>
      <c r="B232" s="51"/>
      <c r="C232" s="44" t="s">
        <v>132</v>
      </c>
      <c r="D232" s="35"/>
      <c r="E232" s="45">
        <v>514176</v>
      </c>
      <c r="F232" s="45"/>
      <c r="G232" s="45">
        <v>4492678</v>
      </c>
      <c r="H232" s="45"/>
      <c r="I232" s="45">
        <v>2511205</v>
      </c>
      <c r="J232" s="45"/>
      <c r="K232" s="45">
        <v>2890752</v>
      </c>
      <c r="L232" s="45"/>
      <c r="M232" s="45">
        <f>80330+538295</f>
        <v>618625</v>
      </c>
      <c r="N232" s="45"/>
      <c r="O232" s="45">
        <v>0</v>
      </c>
      <c r="P232" s="45"/>
      <c r="Q232" s="45">
        <v>983301</v>
      </c>
      <c r="R232" s="45"/>
      <c r="S232" s="45">
        <f t="shared" si="15"/>
        <v>1601926</v>
      </c>
      <c r="T232" s="45"/>
      <c r="U232" s="46">
        <f t="shared" si="16"/>
        <v>0</v>
      </c>
      <c r="V232" s="44">
        <f t="shared" si="17"/>
        <v>0</v>
      </c>
    </row>
    <row r="233" spans="1:22" s="44" customFormat="1" ht="12.75" customHeight="1">
      <c r="A233" s="44" t="s">
        <v>263</v>
      </c>
      <c r="B233" s="51"/>
      <c r="C233" s="44" t="s">
        <v>53</v>
      </c>
      <c r="D233" s="35"/>
      <c r="E233" s="45">
        <v>3957890</v>
      </c>
      <c r="F233" s="45"/>
      <c r="G233" s="45">
        <v>5912633</v>
      </c>
      <c r="H233" s="45"/>
      <c r="I233" s="45">
        <v>1594756</v>
      </c>
      <c r="J233" s="45"/>
      <c r="K233" s="45">
        <v>2142333</v>
      </c>
      <c r="L233" s="45"/>
      <c r="M233" s="45">
        <v>650932</v>
      </c>
      <c r="N233" s="45"/>
      <c r="O233" s="45">
        <v>0</v>
      </c>
      <c r="P233" s="45"/>
      <c r="Q233" s="45">
        <v>3119368</v>
      </c>
      <c r="R233" s="45"/>
      <c r="S233" s="45">
        <f t="shared" si="15"/>
        <v>3770300</v>
      </c>
      <c r="T233" s="45"/>
      <c r="U233" s="46">
        <f t="shared" si="16"/>
        <v>0</v>
      </c>
      <c r="V233" s="44">
        <f t="shared" si="17"/>
        <v>0</v>
      </c>
    </row>
    <row r="234" spans="1:22" s="46" customFormat="1" ht="12.75" customHeight="1">
      <c r="A234" s="44" t="s">
        <v>264</v>
      </c>
      <c r="B234" s="51"/>
      <c r="C234" s="44" t="s">
        <v>239</v>
      </c>
      <c r="D234" s="35"/>
      <c r="E234" s="45">
        <v>3154265</v>
      </c>
      <c r="F234" s="45"/>
      <c r="G234" s="45">
        <v>4942807</v>
      </c>
      <c r="H234" s="45"/>
      <c r="I234" s="45">
        <v>1289974</v>
      </c>
      <c r="J234" s="45"/>
      <c r="K234" s="45">
        <v>1899491</v>
      </c>
      <c r="L234" s="45"/>
      <c r="M234" s="45">
        <v>204428</v>
      </c>
      <c r="N234" s="45"/>
      <c r="O234" s="45">
        <v>0</v>
      </c>
      <c r="P234" s="45"/>
      <c r="Q234" s="45">
        <v>2838888</v>
      </c>
      <c r="R234" s="45"/>
      <c r="S234" s="45">
        <f t="shared" si="15"/>
        <v>3043316</v>
      </c>
      <c r="T234" s="45"/>
      <c r="U234" s="46">
        <f t="shared" si="16"/>
        <v>0</v>
      </c>
      <c r="V234" s="44">
        <f t="shared" si="17"/>
        <v>0</v>
      </c>
    </row>
    <row r="235" spans="1:22" s="44" customFormat="1" ht="12.75" customHeight="1">
      <c r="A235" s="44" t="s">
        <v>111</v>
      </c>
      <c r="B235" s="51"/>
      <c r="C235" s="44" t="s">
        <v>80</v>
      </c>
      <c r="D235" s="35"/>
      <c r="E235" s="45">
        <v>1763697</v>
      </c>
      <c r="F235" s="45"/>
      <c r="G235" s="45">
        <v>7875097</v>
      </c>
      <c r="H235" s="45"/>
      <c r="I235" s="45">
        <v>2629058</v>
      </c>
      <c r="J235" s="45"/>
      <c r="K235" s="45">
        <v>3796251</v>
      </c>
      <c r="L235" s="45"/>
      <c r="M235" s="45">
        <v>505629</v>
      </c>
      <c r="N235" s="45"/>
      <c r="O235" s="45">
        <v>0</v>
      </c>
      <c r="P235" s="45"/>
      <c r="Q235" s="45">
        <v>3573217</v>
      </c>
      <c r="R235" s="45"/>
      <c r="S235" s="45">
        <f t="shared" si="15"/>
        <v>4078846</v>
      </c>
      <c r="T235" s="45"/>
      <c r="U235" s="46">
        <f t="shared" si="16"/>
        <v>0</v>
      </c>
      <c r="V235" s="44">
        <f t="shared" si="17"/>
        <v>0</v>
      </c>
    </row>
    <row r="236" spans="1:22" s="44" customFormat="1" ht="12.75" customHeight="1">
      <c r="A236" s="44" t="s">
        <v>265</v>
      </c>
      <c r="B236" s="51"/>
      <c r="C236" s="44" t="s">
        <v>27</v>
      </c>
      <c r="D236" s="35"/>
      <c r="E236" s="45">
        <v>694777</v>
      </c>
      <c r="F236" s="45"/>
      <c r="G236" s="45">
        <v>5050914</v>
      </c>
      <c r="H236" s="45"/>
      <c r="I236" s="45">
        <v>2701211</v>
      </c>
      <c r="J236" s="45"/>
      <c r="K236" s="45">
        <v>3776226</v>
      </c>
      <c r="L236" s="45"/>
      <c r="M236" s="45">
        <v>92809</v>
      </c>
      <c r="N236" s="45"/>
      <c r="O236" s="45">
        <v>0</v>
      </c>
      <c r="P236" s="45"/>
      <c r="Q236" s="45">
        <v>1181879</v>
      </c>
      <c r="R236" s="45"/>
      <c r="S236" s="45">
        <f t="shared" si="15"/>
        <v>1274688</v>
      </c>
      <c r="T236" s="45"/>
      <c r="U236" s="46">
        <f t="shared" si="16"/>
        <v>0</v>
      </c>
      <c r="V236" s="44">
        <f t="shared" si="17"/>
        <v>0</v>
      </c>
    </row>
    <row r="237" spans="1:22" s="44" customFormat="1" ht="12.75" customHeight="1">
      <c r="A237" s="44" t="s">
        <v>40</v>
      </c>
      <c r="B237" s="51"/>
      <c r="C237" s="47" t="s">
        <v>452</v>
      </c>
      <c r="D237" s="35"/>
      <c r="E237" s="45">
        <v>759390</v>
      </c>
      <c r="F237" s="45"/>
      <c r="G237" s="45">
        <v>2962280</v>
      </c>
      <c r="H237" s="45"/>
      <c r="I237" s="45">
        <v>1332174</v>
      </c>
      <c r="J237" s="45"/>
      <c r="K237" s="45">
        <v>1761929</v>
      </c>
      <c r="L237" s="45"/>
      <c r="M237" s="45">
        <v>23110</v>
      </c>
      <c r="N237" s="45"/>
      <c r="O237" s="45">
        <v>0</v>
      </c>
      <c r="P237" s="45"/>
      <c r="Q237" s="45">
        <v>1177241</v>
      </c>
      <c r="R237" s="45"/>
      <c r="S237" s="45">
        <f t="shared" si="15"/>
        <v>1200351</v>
      </c>
      <c r="T237" s="45"/>
      <c r="U237" s="46">
        <f t="shared" si="16"/>
        <v>0</v>
      </c>
      <c r="V237" s="44">
        <f t="shared" si="17"/>
        <v>0</v>
      </c>
    </row>
    <row r="238" spans="1:22" s="46" customFormat="1" ht="12.75" customHeight="1">
      <c r="A238" s="44" t="s">
        <v>266</v>
      </c>
      <c r="B238" s="44"/>
      <c r="C238" s="44" t="s">
        <v>267</v>
      </c>
      <c r="D238" s="35"/>
      <c r="E238" s="45">
        <v>1774527</v>
      </c>
      <c r="F238" s="45"/>
      <c r="G238" s="45">
        <v>2653414</v>
      </c>
      <c r="H238" s="45"/>
      <c r="I238" s="45">
        <v>508519</v>
      </c>
      <c r="J238" s="45"/>
      <c r="K238" s="45">
        <v>703899</v>
      </c>
      <c r="L238" s="45"/>
      <c r="M238" s="45">
        <v>177945</v>
      </c>
      <c r="N238" s="45"/>
      <c r="O238" s="45">
        <v>0</v>
      </c>
      <c r="P238" s="45"/>
      <c r="Q238" s="45">
        <v>1771570</v>
      </c>
      <c r="R238" s="45"/>
      <c r="S238" s="45">
        <f t="shared" si="15"/>
        <v>1949515</v>
      </c>
      <c r="T238" s="45"/>
      <c r="U238" s="46">
        <f t="shared" si="16"/>
        <v>0</v>
      </c>
      <c r="V238" s="44">
        <f t="shared" si="17"/>
        <v>0</v>
      </c>
    </row>
    <row r="239" spans="1:22" s="44" customFormat="1" ht="12.75" customHeight="1">
      <c r="A239" s="44" t="s">
        <v>268</v>
      </c>
      <c r="B239" s="51"/>
      <c r="C239" s="44" t="s">
        <v>269</v>
      </c>
      <c r="D239" s="35"/>
      <c r="E239" s="45">
        <v>717487</v>
      </c>
      <c r="F239" s="45"/>
      <c r="G239" s="45">
        <v>1739252</v>
      </c>
      <c r="H239" s="45"/>
      <c r="I239" s="45">
        <v>700291</v>
      </c>
      <c r="J239" s="45"/>
      <c r="K239" s="45">
        <v>750033</v>
      </c>
      <c r="L239" s="45"/>
      <c r="M239" s="45">
        <v>42437</v>
      </c>
      <c r="N239" s="45"/>
      <c r="O239" s="45">
        <v>0</v>
      </c>
      <c r="P239" s="45"/>
      <c r="Q239" s="45">
        <v>946782</v>
      </c>
      <c r="R239" s="45"/>
      <c r="S239" s="45">
        <f t="shared" si="15"/>
        <v>989219</v>
      </c>
      <c r="T239" s="45"/>
      <c r="U239" s="46">
        <f t="shared" si="16"/>
        <v>0</v>
      </c>
      <c r="V239" s="44">
        <f t="shared" si="17"/>
        <v>0</v>
      </c>
    </row>
    <row r="240" spans="1:22" s="44" customFormat="1" ht="12.75" customHeight="1">
      <c r="A240" s="44" t="s">
        <v>270</v>
      </c>
      <c r="B240" s="51"/>
      <c r="C240" s="44" t="s">
        <v>136</v>
      </c>
      <c r="D240" s="35"/>
      <c r="E240" s="45">
        <v>0</v>
      </c>
      <c r="F240" s="45"/>
      <c r="G240" s="45">
        <v>1349906</v>
      </c>
      <c r="H240" s="45"/>
      <c r="I240" s="45">
        <v>269334</v>
      </c>
      <c r="J240" s="45"/>
      <c r="K240" s="45">
        <v>1050305</v>
      </c>
      <c r="L240" s="45"/>
      <c r="M240" s="45">
        <v>0</v>
      </c>
      <c r="N240" s="45"/>
      <c r="O240" s="45">
        <v>0</v>
      </c>
      <c r="P240" s="45"/>
      <c r="Q240" s="45">
        <v>299601</v>
      </c>
      <c r="R240" s="45"/>
      <c r="S240" s="45">
        <f>+Q240+O240+M240</f>
        <v>299601</v>
      </c>
      <c r="T240" s="45"/>
      <c r="U240" s="46">
        <f t="shared" si="16"/>
        <v>0</v>
      </c>
      <c r="V240" s="44">
        <f>+G240-K240-S240</f>
        <v>0</v>
      </c>
    </row>
    <row r="241" spans="1:22" s="44" customFormat="1" ht="12.75" customHeight="1">
      <c r="A241" s="44" t="s">
        <v>271</v>
      </c>
      <c r="B241" s="51"/>
      <c r="C241" s="44" t="s">
        <v>66</v>
      </c>
      <c r="D241" s="35"/>
      <c r="E241" s="45">
        <v>1644674</v>
      </c>
      <c r="F241" s="45"/>
      <c r="G241" s="45">
        <v>3594769</v>
      </c>
      <c r="H241" s="45"/>
      <c r="I241" s="45">
        <v>982987</v>
      </c>
      <c r="J241" s="45"/>
      <c r="K241" s="45">
        <v>1523543</v>
      </c>
      <c r="L241" s="45"/>
      <c r="M241" s="45">
        <v>45817</v>
      </c>
      <c r="N241" s="45"/>
      <c r="O241" s="45">
        <v>0</v>
      </c>
      <c r="P241" s="45"/>
      <c r="Q241" s="45">
        <v>2025409</v>
      </c>
      <c r="R241" s="45"/>
      <c r="S241" s="45">
        <f t="shared" si="15"/>
        <v>2071226</v>
      </c>
      <c r="T241" s="45"/>
      <c r="U241" s="46">
        <f t="shared" si="16"/>
        <v>0</v>
      </c>
      <c r="V241" s="44">
        <f t="shared" si="17"/>
        <v>0</v>
      </c>
    </row>
    <row r="242" spans="1:22" s="46" customFormat="1" ht="12.75" customHeight="1">
      <c r="A242" s="44" t="s">
        <v>272</v>
      </c>
      <c r="B242" s="51"/>
      <c r="C242" s="44" t="s">
        <v>43</v>
      </c>
      <c r="D242" s="35"/>
      <c r="E242" s="45">
        <v>16703739</v>
      </c>
      <c r="F242" s="45"/>
      <c r="G242" s="45">
        <v>35767717</v>
      </c>
      <c r="H242" s="45"/>
      <c r="I242" s="45">
        <v>6438622</v>
      </c>
      <c r="J242" s="45"/>
      <c r="K242" s="45">
        <v>7598840</v>
      </c>
      <c r="L242" s="45"/>
      <c r="M242" s="45">
        <v>10382188</v>
      </c>
      <c r="N242" s="45"/>
      <c r="O242" s="45">
        <v>0</v>
      </c>
      <c r="P242" s="45"/>
      <c r="Q242" s="45">
        <v>17786689</v>
      </c>
      <c r="R242" s="45"/>
      <c r="S242" s="45">
        <f t="shared" si="15"/>
        <v>28168877</v>
      </c>
      <c r="T242" s="45"/>
      <c r="U242" s="46">
        <f t="shared" si="16"/>
        <v>0</v>
      </c>
      <c r="V242" s="44">
        <f t="shared" si="17"/>
        <v>0</v>
      </c>
    </row>
    <row r="243" spans="1:22" s="44" customFormat="1" ht="12.75" customHeight="1">
      <c r="A243" s="44" t="s">
        <v>273</v>
      </c>
      <c r="B243" s="51"/>
      <c r="C243" s="44" t="s">
        <v>27</v>
      </c>
      <c r="D243" s="35"/>
      <c r="E243" s="45">
        <v>23753574</v>
      </c>
      <c r="F243" s="45"/>
      <c r="G243" s="45">
        <v>44971558</v>
      </c>
      <c r="H243" s="45"/>
      <c r="I243" s="45">
        <v>11721419</v>
      </c>
      <c r="J243" s="45"/>
      <c r="K243" s="45">
        <v>12884809</v>
      </c>
      <c r="L243" s="45"/>
      <c r="M243" s="45">
        <v>7796807</v>
      </c>
      <c r="N243" s="45"/>
      <c r="O243" s="45">
        <v>8730585</v>
      </c>
      <c r="P243" s="45"/>
      <c r="Q243" s="45">
        <v>15559357</v>
      </c>
      <c r="R243" s="45"/>
      <c r="S243" s="45">
        <f t="shared" si="15"/>
        <v>32086749</v>
      </c>
      <c r="T243" s="45"/>
      <c r="U243" s="46">
        <f t="shared" si="16"/>
        <v>0</v>
      </c>
      <c r="V243" s="44">
        <f t="shared" si="17"/>
        <v>0</v>
      </c>
    </row>
    <row r="244" spans="1:22" s="44" customFormat="1" ht="12.75" customHeight="1">
      <c r="A244" s="44" t="s">
        <v>274</v>
      </c>
      <c r="B244" s="51"/>
      <c r="C244" s="44" t="s">
        <v>43</v>
      </c>
      <c r="D244" s="35"/>
      <c r="E244" s="45">
        <v>4897636</v>
      </c>
      <c r="F244" s="45"/>
      <c r="G244" s="45">
        <v>8949083</v>
      </c>
      <c r="H244" s="45"/>
      <c r="I244" s="45">
        <v>1916215</v>
      </c>
      <c r="J244" s="45"/>
      <c r="K244" s="45">
        <v>3733571</v>
      </c>
      <c r="L244" s="45"/>
      <c r="M244" s="45">
        <v>1692380</v>
      </c>
      <c r="N244" s="45"/>
      <c r="O244" s="45">
        <v>0</v>
      </c>
      <c r="P244" s="45"/>
      <c r="Q244" s="45">
        <v>3523132</v>
      </c>
      <c r="R244" s="45"/>
      <c r="S244" s="45">
        <f t="shared" si="15"/>
        <v>5215512</v>
      </c>
      <c r="T244" s="45"/>
      <c r="U244" s="46">
        <f t="shared" si="16"/>
        <v>0</v>
      </c>
      <c r="V244" s="44">
        <f t="shared" si="17"/>
        <v>0</v>
      </c>
    </row>
    <row r="245" spans="1:22" s="44" customFormat="1" ht="12.75" customHeight="1">
      <c r="A245" s="44" t="s">
        <v>275</v>
      </c>
      <c r="B245" s="51"/>
      <c r="C245" s="44" t="s">
        <v>92</v>
      </c>
      <c r="D245" s="35"/>
      <c r="E245" s="45">
        <v>4593563</v>
      </c>
      <c r="F245" s="45"/>
      <c r="G245" s="45">
        <v>10027579</v>
      </c>
      <c r="H245" s="45"/>
      <c r="I245" s="45">
        <v>2599966</v>
      </c>
      <c r="J245" s="45"/>
      <c r="K245" s="45">
        <v>3293770</v>
      </c>
      <c r="L245" s="45"/>
      <c r="M245" s="45">
        <v>264391</v>
      </c>
      <c r="N245" s="45"/>
      <c r="O245" s="45">
        <v>0</v>
      </c>
      <c r="P245" s="45"/>
      <c r="Q245" s="45">
        <v>6469418</v>
      </c>
      <c r="R245" s="45"/>
      <c r="S245" s="45">
        <f t="shared" si="15"/>
        <v>6733809</v>
      </c>
      <c r="T245" s="45"/>
      <c r="U245" s="46">
        <f t="shared" si="16"/>
        <v>0</v>
      </c>
      <c r="V245" s="44">
        <f t="shared" si="17"/>
        <v>0</v>
      </c>
    </row>
    <row r="246" spans="1:22" s="44" customFormat="1" ht="12.75" customHeight="1">
      <c r="A246" s="44" t="s">
        <v>276</v>
      </c>
      <c r="C246" s="44" t="s">
        <v>38</v>
      </c>
      <c r="D246" s="35"/>
      <c r="E246" s="45">
        <v>1755541</v>
      </c>
      <c r="F246" s="45"/>
      <c r="G246" s="45">
        <v>2409234</v>
      </c>
      <c r="H246" s="45"/>
      <c r="I246" s="45">
        <v>167245</v>
      </c>
      <c r="J246" s="45"/>
      <c r="K246" s="45">
        <v>657653</v>
      </c>
      <c r="L246" s="45"/>
      <c r="M246" s="45">
        <v>87442</v>
      </c>
      <c r="N246" s="45"/>
      <c r="O246" s="45">
        <v>0</v>
      </c>
      <c r="P246" s="45"/>
      <c r="Q246" s="45">
        <v>1664139</v>
      </c>
      <c r="R246" s="45"/>
      <c r="S246" s="45">
        <f t="shared" si="15"/>
        <v>1751581</v>
      </c>
      <c r="T246" s="45"/>
      <c r="U246" s="46">
        <f t="shared" si="16"/>
        <v>0</v>
      </c>
      <c r="V246" s="44">
        <f>+G246-K246-S246</f>
        <v>0</v>
      </c>
    </row>
    <row r="247" spans="1:22" s="44" customFormat="1" ht="12.75" customHeight="1">
      <c r="A247" s="44" t="s">
        <v>277</v>
      </c>
      <c r="B247" s="51"/>
      <c r="C247" s="44" t="s">
        <v>92</v>
      </c>
      <c r="D247" s="35"/>
      <c r="E247" s="45">
        <v>7743905</v>
      </c>
      <c r="F247" s="45"/>
      <c r="G247" s="45">
        <v>16382983</v>
      </c>
      <c r="H247" s="45"/>
      <c r="I247" s="45">
        <v>3552464</v>
      </c>
      <c r="J247" s="45"/>
      <c r="K247" s="45">
        <v>5399651</v>
      </c>
      <c r="L247" s="45"/>
      <c r="M247" s="45">
        <v>2299977</v>
      </c>
      <c r="N247" s="45"/>
      <c r="O247" s="45">
        <v>0</v>
      </c>
      <c r="P247" s="45"/>
      <c r="Q247" s="45">
        <v>8683355</v>
      </c>
      <c r="R247" s="45"/>
      <c r="S247" s="45">
        <f t="shared" si="15"/>
        <v>10983332</v>
      </c>
      <c r="T247" s="45"/>
      <c r="U247" s="46">
        <f t="shared" si="16"/>
        <v>0</v>
      </c>
      <c r="V247" s="44">
        <f t="shared" si="17"/>
        <v>0</v>
      </c>
    </row>
    <row r="248" spans="1:22" s="44" customFormat="1" ht="12.75" customHeight="1">
      <c r="A248" s="44" t="s">
        <v>278</v>
      </c>
      <c r="B248" s="51"/>
      <c r="C248" s="44" t="s">
        <v>92</v>
      </c>
      <c r="D248" s="35"/>
      <c r="E248" s="45">
        <v>6519</v>
      </c>
      <c r="F248" s="45"/>
      <c r="G248" s="45">
        <v>2400839</v>
      </c>
      <c r="H248" s="45"/>
      <c r="I248" s="45">
        <v>1841336</v>
      </c>
      <c r="J248" s="45"/>
      <c r="K248" s="45">
        <v>2279516</v>
      </c>
      <c r="L248" s="45"/>
      <c r="M248" s="45">
        <v>61440</v>
      </c>
      <c r="N248" s="45"/>
      <c r="O248" s="45">
        <v>0</v>
      </c>
      <c r="P248" s="45"/>
      <c r="Q248" s="45">
        <v>59883</v>
      </c>
      <c r="R248" s="45"/>
      <c r="S248" s="45">
        <f t="shared" si="15"/>
        <v>121323</v>
      </c>
      <c r="T248" s="45"/>
      <c r="U248" s="46">
        <f t="shared" si="16"/>
        <v>0</v>
      </c>
      <c r="V248" s="44">
        <f t="shared" si="17"/>
        <v>0</v>
      </c>
    </row>
    <row r="249" spans="1:22" s="44" customFormat="1" ht="12.75" customHeight="1">
      <c r="A249" s="44" t="s">
        <v>279</v>
      </c>
      <c r="C249" s="44" t="s">
        <v>92</v>
      </c>
      <c r="D249" s="35"/>
      <c r="E249" s="45">
        <v>1737590</v>
      </c>
      <c r="F249" s="45"/>
      <c r="G249" s="45">
        <v>6787063</v>
      </c>
      <c r="H249" s="45"/>
      <c r="I249" s="45">
        <v>4464466</v>
      </c>
      <c r="J249" s="45"/>
      <c r="K249" s="45">
        <v>4940826</v>
      </c>
      <c r="L249" s="45"/>
      <c r="M249" s="45">
        <v>147543</v>
      </c>
      <c r="N249" s="45"/>
      <c r="O249" s="45">
        <v>0</v>
      </c>
      <c r="P249" s="45"/>
      <c r="Q249" s="45">
        <v>1698694</v>
      </c>
      <c r="R249" s="45"/>
      <c r="S249" s="45">
        <f t="shared" si="15"/>
        <v>1846237</v>
      </c>
      <c r="T249" s="45"/>
      <c r="U249" s="46">
        <f t="shared" si="16"/>
        <v>0</v>
      </c>
      <c r="V249" s="44">
        <f t="shared" si="17"/>
        <v>0</v>
      </c>
    </row>
    <row r="250" spans="1:22" s="44" customFormat="1" ht="12.75" customHeight="1">
      <c r="A250" s="44" t="s">
        <v>280</v>
      </c>
      <c r="B250" s="51"/>
      <c r="C250" s="44" t="s">
        <v>281</v>
      </c>
      <c r="D250" s="35"/>
      <c r="E250" s="45">
        <v>1964325</v>
      </c>
      <c r="F250" s="45"/>
      <c r="G250" s="45">
        <v>5104868</v>
      </c>
      <c r="H250" s="45"/>
      <c r="I250" s="45">
        <v>1986145</v>
      </c>
      <c r="J250" s="45"/>
      <c r="K250" s="45">
        <v>2408145</v>
      </c>
      <c r="L250" s="45"/>
      <c r="M250" s="45">
        <v>107503</v>
      </c>
      <c r="N250" s="45"/>
      <c r="O250" s="45">
        <v>0</v>
      </c>
      <c r="P250" s="45"/>
      <c r="Q250" s="45">
        <v>2589220</v>
      </c>
      <c r="R250" s="45"/>
      <c r="S250" s="45">
        <f t="shared" si="15"/>
        <v>2696723</v>
      </c>
      <c r="T250" s="45"/>
      <c r="U250" s="46">
        <f t="shared" si="16"/>
        <v>0</v>
      </c>
      <c r="V250" s="44">
        <f t="shared" si="17"/>
        <v>0</v>
      </c>
    </row>
    <row r="251" spans="1:22" s="44" customFormat="1" ht="12.75" customHeight="1">
      <c r="A251" s="44" t="s">
        <v>282</v>
      </c>
      <c r="B251" s="51"/>
      <c r="C251" s="44" t="s">
        <v>199</v>
      </c>
      <c r="D251" s="35"/>
      <c r="E251" s="45">
        <v>13102745</v>
      </c>
      <c r="F251" s="45"/>
      <c r="G251" s="45">
        <v>18560029</v>
      </c>
      <c r="H251" s="45"/>
      <c r="I251" s="45">
        <v>3448229</v>
      </c>
      <c r="J251" s="45"/>
      <c r="K251" s="45">
        <v>4568540</v>
      </c>
      <c r="L251" s="45"/>
      <c r="M251" s="45">
        <v>2569889</v>
      </c>
      <c r="N251" s="45"/>
      <c r="O251" s="45">
        <v>0</v>
      </c>
      <c r="P251" s="45"/>
      <c r="Q251" s="45">
        <v>11421600</v>
      </c>
      <c r="R251" s="45"/>
      <c r="S251" s="45">
        <f t="shared" si="15"/>
        <v>13991489</v>
      </c>
      <c r="T251" s="45"/>
      <c r="U251" s="46">
        <f t="shared" si="16"/>
        <v>0</v>
      </c>
      <c r="V251" s="44">
        <f t="shared" si="17"/>
        <v>0</v>
      </c>
    </row>
    <row r="252" spans="1:22" s="44" customFormat="1" ht="12.75" customHeight="1">
      <c r="A252" s="44" t="s">
        <v>283</v>
      </c>
      <c r="B252" s="51"/>
      <c r="C252" s="44" t="s">
        <v>43</v>
      </c>
      <c r="D252" s="35"/>
      <c r="E252" s="45">
        <v>2046109</v>
      </c>
      <c r="F252" s="45"/>
      <c r="G252" s="45">
        <v>7771368</v>
      </c>
      <c r="H252" s="45"/>
      <c r="I252" s="45">
        <v>2983516</v>
      </c>
      <c r="J252" s="45"/>
      <c r="K252" s="45">
        <v>4870227</v>
      </c>
      <c r="L252" s="45"/>
      <c r="M252" s="45">
        <v>139586</v>
      </c>
      <c r="N252" s="45"/>
      <c r="O252" s="45">
        <v>0</v>
      </c>
      <c r="P252" s="45"/>
      <c r="Q252" s="45">
        <v>2761555</v>
      </c>
      <c r="R252" s="45"/>
      <c r="S252" s="45">
        <f t="shared" si="15"/>
        <v>2901141</v>
      </c>
      <c r="T252" s="45"/>
      <c r="U252" s="46">
        <f t="shared" si="16"/>
        <v>0</v>
      </c>
      <c r="V252" s="44">
        <f t="shared" si="17"/>
        <v>0</v>
      </c>
    </row>
    <row r="253" spans="1:22" s="44" customFormat="1" ht="12.75" customHeight="1">
      <c r="A253" s="44" t="s">
        <v>284</v>
      </c>
      <c r="B253" s="51"/>
      <c r="C253" s="44" t="s">
        <v>45</v>
      </c>
      <c r="D253" s="35"/>
      <c r="E253" s="45">
        <v>3825243</v>
      </c>
      <c r="F253" s="45"/>
      <c r="G253" s="45">
        <v>9358200</v>
      </c>
      <c r="H253" s="45"/>
      <c r="I253" s="45">
        <v>2780936</v>
      </c>
      <c r="J253" s="45"/>
      <c r="K253" s="45">
        <v>5460086</v>
      </c>
      <c r="L253" s="45"/>
      <c r="M253" s="45">
        <v>58763</v>
      </c>
      <c r="N253" s="45"/>
      <c r="O253" s="45">
        <v>0</v>
      </c>
      <c r="P253" s="45"/>
      <c r="Q253" s="45">
        <v>3839351</v>
      </c>
      <c r="R253" s="45"/>
      <c r="S253" s="45">
        <f t="shared" si="15"/>
        <v>3898114</v>
      </c>
      <c r="T253" s="45"/>
      <c r="U253" s="46">
        <f t="shared" si="16"/>
        <v>0</v>
      </c>
      <c r="V253" s="44">
        <f t="shared" si="17"/>
        <v>0</v>
      </c>
    </row>
    <row r="254" spans="1:22" s="44" customFormat="1" ht="12.75" customHeight="1">
      <c r="A254" s="44" t="s">
        <v>285</v>
      </c>
      <c r="B254" s="51"/>
      <c r="C254" s="44" t="s">
        <v>30</v>
      </c>
      <c r="D254" s="35"/>
      <c r="E254" s="45">
        <v>2613158</v>
      </c>
      <c r="F254" s="45"/>
      <c r="G254" s="45">
        <v>7807481</v>
      </c>
      <c r="H254" s="45"/>
      <c r="I254" s="45">
        <v>2879544</v>
      </c>
      <c r="J254" s="45"/>
      <c r="K254" s="45">
        <v>3905412</v>
      </c>
      <c r="L254" s="45"/>
      <c r="M254" s="45">
        <v>255520</v>
      </c>
      <c r="N254" s="45"/>
      <c r="O254" s="45">
        <v>0</v>
      </c>
      <c r="P254" s="45"/>
      <c r="Q254" s="45">
        <v>3646549</v>
      </c>
      <c r="R254" s="45"/>
      <c r="S254" s="45">
        <f t="shared" si="15"/>
        <v>3902069</v>
      </c>
      <c r="T254" s="45"/>
      <c r="U254" s="46">
        <f t="shared" si="16"/>
        <v>0</v>
      </c>
      <c r="V254" s="44">
        <f t="shared" si="17"/>
        <v>0</v>
      </c>
    </row>
    <row r="255" spans="1:22" s="44" customFormat="1" ht="12.75" customHeight="1">
      <c r="A255" s="44" t="s">
        <v>286</v>
      </c>
      <c r="B255" s="51"/>
      <c r="C255" s="44" t="s">
        <v>61</v>
      </c>
      <c r="D255" s="35"/>
      <c r="E255" s="45">
        <v>635970</v>
      </c>
      <c r="F255" s="45"/>
      <c r="G255" s="45">
        <v>8245364</v>
      </c>
      <c r="H255" s="45"/>
      <c r="I255" s="45">
        <v>3800526</v>
      </c>
      <c r="J255" s="45"/>
      <c r="K255" s="45">
        <v>4993919</v>
      </c>
      <c r="L255" s="45"/>
      <c r="M255" s="45">
        <v>168638</v>
      </c>
      <c r="N255" s="45"/>
      <c r="O255" s="45">
        <v>0</v>
      </c>
      <c r="P255" s="45"/>
      <c r="Q255" s="45">
        <v>3082807</v>
      </c>
      <c r="R255" s="45"/>
      <c r="S255" s="45">
        <f t="shared" si="15"/>
        <v>3251445</v>
      </c>
      <c r="T255" s="45"/>
      <c r="U255" s="46">
        <f t="shared" si="16"/>
        <v>0</v>
      </c>
      <c r="V255" s="44">
        <f t="shared" si="17"/>
        <v>0</v>
      </c>
    </row>
    <row r="256" spans="1:22" s="44" customFormat="1" ht="12.75" customHeight="1">
      <c r="A256" s="44" t="s">
        <v>287</v>
      </c>
      <c r="C256" s="44" t="s">
        <v>288</v>
      </c>
      <c r="D256" s="35"/>
      <c r="E256" s="45">
        <v>1001967</v>
      </c>
      <c r="F256" s="45"/>
      <c r="G256" s="45">
        <v>5237217</v>
      </c>
      <c r="H256" s="45"/>
      <c r="I256" s="45">
        <v>2393168</v>
      </c>
      <c r="J256" s="45"/>
      <c r="K256" s="45">
        <v>2806994</v>
      </c>
      <c r="L256" s="45"/>
      <c r="M256" s="45">
        <v>77762</v>
      </c>
      <c r="N256" s="45"/>
      <c r="O256" s="45">
        <v>0</v>
      </c>
      <c r="P256" s="45"/>
      <c r="Q256" s="45">
        <v>2352461</v>
      </c>
      <c r="R256" s="45"/>
      <c r="S256" s="45">
        <f t="shared" si="15"/>
        <v>2430223</v>
      </c>
      <c r="T256" s="45"/>
      <c r="U256" s="46">
        <f t="shared" si="16"/>
        <v>0</v>
      </c>
      <c r="V256" s="44">
        <f t="shared" si="17"/>
        <v>0</v>
      </c>
    </row>
    <row r="257" spans="2:2" s="44" customFormat="1" ht="12.75" customHeight="1">
      <c r="B257" s="51"/>
    </row>
    <row r="258" spans="2:2" s="44" customFormat="1" ht="12.75" customHeight="1">
      <c r="B258" s="51"/>
    </row>
    <row r="259" spans="2:2" s="44" customFormat="1" ht="12.75" customHeight="1">
      <c r="B259" s="51"/>
    </row>
    <row r="260" spans="2:2" s="44" customFormat="1" ht="12.75" customHeight="1">
      <c r="B260" s="51"/>
    </row>
    <row r="261" spans="2:2" s="44" customFormat="1" ht="12.75" customHeight="1">
      <c r="B261" s="51"/>
    </row>
    <row r="262" spans="2:2" s="44" customFormat="1" ht="12.75" customHeight="1">
      <c r="B262" s="51"/>
    </row>
    <row r="263" spans="2:2" s="44" customFormat="1" ht="12.75" customHeight="1">
      <c r="B263" s="51"/>
    </row>
    <row r="264" spans="2:2" s="44" customFormat="1" ht="12.75" customHeight="1">
      <c r="B264" s="51"/>
    </row>
    <row r="265" spans="2:2" s="44" customFormat="1" ht="12.75" customHeight="1">
      <c r="B265" s="51"/>
    </row>
    <row r="266" spans="2:2" s="44" customFormat="1" ht="12.75" customHeight="1">
      <c r="B266" s="51"/>
    </row>
    <row r="267" spans="2:2" s="44" customFormat="1" ht="12.75" customHeight="1">
      <c r="B267" s="51"/>
    </row>
    <row r="268" spans="2:2" s="44" customFormat="1" ht="12.75" customHeight="1">
      <c r="B268" s="51"/>
    </row>
    <row r="269" spans="2:2" s="44" customFormat="1" ht="12.75" customHeight="1">
      <c r="B269" s="51"/>
    </row>
    <row r="270" spans="2:2" s="44" customFormat="1" ht="12.75" customHeight="1">
      <c r="B270" s="51"/>
    </row>
    <row r="271" spans="2:2" s="44" customFormat="1" ht="12.75" customHeight="1">
      <c r="B271" s="51"/>
    </row>
    <row r="272" spans="2:2" s="44" customFormat="1" ht="12.75" customHeight="1">
      <c r="B272" s="51"/>
    </row>
    <row r="273" spans="2:2" s="44" customFormat="1" ht="12.75" customHeight="1">
      <c r="B273" s="51"/>
    </row>
    <row r="274" spans="2:2" s="44" customFormat="1" ht="12.75" customHeight="1">
      <c r="B274" s="51"/>
    </row>
    <row r="275" spans="2:2" s="44" customFormat="1" ht="12.75" customHeight="1">
      <c r="B275" s="51"/>
    </row>
    <row r="276" spans="2:2" s="44" customFormat="1" ht="12.75" customHeight="1">
      <c r="B276" s="51"/>
    </row>
    <row r="277" spans="2:2" s="44" customFormat="1" ht="12.75" customHeight="1">
      <c r="B277" s="51"/>
    </row>
    <row r="278" spans="2:2" s="44" customFormat="1" ht="12.75" customHeight="1">
      <c r="B278" s="51"/>
    </row>
    <row r="279" spans="2:2" s="44" customFormat="1" ht="12.75" customHeight="1">
      <c r="B279" s="51"/>
    </row>
    <row r="280" spans="2:2" s="44" customFormat="1" ht="12.75" customHeight="1">
      <c r="B280" s="51"/>
    </row>
    <row r="281" spans="2:2" s="44" customFormat="1" ht="12.75" customHeight="1">
      <c r="B281" s="51"/>
    </row>
    <row r="282" spans="2:2" s="44" customFormat="1" ht="12.75" customHeight="1">
      <c r="B282" s="51"/>
    </row>
    <row r="283" spans="2:2" s="44" customFormat="1" ht="12.75" customHeight="1">
      <c r="B283" s="51"/>
    </row>
    <row r="284" spans="2:2" s="44" customFormat="1" ht="12.75" customHeight="1">
      <c r="B284" s="51"/>
    </row>
    <row r="285" spans="2:2" s="44" customFormat="1" ht="12.75" customHeight="1">
      <c r="B285" s="51"/>
    </row>
    <row r="286" spans="2:2" s="44" customFormat="1" ht="12.75" customHeight="1">
      <c r="B286" s="51"/>
    </row>
    <row r="287" spans="2:2" s="44" customFormat="1" ht="12.75" customHeight="1">
      <c r="B287" s="51"/>
    </row>
    <row r="288" spans="2:2" s="44" customFormat="1" ht="12.75" customHeight="1">
      <c r="B288" s="51"/>
    </row>
    <row r="289" spans="2:2" s="44" customFormat="1" ht="12.75" customHeight="1">
      <c r="B289" s="51"/>
    </row>
    <row r="290" spans="2:2" s="44" customFormat="1" ht="12.75" customHeight="1">
      <c r="B290" s="51"/>
    </row>
    <row r="291" spans="2:2" s="44" customFormat="1" ht="12.75" customHeight="1">
      <c r="B291" s="51"/>
    </row>
    <row r="292" spans="2:2" s="44" customFormat="1" ht="12.75" customHeight="1">
      <c r="B292" s="51"/>
    </row>
    <row r="293" spans="2:2" s="44" customFormat="1" ht="12.75" customHeight="1">
      <c r="B293" s="51"/>
    </row>
    <row r="294" spans="2:2" s="44" customFormat="1" ht="12.75" customHeight="1">
      <c r="B294" s="51"/>
    </row>
    <row r="295" spans="2:2" s="44" customFormat="1" ht="12.75" customHeight="1">
      <c r="B295" s="51"/>
    </row>
    <row r="296" spans="2:2" s="44" customFormat="1" ht="12.75" customHeight="1">
      <c r="B296" s="51"/>
    </row>
    <row r="297" spans="2:2" s="44" customFormat="1" ht="12.75" customHeight="1">
      <c r="B297" s="51"/>
    </row>
    <row r="298" spans="2:2" s="44" customFormat="1" ht="12.75" customHeight="1">
      <c r="B298" s="51"/>
    </row>
    <row r="299" spans="2:2" s="44" customFormat="1" ht="12.75" customHeight="1">
      <c r="B299" s="51"/>
    </row>
    <row r="300" spans="2:2" s="44" customFormat="1" ht="12.75" customHeight="1">
      <c r="B300" s="51"/>
    </row>
    <row r="301" spans="2:2" s="44" customFormat="1" ht="12.75" customHeight="1">
      <c r="B301" s="51"/>
    </row>
    <row r="302" spans="2:2" s="44" customFormat="1" ht="12.75" customHeight="1">
      <c r="B302" s="51"/>
    </row>
    <row r="303" spans="2:2" s="44" customFormat="1" ht="12.75" customHeight="1">
      <c r="B303" s="51"/>
    </row>
    <row r="304" spans="2:2" s="44" customFormat="1" ht="12.75" customHeight="1">
      <c r="B304" s="51"/>
    </row>
    <row r="305" spans="2:2" s="44" customFormat="1" ht="12.75" customHeight="1">
      <c r="B305" s="51"/>
    </row>
    <row r="306" spans="2:2" s="44" customFormat="1" ht="12.75" customHeight="1">
      <c r="B306" s="51"/>
    </row>
    <row r="307" spans="2:2" s="44" customFormat="1" ht="12.75" customHeight="1">
      <c r="B307" s="51"/>
    </row>
    <row r="308" spans="2:2" s="44" customFormat="1" ht="12.75" customHeight="1">
      <c r="B308" s="51"/>
    </row>
    <row r="309" spans="2:2" s="44" customFormat="1" ht="12.75" customHeight="1">
      <c r="B309" s="51"/>
    </row>
    <row r="310" spans="2:2" s="44" customFormat="1" ht="12.75" customHeight="1">
      <c r="B310" s="51"/>
    </row>
    <row r="311" spans="2:2" s="44" customFormat="1" ht="12.75" customHeight="1">
      <c r="B311" s="51"/>
    </row>
    <row r="312" spans="2:2" s="44" customFormat="1" ht="12.75" customHeight="1">
      <c r="B312" s="51"/>
    </row>
    <row r="313" spans="2:2" s="44" customFormat="1" ht="12.75" customHeight="1">
      <c r="B313" s="51"/>
    </row>
    <row r="314" spans="2:2" s="44" customFormat="1" ht="12.75" customHeight="1">
      <c r="B314" s="51"/>
    </row>
    <row r="315" spans="2:2" s="44" customFormat="1" ht="12.75" customHeight="1">
      <c r="B315" s="51"/>
    </row>
    <row r="316" spans="2:2" s="44" customFormat="1" ht="12.75" customHeight="1">
      <c r="B316" s="51"/>
    </row>
    <row r="317" spans="2:2" s="44" customFormat="1" ht="12.75" customHeight="1">
      <c r="B317" s="51"/>
    </row>
    <row r="318" spans="2:2" s="44" customFormat="1" ht="12.75" customHeight="1">
      <c r="B318" s="51"/>
    </row>
    <row r="319" spans="2:2" s="44" customFormat="1" ht="12.75" customHeight="1">
      <c r="B319" s="51"/>
    </row>
    <row r="320" spans="2:2" s="44" customFormat="1" ht="12.75" customHeight="1">
      <c r="B320" s="51"/>
    </row>
    <row r="321" spans="2:2" s="44" customFormat="1" ht="12.75" customHeight="1">
      <c r="B321" s="51"/>
    </row>
    <row r="322" spans="2:2" s="44" customFormat="1" ht="12.75" customHeight="1">
      <c r="B322" s="51"/>
    </row>
    <row r="323" spans="2:2" s="44" customFormat="1" ht="12.75" customHeight="1">
      <c r="B323" s="51"/>
    </row>
    <row r="324" spans="2:2" s="44" customFormat="1" ht="12.75" customHeight="1">
      <c r="B324" s="51"/>
    </row>
    <row r="325" spans="2:2" s="44" customFormat="1" ht="12.75" customHeight="1">
      <c r="B325" s="51"/>
    </row>
  </sheetData>
  <phoneticPr fontId="4" type="noConversion"/>
  <pageMargins left="0.75" right="0.75" top="0.5" bottom="0.5" header="0" footer="0.25"/>
  <pageSetup scale="85" firstPageNumber="28" pageOrder="overThenDown" orientation="portrait" useFirstPageNumber="1" r:id="rId1"/>
  <headerFooter alignWithMargins="0">
    <oddFooter>&amp;C&amp;"Times New Roman,Regular"&amp;11&amp;P</oddFooter>
  </headerFooter>
  <rowBreaks count="3" manualBreakCount="3">
    <brk id="72" max="18" man="1"/>
    <brk id="133" max="18" man="1"/>
    <brk id="197" max="18" man="1"/>
  </rowBreaks>
  <colBreaks count="1" manualBreakCount="1">
    <brk id="12" min="8" max="25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310"/>
  <sheetViews>
    <sheetView zoomScaleNormal="100" zoomScaleSheetLayoutView="75" workbookViewId="0">
      <pane xSplit="3" ySplit="7" topLeftCell="D155" activePane="bottomRight" state="frozen"/>
      <selection pane="topRight" activeCell="D1" sqref="D1"/>
      <selection pane="bottomLeft" activeCell="A9" sqref="A9"/>
      <selection pane="bottomRight" activeCell="A182" sqref="A182"/>
    </sheetView>
  </sheetViews>
  <sheetFormatPr defaultColWidth="0" defaultRowHeight="12.75" customHeight="1"/>
  <cols>
    <col min="1" max="1" width="15.140625" style="2" customWidth="1"/>
    <col min="2" max="2" width="1.7109375" customWidth="1"/>
    <col min="3" max="3" width="11.5703125" style="2" customWidth="1"/>
    <col min="4" max="4" width="1.7109375" style="2" customWidth="1"/>
    <col min="5" max="5" width="11.7109375" style="2" customWidth="1"/>
    <col min="6" max="6" width="1.7109375" style="2" customWidth="1"/>
    <col min="7" max="7" width="11.7109375" style="2" customWidth="1"/>
    <col min="8" max="8" width="1.7109375" style="2" customWidth="1"/>
    <col min="9" max="9" width="11.7109375" style="2" customWidth="1"/>
    <col min="10" max="10" width="1.7109375" style="2" customWidth="1"/>
    <col min="11" max="11" width="11.7109375" style="2" customWidth="1"/>
    <col min="12" max="12" width="1.7109375" style="2" customWidth="1"/>
    <col min="13" max="13" width="11.7109375" style="2" customWidth="1"/>
    <col min="14" max="14" width="1.7109375" style="2" customWidth="1"/>
    <col min="15" max="15" width="11.7109375" style="2" customWidth="1"/>
    <col min="16" max="16" width="1.7109375" style="2" customWidth="1"/>
    <col min="17" max="17" width="11.7109375" style="2" customWidth="1"/>
    <col min="18" max="18" width="1.7109375" style="2" customWidth="1"/>
    <col min="19" max="19" width="11.7109375" style="2" customWidth="1"/>
    <col min="20" max="20" width="1.7109375" style="2" customWidth="1"/>
    <col min="21" max="22" width="11.7109375" style="2" customWidth="1"/>
    <col min="23" max="27" width="11.7109375" style="2" hidden="1" customWidth="1"/>
    <col min="28" max="16384" width="0" style="2" hidden="1"/>
  </cols>
  <sheetData>
    <row r="1" spans="1:21" ht="12.75" customHeight="1">
      <c r="A1" s="1" t="s">
        <v>390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1" ht="12.75" customHeight="1">
      <c r="A2" s="29" t="s">
        <v>488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1" ht="12.75" customHeight="1">
      <c r="A3" s="22" t="s">
        <v>289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5" spans="1:21" s="3" customFormat="1" ht="12.75" customHeight="1">
      <c r="A5" s="6"/>
      <c r="C5" s="6"/>
      <c r="D5" s="6"/>
      <c r="E5" s="6"/>
      <c r="F5" s="6"/>
      <c r="G5" s="6"/>
      <c r="H5" s="6"/>
      <c r="I5" s="6"/>
      <c r="J5" s="6"/>
      <c r="K5" s="6"/>
      <c r="L5" s="6"/>
      <c r="M5" s="6" t="s">
        <v>317</v>
      </c>
      <c r="N5" s="6"/>
      <c r="O5" s="6"/>
      <c r="P5" s="6"/>
      <c r="Q5" s="6" t="s">
        <v>318</v>
      </c>
      <c r="R5" s="6"/>
      <c r="S5" s="6" t="s">
        <v>6</v>
      </c>
      <c r="T5" s="6"/>
    </row>
    <row r="6" spans="1:21" s="3" customFormat="1" ht="12.75" customHeight="1">
      <c r="A6" s="6"/>
      <c r="C6" s="6"/>
      <c r="D6" s="6"/>
      <c r="E6" s="6" t="s">
        <v>319</v>
      </c>
      <c r="F6" s="6"/>
      <c r="G6" s="6" t="s">
        <v>6</v>
      </c>
      <c r="H6" s="6"/>
      <c r="I6" s="6" t="s">
        <v>5</v>
      </c>
      <c r="J6" s="6"/>
      <c r="K6" s="6" t="s">
        <v>6</v>
      </c>
      <c r="L6" s="6"/>
      <c r="M6" s="6" t="s">
        <v>320</v>
      </c>
      <c r="N6" s="6"/>
      <c r="O6" s="8" t="s">
        <v>438</v>
      </c>
      <c r="P6" s="6"/>
      <c r="Q6" s="6" t="s">
        <v>321</v>
      </c>
      <c r="R6" s="6"/>
      <c r="S6" s="6" t="s">
        <v>320</v>
      </c>
      <c r="T6" s="6"/>
      <c r="U6" s="3" t="s">
        <v>429</v>
      </c>
    </row>
    <row r="7" spans="1:21" s="81" customFormat="1" ht="12.75" customHeight="1">
      <c r="A7" s="78" t="s">
        <v>8</v>
      </c>
      <c r="C7" s="78" t="s">
        <v>9</v>
      </c>
      <c r="D7" s="8"/>
      <c r="E7" s="78" t="s">
        <v>322</v>
      </c>
      <c r="F7" s="8"/>
      <c r="G7" s="78" t="s">
        <v>0</v>
      </c>
      <c r="H7" s="8"/>
      <c r="I7" s="78" t="s">
        <v>323</v>
      </c>
      <c r="J7" s="8"/>
      <c r="K7" s="78" t="s">
        <v>1</v>
      </c>
      <c r="L7" s="8"/>
      <c r="M7" s="78" t="s">
        <v>324</v>
      </c>
      <c r="N7" s="8"/>
      <c r="O7" s="78" t="s">
        <v>325</v>
      </c>
      <c r="P7" s="8"/>
      <c r="Q7" s="78" t="s">
        <v>325</v>
      </c>
      <c r="R7" s="8"/>
      <c r="S7" s="78" t="s">
        <v>324</v>
      </c>
      <c r="T7" s="8"/>
      <c r="U7" s="104" t="s">
        <v>430</v>
      </c>
    </row>
    <row r="8" spans="1:21" s="81" customFormat="1" ht="12.75" customHeight="1">
      <c r="A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1" s="46" customFormat="1" ht="12.75" customHeight="1">
      <c r="A9" s="46" t="s">
        <v>12</v>
      </c>
      <c r="C9" s="46" t="s">
        <v>13</v>
      </c>
      <c r="E9" s="94">
        <v>109345981</v>
      </c>
      <c r="F9" s="94"/>
      <c r="G9" s="94">
        <v>462187388</v>
      </c>
      <c r="H9" s="94"/>
      <c r="I9" s="94">
        <v>161075025</v>
      </c>
      <c r="J9" s="94"/>
      <c r="K9" s="94">
        <v>237331806</v>
      </c>
      <c r="L9" s="94"/>
      <c r="M9" s="94">
        <v>35784015</v>
      </c>
      <c r="N9" s="94"/>
      <c r="O9" s="46">
        <v>0</v>
      </c>
      <c r="P9" s="94"/>
      <c r="Q9" s="94">
        <v>189071567</v>
      </c>
      <c r="R9" s="94"/>
      <c r="S9" s="94">
        <f t="shared" ref="S9:S70" si="0">+Q9+O9+M9</f>
        <v>224855582</v>
      </c>
      <c r="T9" s="94"/>
      <c r="U9" s="46">
        <f t="shared" ref="U9:U70" si="1">+G9-K9-S9</f>
        <v>0</v>
      </c>
    </row>
    <row r="10" spans="1:21" s="44" customFormat="1" ht="12.75" customHeight="1">
      <c r="A10" s="44" t="s">
        <v>14</v>
      </c>
      <c r="C10" s="44" t="s">
        <v>15</v>
      </c>
      <c r="E10" s="45">
        <f>6594557+284735</f>
        <v>6879292</v>
      </c>
      <c r="F10" s="45"/>
      <c r="G10" s="45">
        <v>15844319</v>
      </c>
      <c r="H10" s="45"/>
      <c r="I10" s="45">
        <v>3074138</v>
      </c>
      <c r="J10" s="45"/>
      <c r="K10" s="45">
        <v>5422610</v>
      </c>
      <c r="L10" s="45"/>
      <c r="M10" s="45">
        <f>124434+22502+2030041+33376</f>
        <v>2210353</v>
      </c>
      <c r="N10" s="45"/>
      <c r="O10" s="45">
        <v>0</v>
      </c>
      <c r="P10" s="45"/>
      <c r="Q10" s="45">
        <f>2626453+4300861+405002+879040</f>
        <v>8211356</v>
      </c>
      <c r="R10" s="45"/>
      <c r="S10" s="45">
        <f t="shared" si="0"/>
        <v>10421709</v>
      </c>
      <c r="T10" s="45"/>
      <c r="U10" s="44">
        <f t="shared" si="1"/>
        <v>0</v>
      </c>
    </row>
    <row r="11" spans="1:21" s="44" customFormat="1" ht="12.75" customHeight="1">
      <c r="A11" s="44" t="s">
        <v>16</v>
      </c>
      <c r="C11" s="44" t="s">
        <v>17</v>
      </c>
      <c r="E11" s="45">
        <v>9492569</v>
      </c>
      <c r="F11" s="45"/>
      <c r="G11" s="45">
        <v>13676580</v>
      </c>
      <c r="H11" s="45"/>
      <c r="I11" s="45">
        <v>3289399</v>
      </c>
      <c r="J11" s="45"/>
      <c r="K11" s="45">
        <v>4047561</v>
      </c>
      <c r="L11" s="45"/>
      <c r="M11" s="45">
        <v>973296</v>
      </c>
      <c r="N11" s="45"/>
      <c r="O11" s="45">
        <v>0</v>
      </c>
      <c r="P11" s="45"/>
      <c r="Q11" s="45">
        <f>2241834+1978602+460206+3975081</f>
        <v>8655723</v>
      </c>
      <c r="R11" s="45"/>
      <c r="S11" s="45">
        <f t="shared" si="0"/>
        <v>9629019</v>
      </c>
      <c r="T11" s="45"/>
      <c r="U11" s="44">
        <f t="shared" si="1"/>
        <v>0</v>
      </c>
    </row>
    <row r="12" spans="1:21" s="44" customFormat="1" ht="12.75" customHeight="1">
      <c r="A12" s="44" t="s">
        <v>18</v>
      </c>
      <c r="C12" s="44" t="s">
        <v>18</v>
      </c>
      <c r="E12" s="45">
        <v>6061201</v>
      </c>
      <c r="F12" s="45"/>
      <c r="G12" s="45">
        <v>11442438</v>
      </c>
      <c r="H12" s="45"/>
      <c r="I12" s="45">
        <v>3627107</v>
      </c>
      <c r="J12" s="45"/>
      <c r="K12" s="45">
        <v>5343240</v>
      </c>
      <c r="L12" s="45"/>
      <c r="M12" s="45">
        <v>343108</v>
      </c>
      <c r="N12" s="45"/>
      <c r="O12" s="45">
        <v>0</v>
      </c>
      <c r="P12" s="45"/>
      <c r="Q12" s="45">
        <f>2696509+2324271+88472+646838</f>
        <v>5756090</v>
      </c>
      <c r="R12" s="45"/>
      <c r="S12" s="45">
        <f t="shared" si="0"/>
        <v>6099198</v>
      </c>
      <c r="T12" s="45"/>
      <c r="U12" s="44">
        <f t="shared" si="1"/>
        <v>0</v>
      </c>
    </row>
    <row r="13" spans="1:21" s="44" customFormat="1" ht="12.75" customHeight="1">
      <c r="A13" s="44" t="s">
        <v>19</v>
      </c>
      <c r="C13" s="44" t="s">
        <v>19</v>
      </c>
      <c r="E13" s="45">
        <f>3235002+214791</f>
        <v>3449793</v>
      </c>
      <c r="F13" s="45"/>
      <c r="G13" s="45">
        <v>11149068</v>
      </c>
      <c r="H13" s="45"/>
      <c r="I13" s="45">
        <v>6570631</v>
      </c>
      <c r="J13" s="45"/>
      <c r="K13" s="45">
        <v>7551833</v>
      </c>
      <c r="L13" s="45"/>
      <c r="M13" s="45">
        <f>402654+33260+253485</f>
        <v>689399</v>
      </c>
      <c r="N13" s="45"/>
      <c r="O13" s="45">
        <v>412000</v>
      </c>
      <c r="P13" s="45"/>
      <c r="Q13" s="45">
        <f>690776+673868+785817+345375</f>
        <v>2495836</v>
      </c>
      <c r="R13" s="45"/>
      <c r="S13" s="45">
        <f t="shared" si="0"/>
        <v>3597235</v>
      </c>
      <c r="T13" s="45"/>
      <c r="U13" s="44">
        <f t="shared" si="1"/>
        <v>0</v>
      </c>
    </row>
    <row r="14" spans="1:21" s="44" customFormat="1" ht="12.75" customHeight="1">
      <c r="A14" s="44" t="s">
        <v>20</v>
      </c>
      <c r="C14" s="44" t="s">
        <v>20</v>
      </c>
      <c r="E14" s="45">
        <f>6503076+49450</f>
        <v>6552526</v>
      </c>
      <c r="F14" s="45"/>
      <c r="G14" s="45">
        <v>9747614</v>
      </c>
      <c r="H14" s="45"/>
      <c r="I14" s="45">
        <v>1569772</v>
      </c>
      <c r="J14" s="45"/>
      <c r="K14" s="45">
        <v>4274835</v>
      </c>
      <c r="L14" s="45"/>
      <c r="M14" s="45">
        <f>763427+321284</f>
        <v>1084711</v>
      </c>
      <c r="N14" s="45"/>
      <c r="O14" s="45">
        <v>0</v>
      </c>
      <c r="P14" s="45"/>
      <c r="Q14" s="45">
        <f>1346670+2701284+6065+334049</f>
        <v>4388068</v>
      </c>
      <c r="R14" s="45"/>
      <c r="S14" s="45">
        <f t="shared" si="0"/>
        <v>5472779</v>
      </c>
      <c r="T14" s="45"/>
      <c r="U14" s="44">
        <f t="shared" si="1"/>
        <v>0</v>
      </c>
    </row>
    <row r="15" spans="1:21" s="44" customFormat="1" ht="12.75" customHeight="1">
      <c r="A15" s="44" t="s">
        <v>21</v>
      </c>
      <c r="C15" s="44" t="s">
        <v>22</v>
      </c>
      <c r="E15" s="45">
        <v>15180187</v>
      </c>
      <c r="F15" s="45"/>
      <c r="G15" s="45">
        <v>23694260</v>
      </c>
      <c r="H15" s="45"/>
      <c r="I15" s="45">
        <v>1846599</v>
      </c>
      <c r="J15" s="45"/>
      <c r="K15" s="45">
        <v>7314912</v>
      </c>
      <c r="L15" s="45"/>
      <c r="M15" s="45">
        <f>1462471+36045+40993+4084187</f>
        <v>5623696</v>
      </c>
      <c r="N15" s="45"/>
      <c r="O15" s="45">
        <v>0</v>
      </c>
      <c r="P15" s="45"/>
      <c r="Q15" s="45">
        <f>6503291+2071600+2180761</f>
        <v>10755652</v>
      </c>
      <c r="R15" s="45"/>
      <c r="S15" s="45">
        <f t="shared" si="0"/>
        <v>16379348</v>
      </c>
      <c r="T15" s="45"/>
      <c r="U15" s="44">
        <f t="shared" si="1"/>
        <v>0</v>
      </c>
    </row>
    <row r="16" spans="1:21" s="44" customFormat="1" ht="12.75" customHeight="1">
      <c r="A16" s="44" t="s">
        <v>23</v>
      </c>
      <c r="C16" s="44" t="s">
        <v>17</v>
      </c>
      <c r="E16" s="45">
        <v>15119756</v>
      </c>
      <c r="F16" s="45"/>
      <c r="G16" s="45">
        <v>25899128</v>
      </c>
      <c r="H16" s="45"/>
      <c r="I16" s="45">
        <v>8887623</v>
      </c>
      <c r="J16" s="45"/>
      <c r="K16" s="45">
        <v>11015735</v>
      </c>
      <c r="L16" s="45"/>
      <c r="M16" s="45">
        <v>3989083</v>
      </c>
      <c r="N16" s="45"/>
      <c r="O16" s="45">
        <v>0</v>
      </c>
      <c r="P16" s="45"/>
      <c r="Q16" s="45">
        <f>6577416+2132865+531928+1652101</f>
        <v>10894310</v>
      </c>
      <c r="R16" s="45"/>
      <c r="S16" s="45">
        <f t="shared" si="0"/>
        <v>14883393</v>
      </c>
      <c r="T16" s="45"/>
      <c r="U16" s="44">
        <f t="shared" si="1"/>
        <v>0</v>
      </c>
    </row>
    <row r="17" spans="1:21" s="44" customFormat="1" ht="12.75" customHeight="1">
      <c r="A17" s="44" t="s">
        <v>24</v>
      </c>
      <c r="C17" s="44" t="s">
        <v>17</v>
      </c>
      <c r="E17" s="45">
        <f>11113450+158079</f>
        <v>11271529</v>
      </c>
      <c r="F17" s="45"/>
      <c r="G17" s="45">
        <v>24221921</v>
      </c>
      <c r="H17" s="45"/>
      <c r="I17" s="45">
        <v>11456820</v>
      </c>
      <c r="J17" s="45"/>
      <c r="K17" s="45">
        <v>14467735</v>
      </c>
      <c r="L17" s="45"/>
      <c r="M17" s="45">
        <f>106102+923458+523965</f>
        <v>1553525</v>
      </c>
      <c r="N17" s="45"/>
      <c r="O17" s="45">
        <v>0</v>
      </c>
      <c r="P17" s="45"/>
      <c r="Q17" s="45">
        <f>5787228+2028258+385175</f>
        <v>8200661</v>
      </c>
      <c r="R17" s="45"/>
      <c r="S17" s="45">
        <f t="shared" si="0"/>
        <v>9754186</v>
      </c>
      <c r="T17" s="45"/>
      <c r="U17" s="44">
        <f t="shared" si="1"/>
        <v>0</v>
      </c>
    </row>
    <row r="18" spans="1:21" s="44" customFormat="1" ht="12.75" customHeight="1">
      <c r="A18" s="44" t="s">
        <v>25</v>
      </c>
      <c r="C18" s="44" t="s">
        <v>13</v>
      </c>
      <c r="E18" s="45">
        <f>5962324+194857</f>
        <v>6157181</v>
      </c>
      <c r="F18" s="45"/>
      <c r="G18" s="45">
        <v>12491685</v>
      </c>
      <c r="H18" s="45"/>
      <c r="I18" s="45">
        <v>2238712</v>
      </c>
      <c r="J18" s="45"/>
      <c r="K18" s="45">
        <v>6109540</v>
      </c>
      <c r="L18" s="45"/>
      <c r="M18" s="45">
        <f>701182+60233+665068+323368</f>
        <v>1749851</v>
      </c>
      <c r="N18" s="45"/>
      <c r="O18" s="45">
        <v>0</v>
      </c>
      <c r="P18" s="45"/>
      <c r="Q18" s="45">
        <f>2806096+1910409-84211</f>
        <v>4632294</v>
      </c>
      <c r="R18" s="45"/>
      <c r="S18" s="45">
        <f t="shared" si="0"/>
        <v>6382145</v>
      </c>
      <c r="T18" s="45"/>
      <c r="U18" s="44">
        <f t="shared" si="1"/>
        <v>0</v>
      </c>
    </row>
    <row r="19" spans="1:21" s="44" customFormat="1" ht="12.75" customHeight="1">
      <c r="A19" s="44" t="s">
        <v>26</v>
      </c>
      <c r="C19" s="44" t="s">
        <v>27</v>
      </c>
      <c r="E19" s="45">
        <v>18811182</v>
      </c>
      <c r="F19" s="45"/>
      <c r="G19" s="45">
        <v>29909466</v>
      </c>
      <c r="H19" s="45"/>
      <c r="I19" s="45">
        <v>2195128</v>
      </c>
      <c r="J19" s="45"/>
      <c r="K19" s="45">
        <v>9553919</v>
      </c>
      <c r="L19" s="45"/>
      <c r="M19" s="45">
        <v>340488</v>
      </c>
      <c r="N19" s="45"/>
      <c r="O19" s="45">
        <v>0</v>
      </c>
      <c r="P19" s="45"/>
      <c r="Q19" s="45">
        <f>17479091+1927625+204825+403518</f>
        <v>20015059</v>
      </c>
      <c r="R19" s="45"/>
      <c r="S19" s="45">
        <f t="shared" si="0"/>
        <v>20355547</v>
      </c>
      <c r="T19" s="45"/>
      <c r="U19" s="44">
        <f t="shared" si="1"/>
        <v>0</v>
      </c>
    </row>
    <row r="20" spans="1:21" s="44" customFormat="1" ht="12.75" customHeight="1">
      <c r="A20" s="44" t="s">
        <v>28</v>
      </c>
      <c r="C20" s="44" t="s">
        <v>27</v>
      </c>
      <c r="E20" s="45">
        <f>33952235+38</f>
        <v>33952273</v>
      </c>
      <c r="F20" s="45"/>
      <c r="G20" s="45">
        <v>50731824</v>
      </c>
      <c r="H20" s="45"/>
      <c r="I20" s="45">
        <v>11177949</v>
      </c>
      <c r="J20" s="45"/>
      <c r="K20" s="45">
        <v>13128563</v>
      </c>
      <c r="L20" s="45"/>
      <c r="M20" s="45">
        <f>2240957+14538</f>
        <v>2255495</v>
      </c>
      <c r="N20" s="45"/>
      <c r="O20" s="45">
        <v>0</v>
      </c>
      <c r="P20" s="45"/>
      <c r="Q20" s="45">
        <f>25095256+1508792+540880+8202838</f>
        <v>35347766</v>
      </c>
      <c r="R20" s="45"/>
      <c r="S20" s="45">
        <f t="shared" si="0"/>
        <v>37603261</v>
      </c>
      <c r="T20" s="45"/>
      <c r="U20" s="44">
        <f t="shared" si="1"/>
        <v>0</v>
      </c>
    </row>
    <row r="21" spans="1:21" s="44" customFormat="1" ht="12.75" customHeight="1">
      <c r="A21" s="44" t="s">
        <v>29</v>
      </c>
      <c r="C21" s="44" t="s">
        <v>30</v>
      </c>
      <c r="E21" s="45">
        <f>6614034+24420</f>
        <v>6638454</v>
      </c>
      <c r="F21" s="45"/>
      <c r="G21" s="45">
        <v>27927557</v>
      </c>
      <c r="H21" s="45"/>
      <c r="I21" s="45">
        <v>19472435</v>
      </c>
      <c r="J21" s="45"/>
      <c r="K21" s="45">
        <v>20266516</v>
      </c>
      <c r="L21" s="45"/>
      <c r="M21" s="45">
        <f>424059+230379+15201</f>
        <v>669639</v>
      </c>
      <c r="N21" s="45"/>
      <c r="O21" s="45">
        <v>0</v>
      </c>
      <c r="P21" s="45"/>
      <c r="Q21" s="45">
        <f>2116516+4389875+43699+432093+9219</f>
        <v>6991402</v>
      </c>
      <c r="R21" s="45"/>
      <c r="S21" s="45">
        <f t="shared" si="0"/>
        <v>7661041</v>
      </c>
      <c r="T21" s="45"/>
      <c r="U21" s="44">
        <f t="shared" si="1"/>
        <v>0</v>
      </c>
    </row>
    <row r="22" spans="1:21" s="44" customFormat="1" ht="12.75" customHeight="1">
      <c r="A22" s="44" t="s">
        <v>31</v>
      </c>
      <c r="C22" s="44" t="s">
        <v>27</v>
      </c>
      <c r="E22" s="45">
        <v>15720204</v>
      </c>
      <c r="F22" s="45"/>
      <c r="G22" s="45">
        <v>24566023</v>
      </c>
      <c r="H22" s="45"/>
      <c r="I22" s="45">
        <v>7499164</v>
      </c>
      <c r="J22" s="45"/>
      <c r="K22" s="45">
        <v>8673331</v>
      </c>
      <c r="L22" s="45"/>
      <c r="M22" s="45">
        <v>914907</v>
      </c>
      <c r="N22" s="45"/>
      <c r="O22" s="45">
        <v>0</v>
      </c>
      <c r="P22" s="45"/>
      <c r="Q22" s="45">
        <f>10313325+3398068+443234+823158</f>
        <v>14977785</v>
      </c>
      <c r="R22" s="45"/>
      <c r="S22" s="45">
        <f t="shared" si="0"/>
        <v>15892692</v>
      </c>
      <c r="T22" s="45"/>
      <c r="U22" s="44">
        <f t="shared" si="1"/>
        <v>0</v>
      </c>
    </row>
    <row r="23" spans="1:21" s="44" customFormat="1" ht="12.75" customHeight="1">
      <c r="A23" s="44" t="s">
        <v>32</v>
      </c>
      <c r="C23" s="44" t="s">
        <v>27</v>
      </c>
      <c r="E23" s="45">
        <v>5113475</v>
      </c>
      <c r="F23" s="45"/>
      <c r="G23" s="45">
        <v>11783284</v>
      </c>
      <c r="H23" s="45"/>
      <c r="I23" s="45">
        <v>4383384</v>
      </c>
      <c r="J23" s="45"/>
      <c r="K23" s="45">
        <v>5969259</v>
      </c>
      <c r="L23" s="45"/>
      <c r="M23" s="45">
        <f>138333+98613+43239</f>
        <v>280185</v>
      </c>
      <c r="N23" s="45"/>
      <c r="O23" s="45">
        <v>0</v>
      </c>
      <c r="P23" s="45"/>
      <c r="Q23" s="45">
        <f>5282825+161324+142615-52924</f>
        <v>5533840</v>
      </c>
      <c r="R23" s="45"/>
      <c r="S23" s="45">
        <f t="shared" si="0"/>
        <v>5814025</v>
      </c>
      <c r="T23" s="45"/>
      <c r="U23" s="44">
        <f t="shared" si="1"/>
        <v>0</v>
      </c>
    </row>
    <row r="24" spans="1:21" s="122" customFormat="1" ht="12.75" hidden="1" customHeight="1">
      <c r="A24" s="122" t="s">
        <v>34</v>
      </c>
      <c r="B24" s="126"/>
      <c r="C24" s="122" t="s">
        <v>30</v>
      </c>
      <c r="E24" s="125">
        <v>0</v>
      </c>
      <c r="F24" s="125"/>
      <c r="G24" s="125">
        <v>0</v>
      </c>
      <c r="H24" s="125"/>
      <c r="I24" s="125">
        <v>0</v>
      </c>
      <c r="J24" s="125"/>
      <c r="K24" s="125">
        <v>0</v>
      </c>
      <c r="L24" s="125"/>
      <c r="M24" s="125">
        <v>0</v>
      </c>
      <c r="N24" s="125"/>
      <c r="O24" s="125">
        <v>0</v>
      </c>
      <c r="P24" s="125"/>
      <c r="Q24" s="125">
        <v>0</v>
      </c>
      <c r="R24" s="125"/>
      <c r="S24" s="125">
        <f t="shared" si="0"/>
        <v>0</v>
      </c>
      <c r="T24" s="125"/>
      <c r="U24" s="122">
        <f t="shared" si="1"/>
        <v>0</v>
      </c>
    </row>
    <row r="25" spans="1:21" s="44" customFormat="1" ht="12.75" customHeight="1">
      <c r="A25" s="44" t="s">
        <v>35</v>
      </c>
      <c r="C25" s="44" t="s">
        <v>36</v>
      </c>
      <c r="E25" s="45">
        <v>6194757</v>
      </c>
      <c r="F25" s="45"/>
      <c r="G25" s="45">
        <v>11212877</v>
      </c>
      <c r="H25" s="45"/>
      <c r="I25" s="45">
        <v>1657453</v>
      </c>
      <c r="J25" s="45"/>
      <c r="K25" s="45">
        <v>2449392</v>
      </c>
      <c r="L25" s="45"/>
      <c r="M25" s="45">
        <f>130790+59056+102218+5468+76000</f>
        <v>373532</v>
      </c>
      <c r="N25" s="45"/>
      <c r="O25" s="45">
        <v>0</v>
      </c>
      <c r="P25" s="45"/>
      <c r="Q25" s="45">
        <f>3475177+1128991+3780319+5466</f>
        <v>8389953</v>
      </c>
      <c r="R25" s="45"/>
      <c r="S25" s="45">
        <f t="shared" si="0"/>
        <v>8763485</v>
      </c>
      <c r="T25" s="45"/>
      <c r="U25" s="44">
        <f t="shared" si="1"/>
        <v>0</v>
      </c>
    </row>
    <row r="26" spans="1:21" s="44" customFormat="1" ht="12.75" customHeight="1">
      <c r="A26" s="44" t="s">
        <v>37</v>
      </c>
      <c r="C26" s="44" t="s">
        <v>38</v>
      </c>
      <c r="E26" s="45">
        <f>3635237+864321</f>
        <v>4499558</v>
      </c>
      <c r="F26" s="45"/>
      <c r="G26" s="45">
        <v>7482309</v>
      </c>
      <c r="H26" s="45"/>
      <c r="I26" s="45">
        <v>2184057</v>
      </c>
      <c r="J26" s="45"/>
      <c r="K26" s="45">
        <v>2509456</v>
      </c>
      <c r="L26" s="45"/>
      <c r="M26" s="45">
        <f>452556+868797+85353+43255+6760+1967836</f>
        <v>3424557</v>
      </c>
      <c r="N26" s="45"/>
      <c r="O26" s="45">
        <v>0</v>
      </c>
      <c r="P26" s="45"/>
      <c r="Q26" s="45">
        <f>1090618+23377+366551+67750</f>
        <v>1548296</v>
      </c>
      <c r="R26" s="45"/>
      <c r="S26" s="45">
        <f t="shared" si="0"/>
        <v>4972853</v>
      </c>
      <c r="T26" s="45"/>
      <c r="U26" s="44">
        <f t="shared" si="1"/>
        <v>0</v>
      </c>
    </row>
    <row r="27" spans="1:21" s="44" customFormat="1" ht="12.75" customHeight="1">
      <c r="A27" s="44" t="s">
        <v>39</v>
      </c>
      <c r="C27" s="44" t="s">
        <v>40</v>
      </c>
      <c r="E27" s="45">
        <f>6883+49010+6598</f>
        <v>62491</v>
      </c>
      <c r="F27" s="45"/>
      <c r="G27" s="45">
        <v>3435955</v>
      </c>
      <c r="H27" s="45"/>
      <c r="I27" s="45">
        <v>817695</v>
      </c>
      <c r="J27" s="45"/>
      <c r="K27" s="45">
        <v>1342134</v>
      </c>
      <c r="L27" s="45"/>
      <c r="M27" s="45">
        <f>17393+8231+6598</f>
        <v>32222</v>
      </c>
      <c r="N27" s="45"/>
      <c r="O27" s="45">
        <v>0</v>
      </c>
      <c r="P27" s="45"/>
      <c r="Q27" s="45">
        <f>1474152+259498+327949</f>
        <v>2061599</v>
      </c>
      <c r="R27" s="45"/>
      <c r="S27" s="45">
        <f t="shared" si="0"/>
        <v>2093821</v>
      </c>
      <c r="T27" s="45"/>
      <c r="U27" s="44">
        <f t="shared" si="1"/>
        <v>0</v>
      </c>
    </row>
    <row r="28" spans="1:21" s="44" customFormat="1" ht="12.75" customHeight="1">
      <c r="A28" s="44" t="s">
        <v>41</v>
      </c>
      <c r="C28" s="44" t="s">
        <v>27</v>
      </c>
      <c r="E28" s="45">
        <v>4198370</v>
      </c>
      <c r="F28" s="45"/>
      <c r="G28" s="45">
        <v>13767485</v>
      </c>
      <c r="H28" s="45"/>
      <c r="I28" s="45">
        <v>6703830</v>
      </c>
      <c r="J28" s="45"/>
      <c r="K28" s="45">
        <v>10855411</v>
      </c>
      <c r="L28" s="45"/>
      <c r="M28" s="45">
        <f>111524+22721+34388+150000</f>
        <v>318633</v>
      </c>
      <c r="N28" s="45"/>
      <c r="O28" s="45">
        <v>0</v>
      </c>
      <c r="P28" s="45"/>
      <c r="Q28" s="45">
        <f>1593057+855636+468848-324100</f>
        <v>2593441</v>
      </c>
      <c r="R28" s="45"/>
      <c r="S28" s="45">
        <f t="shared" si="0"/>
        <v>2912074</v>
      </c>
      <c r="T28" s="45"/>
      <c r="U28" s="44">
        <f t="shared" si="1"/>
        <v>0</v>
      </c>
    </row>
    <row r="29" spans="1:21" s="44" customFormat="1" ht="12.75" customHeight="1">
      <c r="A29" s="44" t="s">
        <v>42</v>
      </c>
      <c r="C29" s="44" t="s">
        <v>43</v>
      </c>
      <c r="E29" s="45">
        <f>7627938+2876+87000</f>
        <v>7717814</v>
      </c>
      <c r="F29" s="45"/>
      <c r="G29" s="45">
        <v>12929452</v>
      </c>
      <c r="H29" s="45"/>
      <c r="I29" s="45">
        <v>3217527</v>
      </c>
      <c r="J29" s="45"/>
      <c r="K29" s="45">
        <v>3987667</v>
      </c>
      <c r="L29" s="45"/>
      <c r="M29" s="45">
        <f>87000+332123+50000+21005+2444666</f>
        <v>2934794</v>
      </c>
      <c r="N29" s="45"/>
      <c r="O29" s="45">
        <v>1000000</v>
      </c>
      <c r="P29" s="45"/>
      <c r="Q29" s="45">
        <f>6448934+495301-1937244</f>
        <v>5006991</v>
      </c>
      <c r="R29" s="45"/>
      <c r="S29" s="45">
        <f t="shared" si="0"/>
        <v>8941785</v>
      </c>
      <c r="T29" s="45"/>
      <c r="U29" s="44">
        <f t="shared" si="1"/>
        <v>0</v>
      </c>
    </row>
    <row r="30" spans="1:21" s="44" customFormat="1" ht="12.75" customHeight="1">
      <c r="A30" s="44" t="s">
        <v>44</v>
      </c>
      <c r="C30" s="44" t="s">
        <v>45</v>
      </c>
      <c r="E30" s="45">
        <v>23620747</v>
      </c>
      <c r="F30" s="45"/>
      <c r="G30" s="45">
        <v>33916595</v>
      </c>
      <c r="H30" s="45"/>
      <c r="I30" s="45">
        <v>4827835</v>
      </c>
      <c r="J30" s="45"/>
      <c r="K30" s="45">
        <v>7874432</v>
      </c>
      <c r="L30" s="45"/>
      <c r="M30" s="45">
        <f>1625355+181570+190948+1363513</f>
        <v>3361386</v>
      </c>
      <c r="N30" s="45"/>
      <c r="O30" s="45">
        <v>0</v>
      </c>
      <c r="P30" s="45"/>
      <c r="Q30" s="45">
        <f>14857882+565946+7256949</f>
        <v>22680777</v>
      </c>
      <c r="R30" s="45"/>
      <c r="S30" s="45">
        <f t="shared" si="0"/>
        <v>26042163</v>
      </c>
      <c r="T30" s="45"/>
      <c r="U30" s="44">
        <f t="shared" si="1"/>
        <v>0</v>
      </c>
    </row>
    <row r="31" spans="1:21" s="44" customFormat="1" ht="12.75" customHeight="1">
      <c r="A31" s="44" t="s">
        <v>46</v>
      </c>
      <c r="C31" s="44" t="s">
        <v>47</v>
      </c>
      <c r="E31" s="45">
        <f>20070261+1975</f>
        <v>20072236</v>
      </c>
      <c r="F31" s="45"/>
      <c r="G31" s="45">
        <v>30201696</v>
      </c>
      <c r="H31" s="45"/>
      <c r="I31" s="45">
        <v>7039419</v>
      </c>
      <c r="J31" s="45"/>
      <c r="K31" s="45">
        <v>9567792</v>
      </c>
      <c r="L31" s="45"/>
      <c r="M31" s="45">
        <f>231800+22549+422550+2020112</f>
        <v>2697011</v>
      </c>
      <c r="N31" s="45"/>
      <c r="O31" s="45">
        <v>0</v>
      </c>
      <c r="P31" s="45"/>
      <c r="Q31" s="45">
        <f>3608335+3894325+158301+10275932</f>
        <v>17936893</v>
      </c>
      <c r="R31" s="45"/>
      <c r="S31" s="45">
        <f t="shared" si="0"/>
        <v>20633904</v>
      </c>
      <c r="T31" s="45"/>
      <c r="U31" s="44">
        <f t="shared" si="1"/>
        <v>0</v>
      </c>
    </row>
    <row r="32" spans="1:21" s="44" customFormat="1" ht="12.75" customHeight="1">
      <c r="A32" s="44" t="s">
        <v>48</v>
      </c>
      <c r="C32" s="44" t="s">
        <v>27</v>
      </c>
      <c r="E32" s="45">
        <f>18065153+24026</f>
        <v>18089179</v>
      </c>
      <c r="F32" s="45"/>
      <c r="G32" s="45">
        <v>32030656</v>
      </c>
      <c r="H32" s="45"/>
      <c r="I32" s="45">
        <v>12419912</v>
      </c>
      <c r="J32" s="45"/>
      <c r="K32" s="45">
        <v>16674167</v>
      </c>
      <c r="L32" s="45"/>
      <c r="M32" s="45">
        <v>4581684</v>
      </c>
      <c r="N32" s="45"/>
      <c r="O32" s="45">
        <v>0</v>
      </c>
      <c r="P32" s="45"/>
      <c r="Q32" s="45">
        <f>6213938+1958225+809373+1793269</f>
        <v>10774805</v>
      </c>
      <c r="R32" s="45"/>
      <c r="S32" s="45">
        <f t="shared" si="0"/>
        <v>15356489</v>
      </c>
      <c r="T32" s="45"/>
      <c r="U32" s="44">
        <f t="shared" si="1"/>
        <v>0</v>
      </c>
    </row>
    <row r="33" spans="1:21" s="44" customFormat="1" ht="12.75" customHeight="1">
      <c r="A33" s="44" t="s">
        <v>49</v>
      </c>
      <c r="C33" s="44" t="s">
        <v>27</v>
      </c>
      <c r="E33" s="45">
        <f>6721617+638727</f>
        <v>7360344</v>
      </c>
      <c r="F33" s="45"/>
      <c r="G33" s="45">
        <v>21950398</v>
      </c>
      <c r="H33" s="45"/>
      <c r="I33" s="45">
        <v>12429998</v>
      </c>
      <c r="J33" s="45"/>
      <c r="K33" s="45">
        <v>13748489</v>
      </c>
      <c r="L33" s="45"/>
      <c r="M33" s="45">
        <f>388249+112000</f>
        <v>500249</v>
      </c>
      <c r="N33" s="45"/>
      <c r="O33" s="45">
        <v>0</v>
      </c>
      <c r="P33" s="45"/>
      <c r="Q33" s="45">
        <f>2465835+647772+895831+3692222</f>
        <v>7701660</v>
      </c>
      <c r="R33" s="45"/>
      <c r="S33" s="45">
        <f t="shared" si="0"/>
        <v>8201909</v>
      </c>
      <c r="T33" s="45"/>
      <c r="U33" s="44">
        <f t="shared" si="1"/>
        <v>0</v>
      </c>
    </row>
    <row r="34" spans="1:21" s="44" customFormat="1" ht="12.75" customHeight="1">
      <c r="A34" s="44" t="s">
        <v>50</v>
      </c>
      <c r="C34" s="44" t="s">
        <v>27</v>
      </c>
      <c r="E34" s="45">
        <v>22841589</v>
      </c>
      <c r="F34" s="45"/>
      <c r="G34" s="45">
        <v>31415294</v>
      </c>
      <c r="H34" s="45"/>
      <c r="I34" s="45">
        <v>4051123</v>
      </c>
      <c r="J34" s="45"/>
      <c r="K34" s="45">
        <v>6242053</v>
      </c>
      <c r="L34" s="45"/>
      <c r="M34" s="45">
        <f>1498356+172841+852786</f>
        <v>2523983</v>
      </c>
      <c r="N34" s="45"/>
      <c r="O34" s="45">
        <v>0</v>
      </c>
      <c r="P34" s="45"/>
      <c r="Q34" s="45">
        <f>9058619+2690033+459559+10441047</f>
        <v>22649258</v>
      </c>
      <c r="R34" s="45"/>
      <c r="S34" s="45">
        <f t="shared" si="0"/>
        <v>25173241</v>
      </c>
      <c r="T34" s="45"/>
      <c r="U34" s="44">
        <f t="shared" si="1"/>
        <v>0</v>
      </c>
    </row>
    <row r="35" spans="1:21" s="44" customFormat="1" ht="12.75" customHeight="1">
      <c r="A35" s="44" t="s">
        <v>51</v>
      </c>
      <c r="C35" s="44" t="s">
        <v>27</v>
      </c>
      <c r="E35" s="45">
        <f>5094529+67907+1086</f>
        <v>5163522</v>
      </c>
      <c r="F35" s="45"/>
      <c r="G35" s="45">
        <v>14022459</v>
      </c>
      <c r="H35" s="45"/>
      <c r="I35" s="45">
        <v>3682398</v>
      </c>
      <c r="J35" s="45"/>
      <c r="K35" s="45">
        <v>5393125</v>
      </c>
      <c r="L35" s="45"/>
      <c r="M35" s="45">
        <f>549928+112500+3501863</f>
        <v>4164291</v>
      </c>
      <c r="N35" s="45"/>
      <c r="O35" s="45">
        <v>0</v>
      </c>
      <c r="P35" s="45"/>
      <c r="Q35" s="45">
        <f>3055408+143250+1288226-21841</f>
        <v>4465043</v>
      </c>
      <c r="R35" s="45"/>
      <c r="S35" s="45">
        <f t="shared" si="0"/>
        <v>8629334</v>
      </c>
      <c r="T35" s="45"/>
      <c r="U35" s="44">
        <f t="shared" si="1"/>
        <v>0</v>
      </c>
    </row>
    <row r="36" spans="1:21" s="44" customFormat="1" ht="12.75" customHeight="1">
      <c r="A36" s="44" t="s">
        <v>463</v>
      </c>
      <c r="C36" s="44" t="s">
        <v>66</v>
      </c>
      <c r="E36" s="45">
        <f>3466052+274776</f>
        <v>3740828</v>
      </c>
      <c r="F36" s="45"/>
      <c r="G36" s="45">
        <v>5588599</v>
      </c>
      <c r="H36" s="45"/>
      <c r="I36" s="45">
        <v>1211663</v>
      </c>
      <c r="J36" s="45"/>
      <c r="K36" s="45">
        <v>1615329</v>
      </c>
      <c r="L36" s="45"/>
      <c r="M36" s="45">
        <f>414713+39300+24370+8788</f>
        <v>487171</v>
      </c>
      <c r="N36" s="45"/>
      <c r="O36" s="45">
        <v>0</v>
      </c>
      <c r="P36" s="45"/>
      <c r="Q36" s="45">
        <f>1086448+155330+2244321</f>
        <v>3486099</v>
      </c>
      <c r="R36" s="45"/>
      <c r="S36" s="45">
        <f t="shared" si="0"/>
        <v>3973270</v>
      </c>
      <c r="T36" s="45"/>
      <c r="U36" s="44">
        <f t="shared" si="1"/>
        <v>0</v>
      </c>
    </row>
    <row r="37" spans="1:21" s="44" customFormat="1" ht="12.75" customHeight="1">
      <c r="A37" s="44" t="s">
        <v>52</v>
      </c>
      <c r="C37" s="44" t="s">
        <v>53</v>
      </c>
      <c r="E37" s="45">
        <f>15156476+51303+647+28967</f>
        <v>15237393</v>
      </c>
      <c r="F37" s="45"/>
      <c r="G37" s="45">
        <v>30180368</v>
      </c>
      <c r="H37" s="45"/>
      <c r="I37" s="45">
        <v>10113066</v>
      </c>
      <c r="J37" s="45"/>
      <c r="K37" s="45">
        <v>16616570</v>
      </c>
      <c r="L37" s="45"/>
      <c r="M37" s="45">
        <f>1432484+14480+1531000+1334824</f>
        <v>4312788</v>
      </c>
      <c r="N37" s="45"/>
      <c r="O37" s="45">
        <v>0</v>
      </c>
      <c r="P37" s="45"/>
      <c r="Q37" s="45">
        <f>2645280+2891433+939632+2774665</f>
        <v>9251010</v>
      </c>
      <c r="R37" s="45"/>
      <c r="S37" s="45">
        <f t="shared" si="0"/>
        <v>13563798</v>
      </c>
      <c r="T37" s="45"/>
      <c r="U37" s="44">
        <f t="shared" si="1"/>
        <v>0</v>
      </c>
    </row>
    <row r="38" spans="1:21" s="44" customFormat="1" ht="12.75" customHeight="1">
      <c r="A38" s="44" t="s">
        <v>54</v>
      </c>
      <c r="C38" s="44" t="s">
        <v>55</v>
      </c>
      <c r="E38" s="45">
        <v>12602189</v>
      </c>
      <c r="F38" s="45"/>
      <c r="G38" s="45">
        <v>17913332</v>
      </c>
      <c r="H38" s="45"/>
      <c r="I38" s="45">
        <v>2022518</v>
      </c>
      <c r="J38" s="45"/>
      <c r="K38" s="45">
        <v>2590465</v>
      </c>
      <c r="L38" s="45"/>
      <c r="M38" s="45">
        <f>652590+46089+99669+1793273</f>
        <v>2591621</v>
      </c>
      <c r="N38" s="45"/>
      <c r="O38" s="45">
        <v>0</v>
      </c>
      <c r="P38" s="45"/>
      <c r="Q38" s="45">
        <f>935712+9067105+7967+2720462</f>
        <v>12731246</v>
      </c>
      <c r="R38" s="45"/>
      <c r="S38" s="45">
        <f t="shared" si="0"/>
        <v>15322867</v>
      </c>
      <c r="T38" s="45"/>
      <c r="U38" s="44">
        <f t="shared" si="1"/>
        <v>0</v>
      </c>
    </row>
    <row r="39" spans="1:21" s="44" customFormat="1" ht="12.75" customHeight="1">
      <c r="A39" s="44" t="s">
        <v>56</v>
      </c>
      <c r="C39" s="44" t="s">
        <v>57</v>
      </c>
      <c r="E39" s="45">
        <v>4454348</v>
      </c>
      <c r="F39" s="45"/>
      <c r="G39" s="45">
        <v>7873693</v>
      </c>
      <c r="H39" s="45"/>
      <c r="I39" s="45">
        <v>2195402</v>
      </c>
      <c r="J39" s="45"/>
      <c r="K39" s="45">
        <v>2942913</v>
      </c>
      <c r="L39" s="45"/>
      <c r="M39" s="45">
        <v>352276</v>
      </c>
      <c r="N39" s="45"/>
      <c r="O39" s="45">
        <v>0</v>
      </c>
      <c r="P39" s="45"/>
      <c r="Q39" s="45">
        <f>2378783+1751990+69783+377948</f>
        <v>4578504</v>
      </c>
      <c r="R39" s="45"/>
      <c r="S39" s="45">
        <f t="shared" si="0"/>
        <v>4930780</v>
      </c>
      <c r="T39" s="45"/>
      <c r="U39" s="44">
        <f t="shared" si="1"/>
        <v>0</v>
      </c>
    </row>
    <row r="40" spans="1:21" s="44" customFormat="1" ht="12.75" customHeight="1">
      <c r="A40" s="44" t="s">
        <v>58</v>
      </c>
      <c r="C40" s="44" t="s">
        <v>59</v>
      </c>
      <c r="E40" s="45">
        <f>3917282+770963</f>
        <v>4688245</v>
      </c>
      <c r="F40" s="45"/>
      <c r="G40" s="45">
        <v>9226401</v>
      </c>
      <c r="H40" s="45"/>
      <c r="I40" s="45">
        <v>2946937</v>
      </c>
      <c r="J40" s="45"/>
      <c r="K40" s="45">
        <v>3735667</v>
      </c>
      <c r="L40" s="45"/>
      <c r="M40" s="45">
        <f>78961+173258</f>
        <v>252219</v>
      </c>
      <c r="N40" s="45"/>
      <c r="O40" s="45">
        <v>0</v>
      </c>
      <c r="P40" s="45"/>
      <c r="Q40" s="45">
        <f>1289218+3441316+79217+428764</f>
        <v>5238515</v>
      </c>
      <c r="R40" s="45"/>
      <c r="S40" s="45">
        <f t="shared" si="0"/>
        <v>5490734</v>
      </c>
      <c r="T40" s="45"/>
      <c r="U40" s="44">
        <f t="shared" si="1"/>
        <v>0</v>
      </c>
    </row>
    <row r="41" spans="1:21" s="44" customFormat="1" ht="12.75" hidden="1" customHeight="1">
      <c r="A41" s="44" t="s">
        <v>477</v>
      </c>
      <c r="C41" s="44" t="s">
        <v>15</v>
      </c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>
        <f>+Q41+O41+M41</f>
        <v>0</v>
      </c>
      <c r="T41" s="45"/>
      <c r="U41" s="44">
        <f>+G41-K41-S41</f>
        <v>0</v>
      </c>
    </row>
    <row r="42" spans="1:21" s="44" customFormat="1" ht="12.75" hidden="1" customHeight="1">
      <c r="A42" s="44" t="s">
        <v>60</v>
      </c>
      <c r="C42" s="44" t="s">
        <v>61</v>
      </c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>
        <f t="shared" si="0"/>
        <v>0</v>
      </c>
      <c r="T42" s="45"/>
      <c r="U42" s="44">
        <f t="shared" si="1"/>
        <v>0</v>
      </c>
    </row>
    <row r="43" spans="1:21" s="44" customFormat="1" ht="12.75" customHeight="1">
      <c r="A43" s="44" t="s">
        <v>62</v>
      </c>
      <c r="C43" s="44" t="s">
        <v>15</v>
      </c>
      <c r="E43" s="45">
        <f>30302092+3019</f>
        <v>30305111</v>
      </c>
      <c r="F43" s="45"/>
      <c r="G43" s="45">
        <v>61732607</v>
      </c>
      <c r="H43" s="45"/>
      <c r="I43" s="45">
        <v>18857424</v>
      </c>
      <c r="J43" s="45"/>
      <c r="K43" s="45">
        <v>26620887</v>
      </c>
      <c r="L43" s="45"/>
      <c r="M43" s="45">
        <f>234393+11105072+1786145+1000</f>
        <v>13126610</v>
      </c>
      <c r="N43" s="45"/>
      <c r="O43" s="45">
        <v>0</v>
      </c>
      <c r="P43" s="45"/>
      <c r="Q43" s="45">
        <f>8358711+4742048+6239+8878112</f>
        <v>21985110</v>
      </c>
      <c r="R43" s="45"/>
      <c r="S43" s="45">
        <f t="shared" si="0"/>
        <v>35111720</v>
      </c>
      <c r="T43" s="45"/>
      <c r="U43" s="44">
        <f t="shared" si="1"/>
        <v>0</v>
      </c>
    </row>
    <row r="44" spans="1:21" s="137" customFormat="1" ht="12.75" hidden="1" customHeight="1">
      <c r="A44" s="137" t="s">
        <v>486</v>
      </c>
      <c r="C44" s="137" t="s">
        <v>111</v>
      </c>
      <c r="E44" s="143">
        <v>0</v>
      </c>
      <c r="F44" s="143"/>
      <c r="G44" s="143">
        <v>0</v>
      </c>
      <c r="H44" s="143"/>
      <c r="I44" s="143">
        <v>0</v>
      </c>
      <c r="J44" s="143"/>
      <c r="K44" s="143">
        <v>0</v>
      </c>
      <c r="L44" s="143"/>
      <c r="M44" s="143">
        <v>0</v>
      </c>
      <c r="N44" s="143"/>
      <c r="O44" s="143">
        <v>0</v>
      </c>
      <c r="P44" s="143"/>
      <c r="Q44" s="143">
        <v>0</v>
      </c>
      <c r="R44" s="143"/>
      <c r="S44" s="143">
        <f>+Q44+O44+M44</f>
        <v>0</v>
      </c>
      <c r="T44" s="143"/>
      <c r="U44" s="137">
        <f>+G44-K44-S44</f>
        <v>0</v>
      </c>
    </row>
    <row r="45" spans="1:21" s="44" customFormat="1" ht="12.75" customHeight="1">
      <c r="A45" s="44" t="s">
        <v>63</v>
      </c>
      <c r="C45" s="44" t="s">
        <v>64</v>
      </c>
      <c r="E45" s="45">
        <v>3692441</v>
      </c>
      <c r="F45" s="45"/>
      <c r="G45" s="45">
        <v>7363023</v>
      </c>
      <c r="H45" s="45"/>
      <c r="I45" s="45">
        <v>1911443</v>
      </c>
      <c r="J45" s="45"/>
      <c r="K45" s="45">
        <v>5083945</v>
      </c>
      <c r="L45" s="45"/>
      <c r="M45" s="45">
        <v>889618</v>
      </c>
      <c r="N45" s="45"/>
      <c r="O45" s="45">
        <v>0</v>
      </c>
      <c r="P45" s="45"/>
      <c r="Q45" s="45">
        <v>1389460</v>
      </c>
      <c r="R45" s="45"/>
      <c r="S45" s="45">
        <f t="shared" si="0"/>
        <v>2279078</v>
      </c>
      <c r="T45" s="45"/>
      <c r="U45" s="44">
        <f t="shared" si="1"/>
        <v>0</v>
      </c>
    </row>
    <row r="46" spans="1:21" s="44" customFormat="1" ht="12.75" customHeight="1">
      <c r="A46" s="44" t="s">
        <v>65</v>
      </c>
      <c r="C46" s="44" t="s">
        <v>66</v>
      </c>
      <c r="E46" s="45">
        <f>2124199+18046370</f>
        <v>20170569</v>
      </c>
      <c r="F46" s="45"/>
      <c r="G46" s="45">
        <v>38659110</v>
      </c>
      <c r="H46" s="45"/>
      <c r="I46" s="45">
        <v>15958018</v>
      </c>
      <c r="J46" s="45"/>
      <c r="K46" s="45">
        <v>16732957</v>
      </c>
      <c r="L46" s="45"/>
      <c r="M46" s="45">
        <f>2423733+89386+103560+1413146</f>
        <v>4029825</v>
      </c>
      <c r="N46" s="45"/>
      <c r="O46" s="45">
        <v>6000000</v>
      </c>
      <c r="P46" s="45"/>
      <c r="Q46" s="45">
        <f>8594722+1014034+2287572</f>
        <v>11896328</v>
      </c>
      <c r="R46" s="45"/>
      <c r="S46" s="45">
        <f>+Q46+O46+M46</f>
        <v>21926153</v>
      </c>
      <c r="T46" s="45"/>
      <c r="U46" s="44">
        <f>+G46-K46-S46</f>
        <v>0</v>
      </c>
    </row>
    <row r="47" spans="1:21" s="44" customFormat="1" ht="12.75" customHeight="1">
      <c r="A47" s="44" t="s">
        <v>67</v>
      </c>
      <c r="C47" s="44" t="s">
        <v>375</v>
      </c>
      <c r="E47" s="45">
        <f>4059317+125591</f>
        <v>4184908</v>
      </c>
      <c r="F47" s="45"/>
      <c r="G47" s="45">
        <v>7196802</v>
      </c>
      <c r="H47" s="45"/>
      <c r="I47" s="45">
        <v>2108629</v>
      </c>
      <c r="J47" s="45"/>
      <c r="K47" s="45">
        <v>2492299</v>
      </c>
      <c r="L47" s="45"/>
      <c r="M47" s="45">
        <f>715451+184883</f>
        <v>900334</v>
      </c>
      <c r="N47" s="45"/>
      <c r="O47" s="45">
        <v>0</v>
      </c>
      <c r="P47" s="45"/>
      <c r="Q47" s="45">
        <f>2165770+842+16694+1620863</f>
        <v>3804169</v>
      </c>
      <c r="R47" s="45"/>
      <c r="S47" s="45">
        <f t="shared" ref="S47:S60" si="2">+Q47+O47+M47</f>
        <v>4704503</v>
      </c>
      <c r="T47" s="45"/>
      <c r="U47" s="44">
        <f t="shared" ref="U47:U60" si="3">+G47-K47-S47</f>
        <v>0</v>
      </c>
    </row>
    <row r="48" spans="1:21" s="44" customFormat="1" ht="12.75" customHeight="1">
      <c r="A48" s="44" t="s">
        <v>68</v>
      </c>
      <c r="C48" s="44" t="s">
        <v>45</v>
      </c>
      <c r="E48" s="45">
        <v>967127</v>
      </c>
      <c r="F48" s="45"/>
      <c r="G48" s="45">
        <v>3385843</v>
      </c>
      <c r="H48" s="45"/>
      <c r="I48" s="45">
        <v>1816850</v>
      </c>
      <c r="J48" s="45"/>
      <c r="K48" s="45">
        <v>2128319</v>
      </c>
      <c r="L48" s="45"/>
      <c r="M48" s="45">
        <v>31802</v>
      </c>
      <c r="N48" s="45"/>
      <c r="O48" s="45">
        <v>0</v>
      </c>
      <c r="P48" s="45"/>
      <c r="Q48" s="45">
        <f>366653+428505+20083+410481</f>
        <v>1225722</v>
      </c>
      <c r="R48" s="45"/>
      <c r="S48" s="45">
        <f t="shared" si="2"/>
        <v>1257524</v>
      </c>
      <c r="T48" s="45"/>
      <c r="U48" s="44">
        <f t="shared" si="3"/>
        <v>0</v>
      </c>
    </row>
    <row r="49" spans="1:21" s="44" customFormat="1" ht="12.75" customHeight="1">
      <c r="A49" s="44" t="s">
        <v>69</v>
      </c>
      <c r="C49" s="44" t="s">
        <v>70</v>
      </c>
      <c r="E49" s="45">
        <f>5713532+4888</f>
        <v>5718420</v>
      </c>
      <c r="F49" s="45"/>
      <c r="G49" s="45">
        <v>11449967</v>
      </c>
      <c r="H49" s="45"/>
      <c r="I49" s="45">
        <v>2664515</v>
      </c>
      <c r="J49" s="45"/>
      <c r="K49" s="45">
        <v>5229960</v>
      </c>
      <c r="L49" s="45"/>
      <c r="M49" s="45">
        <f>1000+336513+123418</f>
        <v>460931</v>
      </c>
      <c r="N49" s="45"/>
      <c r="O49" s="45">
        <v>0</v>
      </c>
      <c r="P49" s="45"/>
      <c r="Q49" s="45">
        <f>3274545+1938285+15950+528189+2107</f>
        <v>5759076</v>
      </c>
      <c r="R49" s="45"/>
      <c r="S49" s="45">
        <f t="shared" si="2"/>
        <v>6220007</v>
      </c>
      <c r="T49" s="45"/>
      <c r="U49" s="44">
        <f t="shared" si="3"/>
        <v>0</v>
      </c>
    </row>
    <row r="50" spans="1:21" s="44" customFormat="1" ht="12.75" customHeight="1">
      <c r="A50" s="44" t="s">
        <v>71</v>
      </c>
      <c r="C50" s="44" t="s">
        <v>45</v>
      </c>
      <c r="E50" s="45">
        <f>41092000+323804000+166000+34223000</f>
        <v>399285000</v>
      </c>
      <c r="F50" s="45"/>
      <c r="G50" s="45">
        <v>612439000</v>
      </c>
      <c r="H50" s="45"/>
      <c r="I50" s="45">
        <v>150507000</v>
      </c>
      <c r="J50" s="45"/>
      <c r="K50" s="45">
        <v>229297000</v>
      </c>
      <c r="L50" s="45"/>
      <c r="M50" s="45">
        <f>166000+84525000+10086000+24313000+2750000+3468000+55545000</f>
        <v>180853000</v>
      </c>
      <c r="N50" s="45"/>
      <c r="O50" s="45">
        <v>0</v>
      </c>
      <c r="P50" s="45"/>
      <c r="Q50" s="45">
        <f>54558000+1500000+109614000+22621000+5000000+8340000+656000</f>
        <v>202289000</v>
      </c>
      <c r="R50" s="45"/>
      <c r="S50" s="45">
        <f t="shared" si="2"/>
        <v>383142000</v>
      </c>
      <c r="T50" s="45"/>
      <c r="U50" s="44">
        <f t="shared" si="3"/>
        <v>0</v>
      </c>
    </row>
    <row r="51" spans="1:21" s="44" customFormat="1" ht="12.75" customHeight="1">
      <c r="A51" s="44" t="s">
        <v>464</v>
      </c>
      <c r="C51" s="44" t="s">
        <v>465</v>
      </c>
      <c r="E51" s="45">
        <f>4297967+34840</f>
        <v>4332807</v>
      </c>
      <c r="F51" s="45"/>
      <c r="G51" s="45">
        <v>8890397</v>
      </c>
      <c r="H51" s="45"/>
      <c r="I51" s="45">
        <v>2523113</v>
      </c>
      <c r="J51" s="45"/>
      <c r="K51" s="45">
        <v>3703761</v>
      </c>
      <c r="L51" s="45"/>
      <c r="M51" s="45">
        <f>265656+1179504</f>
        <v>1445160</v>
      </c>
      <c r="N51" s="45"/>
      <c r="O51" s="45">
        <v>0</v>
      </c>
      <c r="P51" s="45"/>
      <c r="Q51" s="45">
        <f>1227164+1572384+172187+769741</f>
        <v>3741476</v>
      </c>
      <c r="R51" s="45"/>
      <c r="S51" s="45">
        <f t="shared" si="2"/>
        <v>5186636</v>
      </c>
      <c r="T51" s="45"/>
      <c r="U51" s="44">
        <f t="shared" si="3"/>
        <v>0</v>
      </c>
    </row>
    <row r="52" spans="1:21" s="44" customFormat="1" ht="12.75" customHeight="1">
      <c r="A52" s="44" t="s">
        <v>72</v>
      </c>
      <c r="C52" s="44" t="s">
        <v>66</v>
      </c>
      <c r="E52" s="45">
        <f>3401785+166719</f>
        <v>3568504</v>
      </c>
      <c r="F52" s="45"/>
      <c r="G52" s="45">
        <v>7750779</v>
      </c>
      <c r="H52" s="45"/>
      <c r="I52" s="45">
        <v>3680182</v>
      </c>
      <c r="J52" s="45"/>
      <c r="K52" s="45">
        <v>4208913</v>
      </c>
      <c r="L52" s="45"/>
      <c r="M52" s="45">
        <v>169369</v>
      </c>
      <c r="N52" s="45"/>
      <c r="O52" s="45">
        <v>0</v>
      </c>
      <c r="P52" s="45"/>
      <c r="Q52" s="45">
        <f>1734915+945875+10257+681450</f>
        <v>3372497</v>
      </c>
      <c r="R52" s="45"/>
      <c r="S52" s="45">
        <f t="shared" si="2"/>
        <v>3541866</v>
      </c>
      <c r="T52" s="45"/>
      <c r="U52" s="44">
        <f t="shared" si="3"/>
        <v>0</v>
      </c>
    </row>
    <row r="53" spans="1:21" s="44" customFormat="1" ht="12.75" customHeight="1">
      <c r="A53" s="44" t="s">
        <v>342</v>
      </c>
      <c r="C53" s="44" t="s">
        <v>27</v>
      </c>
      <c r="E53" s="45">
        <f>272213000+12485000</f>
        <v>284698000</v>
      </c>
      <c r="F53" s="45"/>
      <c r="G53" s="45">
        <v>700322000</v>
      </c>
      <c r="H53" s="45"/>
      <c r="I53" s="45">
        <v>132158000</v>
      </c>
      <c r="J53" s="45"/>
      <c r="K53" s="45">
        <v>282440000</v>
      </c>
      <c r="L53" s="45"/>
      <c r="M53" s="45">
        <f>158030000+1038000+35539000+90353000+7164000</f>
        <v>292124000</v>
      </c>
      <c r="N53" s="45"/>
      <c r="O53" s="45">
        <f>21000+5924000+20823000</f>
        <v>26768000</v>
      </c>
      <c r="P53" s="45"/>
      <c r="Q53" s="45">
        <f>17378000+71299000+10313000</f>
        <v>98990000</v>
      </c>
      <c r="R53" s="45"/>
      <c r="S53" s="45">
        <f t="shared" si="2"/>
        <v>417882000</v>
      </c>
      <c r="T53" s="45"/>
      <c r="U53" s="44">
        <f t="shared" si="3"/>
        <v>0</v>
      </c>
    </row>
    <row r="54" spans="1:21" s="44" customFormat="1" ht="12.75" customHeight="1">
      <c r="A54" s="44" t="s">
        <v>74</v>
      </c>
      <c r="C54" s="44" t="s">
        <v>27</v>
      </c>
      <c r="E54" s="45">
        <v>11639666</v>
      </c>
      <c r="F54" s="45"/>
      <c r="G54" s="45">
        <v>40180839</v>
      </c>
      <c r="H54" s="45"/>
      <c r="I54" s="45">
        <v>22371340</v>
      </c>
      <c r="J54" s="45"/>
      <c r="K54" s="45">
        <v>28321943</v>
      </c>
      <c r="L54" s="45"/>
      <c r="M54" s="45">
        <f>305018+1581938+448286</f>
        <v>2335242</v>
      </c>
      <c r="N54" s="45"/>
      <c r="O54" s="45">
        <v>0</v>
      </c>
      <c r="P54" s="45"/>
      <c r="Q54" s="45">
        <f>3239649+2828052+2869545+586408</f>
        <v>9523654</v>
      </c>
      <c r="R54" s="45"/>
      <c r="S54" s="45">
        <f t="shared" si="2"/>
        <v>11858896</v>
      </c>
      <c r="T54" s="45"/>
      <c r="U54" s="44">
        <f t="shared" si="3"/>
        <v>0</v>
      </c>
    </row>
    <row r="55" spans="1:21" s="44" customFormat="1" ht="12.75" customHeight="1">
      <c r="A55" s="44" t="s">
        <v>75</v>
      </c>
      <c r="C55" s="44" t="s">
        <v>76</v>
      </c>
      <c r="E55" s="45">
        <v>3218952</v>
      </c>
      <c r="F55" s="45"/>
      <c r="G55" s="45">
        <v>5462912</v>
      </c>
      <c r="H55" s="45"/>
      <c r="I55" s="45">
        <v>674298</v>
      </c>
      <c r="J55" s="45"/>
      <c r="K55" s="45">
        <v>2943450</v>
      </c>
      <c r="L55" s="45"/>
      <c r="M55" s="45">
        <f>1490571+23546+5101</f>
        <v>1519218</v>
      </c>
      <c r="N55" s="45"/>
      <c r="O55" s="45">
        <v>0</v>
      </c>
      <c r="P55" s="45"/>
      <c r="Q55" s="45">
        <f>-40990+679803+5424+356007</f>
        <v>1000244</v>
      </c>
      <c r="R55" s="45"/>
      <c r="S55" s="45">
        <f t="shared" si="2"/>
        <v>2519462</v>
      </c>
      <c r="T55" s="45"/>
      <c r="U55" s="44">
        <f t="shared" si="3"/>
        <v>0</v>
      </c>
    </row>
    <row r="56" spans="1:21" s="44" customFormat="1" ht="12.75" customHeight="1">
      <c r="A56" s="44" t="s">
        <v>77</v>
      </c>
      <c r="C56" s="44" t="s">
        <v>43</v>
      </c>
      <c r="E56" s="45">
        <f>588686000+554000+8438000</f>
        <v>597678000</v>
      </c>
      <c r="F56" s="45"/>
      <c r="G56" s="45">
        <v>834400000</v>
      </c>
      <c r="H56" s="45"/>
      <c r="I56" s="45">
        <v>157390000</v>
      </c>
      <c r="J56" s="45"/>
      <c r="K56" s="45">
        <v>237275000</v>
      </c>
      <c r="L56" s="45"/>
      <c r="M56" s="45">
        <f>309224000+9886000</f>
        <v>319110000</v>
      </c>
      <c r="N56" s="45"/>
      <c r="O56" s="45">
        <v>0</v>
      </c>
      <c r="P56" s="45"/>
      <c r="Q56" s="45">
        <f>63742000+28912000-54710000+148444000+91627000</f>
        <v>278015000</v>
      </c>
      <c r="R56" s="45"/>
      <c r="S56" s="45">
        <f t="shared" si="2"/>
        <v>597125000</v>
      </c>
      <c r="T56" s="45"/>
      <c r="U56" s="44">
        <f t="shared" si="3"/>
        <v>0</v>
      </c>
    </row>
    <row r="57" spans="1:21" s="44" customFormat="1" ht="12.75" customHeight="1">
      <c r="A57" s="44" t="s">
        <v>94</v>
      </c>
      <c r="C57" s="44" t="s">
        <v>94</v>
      </c>
      <c r="E57" s="45">
        <f>1946980+130605</f>
        <v>2077585</v>
      </c>
      <c r="F57" s="45"/>
      <c r="G57" s="45">
        <v>3137360</v>
      </c>
      <c r="H57" s="45"/>
      <c r="I57" s="45">
        <v>479634</v>
      </c>
      <c r="J57" s="45"/>
      <c r="K57" s="45">
        <v>982256</v>
      </c>
      <c r="L57" s="45"/>
      <c r="M57" s="45">
        <f>433906+50550+164380</f>
        <v>648836</v>
      </c>
      <c r="N57" s="45"/>
      <c r="O57" s="45">
        <v>0</v>
      </c>
      <c r="P57" s="45"/>
      <c r="Q57" s="45">
        <f>287466+626328+95230+497244</f>
        <v>1506268</v>
      </c>
      <c r="R57" s="45"/>
      <c r="S57" s="45">
        <f>+Q57+O57+M57</f>
        <v>2155104</v>
      </c>
      <c r="T57" s="45"/>
      <c r="U57" s="44">
        <f>+G57-K57-S57</f>
        <v>0</v>
      </c>
    </row>
    <row r="58" spans="1:21" s="44" customFormat="1" ht="12.75" customHeight="1">
      <c r="A58" s="44" t="s">
        <v>78</v>
      </c>
      <c r="C58" s="44" t="s">
        <v>19</v>
      </c>
      <c r="E58" s="45">
        <v>2272510</v>
      </c>
      <c r="F58" s="45"/>
      <c r="G58" s="45">
        <v>7675096</v>
      </c>
      <c r="H58" s="45"/>
      <c r="I58" s="45">
        <v>3993152</v>
      </c>
      <c r="J58" s="45"/>
      <c r="K58" s="45">
        <v>4852665</v>
      </c>
      <c r="L58" s="45"/>
      <c r="M58" s="45">
        <f>85461+37900</f>
        <v>123361</v>
      </c>
      <c r="N58" s="45"/>
      <c r="O58" s="45">
        <v>0</v>
      </c>
      <c r="P58" s="45"/>
      <c r="Q58" s="45">
        <f>692425+928313+764661+313671</f>
        <v>2699070</v>
      </c>
      <c r="R58" s="45"/>
      <c r="S58" s="45">
        <f t="shared" si="2"/>
        <v>2822431</v>
      </c>
      <c r="T58" s="45"/>
      <c r="U58" s="44">
        <f t="shared" si="3"/>
        <v>0</v>
      </c>
    </row>
    <row r="59" spans="1:21" s="44" customFormat="1" ht="12.75" customHeight="1">
      <c r="A59" s="44" t="s">
        <v>79</v>
      </c>
      <c r="C59" s="44" t="s">
        <v>80</v>
      </c>
      <c r="E59" s="45">
        <v>1417084</v>
      </c>
      <c r="F59" s="45"/>
      <c r="G59" s="45">
        <v>4299932</v>
      </c>
      <c r="H59" s="45"/>
      <c r="I59" s="45">
        <v>2699887</v>
      </c>
      <c r="J59" s="45"/>
      <c r="K59" s="45">
        <v>2926898</v>
      </c>
      <c r="L59" s="45"/>
      <c r="M59" s="45">
        <v>45569</v>
      </c>
      <c r="N59" s="45"/>
      <c r="O59" s="45">
        <v>0</v>
      </c>
      <c r="P59" s="45"/>
      <c r="Q59" s="45">
        <f>423256+888216+15993</f>
        <v>1327465</v>
      </c>
      <c r="R59" s="45"/>
      <c r="S59" s="45">
        <f t="shared" si="2"/>
        <v>1373034</v>
      </c>
      <c r="T59" s="45"/>
      <c r="U59" s="44">
        <f t="shared" si="3"/>
        <v>0</v>
      </c>
    </row>
    <row r="60" spans="1:21" s="44" customFormat="1" ht="12.75" customHeight="1">
      <c r="A60" s="44" t="s">
        <v>81</v>
      </c>
      <c r="C60" s="44" t="s">
        <v>81</v>
      </c>
      <c r="E60" s="45">
        <v>1707952</v>
      </c>
      <c r="F60" s="45"/>
      <c r="G60" s="45">
        <v>4030822</v>
      </c>
      <c r="H60" s="45"/>
      <c r="I60" s="45">
        <v>1126741</v>
      </c>
      <c r="J60" s="45"/>
      <c r="K60" s="45">
        <v>2019591</v>
      </c>
      <c r="L60" s="45"/>
      <c r="M60" s="45">
        <f>90540+2249+46966+250000</f>
        <v>389755</v>
      </c>
      <c r="N60" s="45"/>
      <c r="O60" s="45">
        <v>0</v>
      </c>
      <c r="P60" s="45"/>
      <c r="Q60" s="45">
        <f>204179+686836+598019+132442</f>
        <v>1621476</v>
      </c>
      <c r="R60" s="45"/>
      <c r="S60" s="45">
        <f t="shared" si="2"/>
        <v>2011231</v>
      </c>
      <c r="T60" s="45"/>
      <c r="U60" s="44">
        <f t="shared" si="3"/>
        <v>0</v>
      </c>
    </row>
    <row r="61" spans="1:21" s="44" customFormat="1" ht="12.75" customHeight="1">
      <c r="A61" s="47" t="s">
        <v>466</v>
      </c>
      <c r="B61" s="47"/>
      <c r="C61" s="47" t="s">
        <v>57</v>
      </c>
      <c r="E61" s="45">
        <f>1036223+16634</f>
        <v>1052857</v>
      </c>
      <c r="F61" s="45"/>
      <c r="G61" s="45">
        <v>2275878</v>
      </c>
      <c r="H61" s="45"/>
      <c r="I61" s="45">
        <v>665733</v>
      </c>
      <c r="J61" s="45"/>
      <c r="K61" s="45">
        <v>1130098</v>
      </c>
      <c r="L61" s="45"/>
      <c r="M61" s="45">
        <f>40298+23246+102204</f>
        <v>165748</v>
      </c>
      <c r="N61" s="45"/>
      <c r="O61" s="45">
        <v>0</v>
      </c>
      <c r="P61" s="45"/>
      <c r="Q61" s="45">
        <f>103167+352066+524799</f>
        <v>980032</v>
      </c>
      <c r="R61" s="45"/>
      <c r="S61" s="45">
        <f>+Q61+O61+M61</f>
        <v>1145780</v>
      </c>
      <c r="T61" s="45"/>
      <c r="U61" s="44">
        <f>+G61-K61-S61</f>
        <v>0</v>
      </c>
    </row>
    <row r="62" spans="1:21" s="44" customFormat="1" ht="12.75" customHeight="1">
      <c r="A62" s="44" t="s">
        <v>82</v>
      </c>
      <c r="C62" s="44" t="s">
        <v>13</v>
      </c>
      <c r="E62" s="45">
        <f>12928213+128556+513780+103000</f>
        <v>13673549</v>
      </c>
      <c r="F62" s="45"/>
      <c r="G62" s="45">
        <v>39933439</v>
      </c>
      <c r="H62" s="45"/>
      <c r="I62" s="45">
        <v>16703405</v>
      </c>
      <c r="J62" s="45"/>
      <c r="K62" s="45">
        <v>24061079</v>
      </c>
      <c r="L62" s="45"/>
      <c r="M62" s="45">
        <f>211270+20386+1850646+564193+214316+124958+1131655</f>
        <v>4117424</v>
      </c>
      <c r="N62" s="45"/>
      <c r="O62" s="45">
        <v>0</v>
      </c>
      <c r="P62" s="45"/>
      <c r="Q62" s="45">
        <f>6465868+3808651+1480417</f>
        <v>11754936</v>
      </c>
      <c r="R62" s="45"/>
      <c r="S62" s="45">
        <f t="shared" si="0"/>
        <v>15872360</v>
      </c>
      <c r="T62" s="45"/>
      <c r="U62" s="44">
        <f t="shared" si="1"/>
        <v>0</v>
      </c>
    </row>
    <row r="63" spans="1:21" s="44" customFormat="1" ht="12.75" customHeight="1">
      <c r="A63" s="44" t="s">
        <v>83</v>
      </c>
      <c r="C63" s="44" t="s">
        <v>66</v>
      </c>
      <c r="E63" s="45">
        <f>80442968+100069</f>
        <v>80543037</v>
      </c>
      <c r="F63" s="45"/>
      <c r="G63" s="45">
        <v>166502183</v>
      </c>
      <c r="H63" s="45"/>
      <c r="I63" s="45">
        <v>26255404</v>
      </c>
      <c r="J63" s="45"/>
      <c r="K63" s="45">
        <v>63736528</v>
      </c>
      <c r="L63" s="45"/>
      <c r="M63" s="45">
        <f>42031558+429335+361353+11076643+9772418+102228+6720000</f>
        <v>70493535</v>
      </c>
      <c r="N63" s="45"/>
      <c r="O63" s="45">
        <v>0</v>
      </c>
      <c r="P63" s="45"/>
      <c r="Q63" s="45">
        <f>8284213+1146380+30035615+2910665+79836-10184589</f>
        <v>32272120</v>
      </c>
      <c r="R63" s="45"/>
      <c r="S63" s="45">
        <f>+Q63+O63+M63</f>
        <v>102765655</v>
      </c>
      <c r="T63" s="45"/>
      <c r="U63" s="44">
        <f>+G63-K63-S63</f>
        <v>0</v>
      </c>
    </row>
    <row r="64" spans="1:21" s="137" customFormat="1" ht="12.75" hidden="1" customHeight="1">
      <c r="A64" s="137" t="s">
        <v>84</v>
      </c>
      <c r="C64" s="137" t="s">
        <v>45</v>
      </c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>
        <f t="shared" si="0"/>
        <v>0</v>
      </c>
      <c r="T64" s="143"/>
      <c r="U64" s="137">
        <f t="shared" si="1"/>
        <v>0</v>
      </c>
    </row>
    <row r="65" spans="1:21" s="44" customFormat="1" ht="12.75" customHeight="1">
      <c r="A65" s="44" t="s">
        <v>85</v>
      </c>
      <c r="C65" s="44" t="s">
        <v>85</v>
      </c>
      <c r="E65" s="45">
        <f>7548667+220732</f>
        <v>7769399</v>
      </c>
      <c r="F65" s="45"/>
      <c r="G65" s="45">
        <v>12509652</v>
      </c>
      <c r="H65" s="45"/>
      <c r="I65" s="45">
        <v>1035251</v>
      </c>
      <c r="J65" s="45"/>
      <c r="K65" s="45">
        <v>2637776</v>
      </c>
      <c r="L65" s="45"/>
      <c r="M65" s="45">
        <f>976155+17940+1454768+858195+220732</f>
        <v>3527790</v>
      </c>
      <c r="N65" s="45"/>
      <c r="O65" s="45">
        <v>0</v>
      </c>
      <c r="P65" s="45"/>
      <c r="Q65" s="45">
        <f>3884174+2133565+326347</f>
        <v>6344086</v>
      </c>
      <c r="R65" s="45"/>
      <c r="S65" s="45">
        <f t="shared" si="0"/>
        <v>9871876</v>
      </c>
      <c r="T65" s="45"/>
      <c r="U65" s="44">
        <f t="shared" si="1"/>
        <v>0</v>
      </c>
    </row>
    <row r="66" spans="1:21" s="44" customFormat="1" ht="12.75" customHeight="1">
      <c r="A66" s="44" t="s">
        <v>86</v>
      </c>
      <c r="C66" s="44" t="s">
        <v>86</v>
      </c>
      <c r="E66" s="45">
        <v>18174195</v>
      </c>
      <c r="F66" s="45"/>
      <c r="G66" s="45">
        <v>28479539</v>
      </c>
      <c r="H66" s="45"/>
      <c r="I66" s="45">
        <v>4604367</v>
      </c>
      <c r="J66" s="45"/>
      <c r="K66" s="45">
        <v>24552120</v>
      </c>
      <c r="L66" s="45"/>
      <c r="M66" s="45">
        <f>1695597+1115281+56673+45675</f>
        <v>2913226</v>
      </c>
      <c r="N66" s="45"/>
      <c r="O66" s="45">
        <v>0</v>
      </c>
      <c r="P66" s="45"/>
      <c r="Q66" s="45">
        <f>4636153+4983725-164215-8441470</f>
        <v>1014193</v>
      </c>
      <c r="R66" s="45"/>
      <c r="S66" s="45">
        <f t="shared" si="0"/>
        <v>3927419</v>
      </c>
      <c r="T66" s="45"/>
      <c r="U66" s="44">
        <f t="shared" si="1"/>
        <v>0</v>
      </c>
    </row>
    <row r="67" spans="1:21" s="44" customFormat="1" ht="12.75" customHeight="1">
      <c r="A67" s="44" t="s">
        <v>87</v>
      </c>
      <c r="C67" s="44" t="s">
        <v>88</v>
      </c>
      <c r="D67" s="35"/>
      <c r="E67" s="45">
        <v>979718</v>
      </c>
      <c r="F67" s="45"/>
      <c r="G67" s="45">
        <v>2796420</v>
      </c>
      <c r="H67" s="45"/>
      <c r="I67" s="45">
        <v>1138602</v>
      </c>
      <c r="J67" s="45"/>
      <c r="K67" s="45">
        <v>1567227</v>
      </c>
      <c r="L67" s="45"/>
      <c r="M67" s="45">
        <f>404224+18300+22419+353</f>
        <v>445296</v>
      </c>
      <c r="N67" s="45"/>
      <c r="O67" s="45">
        <v>0</v>
      </c>
      <c r="P67" s="45"/>
      <c r="Q67" s="45">
        <f>759707+274604-250414</f>
        <v>783897</v>
      </c>
      <c r="R67" s="45"/>
      <c r="S67" s="45">
        <f t="shared" si="0"/>
        <v>1229193</v>
      </c>
      <c r="T67" s="45"/>
      <c r="U67" s="44">
        <f>+G67-K67-S67</f>
        <v>0</v>
      </c>
    </row>
    <row r="68" spans="1:21" s="44" customFormat="1" ht="12.75" customHeight="1">
      <c r="A68" s="44" t="s">
        <v>394</v>
      </c>
      <c r="C68" s="44" t="s">
        <v>89</v>
      </c>
      <c r="E68" s="45">
        <f>3496194+23914</f>
        <v>3520108</v>
      </c>
      <c r="F68" s="45"/>
      <c r="G68" s="45">
        <v>7975545</v>
      </c>
      <c r="H68" s="45"/>
      <c r="I68" s="45">
        <v>3118218</v>
      </c>
      <c r="J68" s="45"/>
      <c r="K68" s="45">
        <v>4349388</v>
      </c>
      <c r="L68" s="45"/>
      <c r="M68" s="45">
        <f>416875+313956</f>
        <v>730831</v>
      </c>
      <c r="N68" s="45"/>
      <c r="O68" s="45">
        <v>0</v>
      </c>
      <c r="P68" s="45"/>
      <c r="Q68" s="45">
        <f>759758+1112140+1023428</f>
        <v>2895326</v>
      </c>
      <c r="R68" s="45"/>
      <c r="S68" s="45">
        <f t="shared" si="0"/>
        <v>3626157</v>
      </c>
      <c r="T68" s="45"/>
      <c r="U68" s="44">
        <f t="shared" si="1"/>
        <v>0</v>
      </c>
    </row>
    <row r="69" spans="1:21" s="44" customFormat="1" ht="12.75" customHeight="1">
      <c r="A69" s="44" t="s">
        <v>90</v>
      </c>
      <c r="C69" s="44" t="s">
        <v>43</v>
      </c>
      <c r="E69" s="45">
        <f>67751533+1715003</f>
        <v>69466536</v>
      </c>
      <c r="F69" s="45"/>
      <c r="G69" s="45">
        <v>148836763</v>
      </c>
      <c r="H69" s="45"/>
      <c r="I69" s="45">
        <v>47120624</v>
      </c>
      <c r="J69" s="45"/>
      <c r="K69" s="45">
        <v>87727143</v>
      </c>
      <c r="L69" s="45"/>
      <c r="M69" s="45">
        <f>4214226+592023+732649+25780884+733067</f>
        <v>32052849</v>
      </c>
      <c r="N69" s="45"/>
      <c r="O69" s="45">
        <v>1328398</v>
      </c>
      <c r="P69" s="45"/>
      <c r="Q69" s="45">
        <f>24649922+8004855-4926404</f>
        <v>27728373</v>
      </c>
      <c r="R69" s="45"/>
      <c r="S69" s="45">
        <f t="shared" si="0"/>
        <v>61109620</v>
      </c>
      <c r="T69" s="45"/>
      <c r="U69" s="44">
        <f t="shared" si="1"/>
        <v>0</v>
      </c>
    </row>
    <row r="70" spans="1:21" s="44" customFormat="1" ht="12.75" customHeight="1">
      <c r="A70" s="44" t="s">
        <v>93</v>
      </c>
      <c r="C70" s="44" t="s">
        <v>94</v>
      </c>
      <c r="E70" s="45">
        <v>1357492</v>
      </c>
      <c r="F70" s="45"/>
      <c r="G70" s="45">
        <v>4703392</v>
      </c>
      <c r="H70" s="45"/>
      <c r="I70" s="45">
        <v>2572065</v>
      </c>
      <c r="J70" s="45"/>
      <c r="K70" s="45">
        <v>3166672</v>
      </c>
      <c r="L70" s="45"/>
      <c r="M70" s="45">
        <v>1201014</v>
      </c>
      <c r="N70" s="45"/>
      <c r="O70" s="45">
        <v>0</v>
      </c>
      <c r="P70" s="45"/>
      <c r="Q70" s="45">
        <v>335706</v>
      </c>
      <c r="R70" s="45"/>
      <c r="S70" s="45">
        <f t="shared" si="0"/>
        <v>1536720</v>
      </c>
      <c r="T70" s="45"/>
      <c r="U70" s="44">
        <f t="shared" si="1"/>
        <v>0</v>
      </c>
    </row>
    <row r="71" spans="1:21" s="44" customFormat="1" ht="12.75" customHeight="1">
      <c r="A71" s="44" t="s">
        <v>492</v>
      </c>
      <c r="C71" s="44" t="s">
        <v>27</v>
      </c>
      <c r="E71" s="45">
        <f>196222+3636908</f>
        <v>3833130</v>
      </c>
      <c r="F71" s="45"/>
      <c r="G71" s="45">
        <v>15111610</v>
      </c>
      <c r="H71" s="45"/>
      <c r="I71" s="45">
        <v>6311165</v>
      </c>
      <c r="J71" s="45"/>
      <c r="K71" s="45">
        <v>10673391</v>
      </c>
      <c r="L71" s="45"/>
      <c r="M71" s="45">
        <v>1662267</v>
      </c>
      <c r="N71" s="45"/>
      <c r="O71" s="45">
        <v>0</v>
      </c>
      <c r="P71" s="45"/>
      <c r="Q71" s="45">
        <f>1261631+298391+15504+1200426</f>
        <v>2775952</v>
      </c>
      <c r="R71" s="45"/>
      <c r="S71" s="45">
        <f>+Q71+O71+M71</f>
        <v>4438219</v>
      </c>
      <c r="T71" s="45"/>
      <c r="U71" s="44">
        <f>+G71-K71-S71</f>
        <v>0</v>
      </c>
    </row>
    <row r="72" spans="1:21" s="44" customFormat="1" ht="12.75" customHeight="1"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8" t="s">
        <v>485</v>
      </c>
      <c r="T72" s="45"/>
    </row>
    <row r="73" spans="1:21" s="46" customFormat="1" ht="12.75" customHeight="1">
      <c r="A73" s="46" t="s">
        <v>95</v>
      </c>
      <c r="C73" s="46" t="s">
        <v>94</v>
      </c>
      <c r="E73" s="94">
        <f>239965+33111</f>
        <v>273076</v>
      </c>
      <c r="F73" s="94"/>
      <c r="G73" s="94">
        <v>4888181</v>
      </c>
      <c r="H73" s="94"/>
      <c r="I73" s="94">
        <v>1200801</v>
      </c>
      <c r="J73" s="94"/>
      <c r="K73" s="94">
        <v>4413120</v>
      </c>
      <c r="L73" s="94"/>
      <c r="M73" s="94">
        <f>24386+32769+5172+33111</f>
        <v>95438</v>
      </c>
      <c r="N73" s="94"/>
      <c r="O73" s="94">
        <v>0</v>
      </c>
      <c r="P73" s="94"/>
      <c r="Q73" s="94">
        <f>-698215+3119136+19038-2060336</f>
        <v>379623</v>
      </c>
      <c r="R73" s="94"/>
      <c r="S73" s="94">
        <f t="shared" ref="S73:S78" si="4">+Q73+O73+M73</f>
        <v>475061</v>
      </c>
      <c r="T73" s="94"/>
      <c r="U73" s="46">
        <f t="shared" ref="U73:U79" si="5">+G73-K73-S73</f>
        <v>0</v>
      </c>
    </row>
    <row r="74" spans="1:21" s="44" customFormat="1" ht="12.75" customHeight="1">
      <c r="A74" s="44" t="s">
        <v>91</v>
      </c>
      <c r="C74" s="44" t="s">
        <v>92</v>
      </c>
      <c r="E74" s="45">
        <v>9733529</v>
      </c>
      <c r="F74" s="45"/>
      <c r="G74" s="45">
        <v>19014956</v>
      </c>
      <c r="H74" s="45"/>
      <c r="I74" s="45">
        <v>7260196</v>
      </c>
      <c r="J74" s="45"/>
      <c r="K74" s="45">
        <v>8134858</v>
      </c>
      <c r="L74" s="45"/>
      <c r="M74" s="45">
        <f>839004+130999+20702+4388695</f>
        <v>5379400</v>
      </c>
      <c r="N74" s="45"/>
      <c r="O74" s="45">
        <v>0</v>
      </c>
      <c r="P74" s="45"/>
      <c r="Q74" s="45">
        <f>3739855+746501+1014342</f>
        <v>5500698</v>
      </c>
      <c r="R74" s="45"/>
      <c r="S74" s="45">
        <f t="shared" si="4"/>
        <v>10880098</v>
      </c>
      <c r="T74" s="45"/>
      <c r="U74" s="44">
        <f t="shared" si="5"/>
        <v>0</v>
      </c>
    </row>
    <row r="75" spans="1:21" s="44" customFormat="1" ht="12.75" customHeight="1">
      <c r="A75" s="44" t="s">
        <v>96</v>
      </c>
      <c r="C75" s="44" t="s">
        <v>97</v>
      </c>
      <c r="E75" s="45">
        <f>6193720+10000</f>
        <v>6203720</v>
      </c>
      <c r="F75" s="45"/>
      <c r="G75" s="45">
        <v>8539074</v>
      </c>
      <c r="H75" s="45"/>
      <c r="I75" s="45">
        <v>1509606</v>
      </c>
      <c r="J75" s="45"/>
      <c r="K75" s="45">
        <v>2017699</v>
      </c>
      <c r="L75" s="45"/>
      <c r="M75" s="45">
        <f>202787+3000+10000</f>
        <v>215787</v>
      </c>
      <c r="N75" s="45"/>
      <c r="O75" s="45">
        <v>0</v>
      </c>
      <c r="P75" s="45"/>
      <c r="Q75" s="45">
        <f>2541303+2261002+1503283</f>
        <v>6305588</v>
      </c>
      <c r="R75" s="45"/>
      <c r="S75" s="45">
        <f t="shared" si="4"/>
        <v>6521375</v>
      </c>
      <c r="T75" s="45"/>
      <c r="U75" s="44">
        <f t="shared" si="5"/>
        <v>0</v>
      </c>
    </row>
    <row r="76" spans="1:21" s="44" customFormat="1" ht="12.75" customHeight="1">
      <c r="A76" s="44" t="s">
        <v>98</v>
      </c>
      <c r="C76" s="44" t="s">
        <v>17</v>
      </c>
      <c r="E76" s="45">
        <f>9638865+2394750</f>
        <v>12033615</v>
      </c>
      <c r="F76" s="45"/>
      <c r="G76" s="45">
        <v>30411195</v>
      </c>
      <c r="H76" s="45"/>
      <c r="I76" s="45">
        <v>8890903</v>
      </c>
      <c r="J76" s="45"/>
      <c r="K76" s="45">
        <v>20703899</v>
      </c>
      <c r="L76" s="45"/>
      <c r="M76" s="45">
        <f>2096281+4265218+447349+1262673</f>
        <v>8071521</v>
      </c>
      <c r="N76" s="45"/>
      <c r="O76" s="45">
        <v>0</v>
      </c>
      <c r="P76" s="45"/>
      <c r="Q76" s="45">
        <f>4945240+3486845-6796310</f>
        <v>1635775</v>
      </c>
      <c r="R76" s="45"/>
      <c r="S76" s="45">
        <f t="shared" si="4"/>
        <v>9707296</v>
      </c>
      <c r="T76" s="45"/>
      <c r="U76" s="44">
        <f t="shared" si="5"/>
        <v>0</v>
      </c>
    </row>
    <row r="77" spans="1:21" s="44" customFormat="1" ht="12.75" customHeight="1">
      <c r="A77" s="44" t="s">
        <v>99</v>
      </c>
      <c r="C77" s="44" t="s">
        <v>66</v>
      </c>
      <c r="E77" s="45">
        <v>9180044</v>
      </c>
      <c r="F77" s="45"/>
      <c r="G77" s="45">
        <v>14207992</v>
      </c>
      <c r="H77" s="45"/>
      <c r="I77" s="45">
        <v>2085758</v>
      </c>
      <c r="J77" s="45"/>
      <c r="K77" s="45">
        <v>4410204</v>
      </c>
      <c r="L77" s="45"/>
      <c r="M77" s="45">
        <f>645055+72759+6069</f>
        <v>723883</v>
      </c>
      <c r="N77" s="45"/>
      <c r="O77" s="45">
        <v>0</v>
      </c>
      <c r="P77" s="45"/>
      <c r="Q77" s="45">
        <f>2982277+1534966+4556662</f>
        <v>9073905</v>
      </c>
      <c r="R77" s="45"/>
      <c r="S77" s="45">
        <f t="shared" si="4"/>
        <v>9797788</v>
      </c>
      <c r="T77" s="45"/>
      <c r="U77" s="44">
        <f t="shared" si="5"/>
        <v>0</v>
      </c>
    </row>
    <row r="78" spans="1:21" s="44" customFormat="1" ht="12.75" customHeight="1">
      <c r="A78" s="44" t="s">
        <v>100</v>
      </c>
      <c r="C78" s="44" t="s">
        <v>27</v>
      </c>
      <c r="E78" s="45">
        <f>12877943+8215</f>
        <v>12886158</v>
      </c>
      <c r="F78" s="45"/>
      <c r="G78" s="45">
        <v>37067209</v>
      </c>
      <c r="H78" s="45"/>
      <c r="I78" s="45">
        <v>14549994</v>
      </c>
      <c r="J78" s="45"/>
      <c r="K78" s="45">
        <v>18044592</v>
      </c>
      <c r="L78" s="45"/>
      <c r="M78" s="45">
        <f>1332276+23298</f>
        <v>1355574</v>
      </c>
      <c r="N78" s="45"/>
      <c r="O78" s="45">
        <v>0</v>
      </c>
      <c r="P78" s="45"/>
      <c r="Q78" s="45">
        <f>9831641+1788823+3775688+2270891</f>
        <v>17667043</v>
      </c>
      <c r="R78" s="45"/>
      <c r="S78" s="45">
        <f t="shared" si="4"/>
        <v>19022617</v>
      </c>
      <c r="T78" s="45"/>
      <c r="U78" s="44">
        <f t="shared" si="5"/>
        <v>0</v>
      </c>
    </row>
    <row r="79" spans="1:21" s="44" customFormat="1" ht="12.75" customHeight="1">
      <c r="A79" s="44" t="s">
        <v>101</v>
      </c>
      <c r="C79" s="44" t="s">
        <v>30</v>
      </c>
      <c r="E79" s="45">
        <v>9286893</v>
      </c>
      <c r="F79" s="45"/>
      <c r="G79" s="45">
        <v>21824230</v>
      </c>
      <c r="H79" s="45"/>
      <c r="I79" s="45">
        <v>8990250</v>
      </c>
      <c r="J79" s="45"/>
      <c r="K79" s="45">
        <v>13322588</v>
      </c>
      <c r="L79" s="45"/>
      <c r="M79" s="45">
        <f>719606+56675+105932</f>
        <v>882213</v>
      </c>
      <c r="N79" s="45"/>
      <c r="O79" s="45">
        <v>0</v>
      </c>
      <c r="P79" s="45"/>
      <c r="Q79" s="45">
        <f>5577044+2572836+369454-899905</f>
        <v>7619429</v>
      </c>
      <c r="R79" s="45"/>
      <c r="S79" s="45">
        <f>+Q79+O79+M79</f>
        <v>8501642</v>
      </c>
      <c r="T79" s="45"/>
      <c r="U79" s="44">
        <f t="shared" si="5"/>
        <v>0</v>
      </c>
    </row>
    <row r="80" spans="1:21" s="44" customFormat="1" ht="12.75" customHeight="1">
      <c r="A80" s="44" t="s">
        <v>102</v>
      </c>
      <c r="C80" s="44" t="s">
        <v>103</v>
      </c>
      <c r="E80" s="45">
        <v>28918944</v>
      </c>
      <c r="F80" s="45"/>
      <c r="G80" s="45">
        <v>43644780</v>
      </c>
      <c r="H80" s="45"/>
      <c r="I80" s="45">
        <v>11305105</v>
      </c>
      <c r="J80" s="45"/>
      <c r="K80" s="45">
        <v>22347383</v>
      </c>
      <c r="L80" s="45"/>
      <c r="M80" s="45">
        <v>2644047</v>
      </c>
      <c r="N80" s="45"/>
      <c r="O80" s="45">
        <v>0</v>
      </c>
      <c r="P80" s="45"/>
      <c r="Q80" s="45">
        <v>18653350</v>
      </c>
      <c r="R80" s="45"/>
      <c r="S80" s="45">
        <f t="shared" ref="S80:S146" si="6">+Q80+O80+M80</f>
        <v>21297397</v>
      </c>
      <c r="T80" s="45"/>
      <c r="U80" s="44">
        <f t="shared" ref="U80:U146" si="7">+G80-K80-S80</f>
        <v>0</v>
      </c>
    </row>
    <row r="81" spans="1:21" s="44" customFormat="1" ht="12.75" customHeight="1">
      <c r="A81" s="44" t="s">
        <v>104</v>
      </c>
      <c r="C81" s="44" t="s">
        <v>13</v>
      </c>
      <c r="E81" s="45">
        <f>13223639+42439</f>
        <v>13266078</v>
      </c>
      <c r="F81" s="45"/>
      <c r="G81" s="45">
        <v>19108338</v>
      </c>
      <c r="H81" s="45"/>
      <c r="I81" s="45">
        <v>3744698</v>
      </c>
      <c r="J81" s="45"/>
      <c r="K81" s="45">
        <v>6063119</v>
      </c>
      <c r="L81" s="45"/>
      <c r="M81" s="45">
        <f>767032+105578+229154+25547+124330</f>
        <v>1251641</v>
      </c>
      <c r="N81" s="45"/>
      <c r="O81" s="45">
        <v>0</v>
      </c>
      <c r="P81" s="45"/>
      <c r="Q81" s="45">
        <f>5928558+5865020</f>
        <v>11793578</v>
      </c>
      <c r="R81" s="45"/>
      <c r="S81" s="45">
        <f t="shared" si="6"/>
        <v>13045219</v>
      </c>
      <c r="T81" s="45"/>
      <c r="U81" s="44">
        <f t="shared" si="7"/>
        <v>0</v>
      </c>
    </row>
    <row r="82" spans="1:21" s="44" customFormat="1" ht="12.75" customHeight="1">
      <c r="A82" s="44" t="s">
        <v>105</v>
      </c>
      <c r="C82" s="44" t="s">
        <v>27</v>
      </c>
      <c r="E82" s="45">
        <f>16977675+854329</f>
        <v>17832004</v>
      </c>
      <c r="F82" s="45"/>
      <c r="G82" s="45">
        <v>27048749</v>
      </c>
      <c r="H82" s="45"/>
      <c r="I82" s="45">
        <v>6406875</v>
      </c>
      <c r="J82" s="45"/>
      <c r="K82" s="45">
        <v>9154620</v>
      </c>
      <c r="L82" s="45"/>
      <c r="M82" s="45">
        <v>6151517</v>
      </c>
      <c r="N82" s="45"/>
      <c r="O82" s="45">
        <v>0</v>
      </c>
      <c r="P82" s="45"/>
      <c r="Q82" s="45">
        <f>1157039+5591142-219831+5214262</f>
        <v>11742612</v>
      </c>
      <c r="R82" s="45"/>
      <c r="S82" s="45">
        <f t="shared" si="6"/>
        <v>17894129</v>
      </c>
      <c r="T82" s="45"/>
      <c r="U82" s="44">
        <f t="shared" si="7"/>
        <v>0</v>
      </c>
    </row>
    <row r="83" spans="1:21" s="44" customFormat="1" ht="12.75" customHeight="1">
      <c r="A83" s="44" t="s">
        <v>106</v>
      </c>
      <c r="C83" s="44" t="s">
        <v>107</v>
      </c>
      <c r="E83" s="45">
        <f>18173972+207103+594029+293738</f>
        <v>19268842</v>
      </c>
      <c r="F83" s="45"/>
      <c r="G83" s="45">
        <v>30984881</v>
      </c>
      <c r="H83" s="45"/>
      <c r="I83" s="45">
        <v>5654959</v>
      </c>
      <c r="J83" s="45"/>
      <c r="K83" s="45">
        <v>19617239</v>
      </c>
      <c r="L83" s="45"/>
      <c r="M83" s="45">
        <f>1613172+85685+245927+808977+160697+1082017+1458449</f>
        <v>5454924</v>
      </c>
      <c r="N83" s="45"/>
      <c r="O83" s="45">
        <v>0</v>
      </c>
      <c r="P83" s="45"/>
      <c r="Q83" s="45">
        <f>4839070+236907+10642+826099</f>
        <v>5912718</v>
      </c>
      <c r="R83" s="45"/>
      <c r="S83" s="45">
        <f t="shared" si="6"/>
        <v>11367642</v>
      </c>
      <c r="T83" s="45"/>
      <c r="U83" s="44">
        <f t="shared" si="7"/>
        <v>0</v>
      </c>
    </row>
    <row r="84" spans="1:21" s="44" customFormat="1" ht="12.75" customHeight="1">
      <c r="A84" s="44" t="s">
        <v>108</v>
      </c>
      <c r="C84" s="44" t="s">
        <v>45</v>
      </c>
      <c r="E84" s="45">
        <v>10642483</v>
      </c>
      <c r="F84" s="45"/>
      <c r="G84" s="45">
        <v>18111427</v>
      </c>
      <c r="H84" s="45"/>
      <c r="I84" s="45">
        <v>5597692</v>
      </c>
      <c r="J84" s="45"/>
      <c r="K84" s="45">
        <v>10573462</v>
      </c>
      <c r="L84" s="45"/>
      <c r="M84" s="45">
        <v>870520</v>
      </c>
      <c r="N84" s="45"/>
      <c r="O84" s="45">
        <v>0</v>
      </c>
      <c r="P84" s="45"/>
      <c r="Q84" s="45">
        <f>2417916+5760338+41482-1552294+3</f>
        <v>6667445</v>
      </c>
      <c r="R84" s="45"/>
      <c r="S84" s="45">
        <f t="shared" si="6"/>
        <v>7537965</v>
      </c>
      <c r="T84" s="45"/>
      <c r="U84" s="44">
        <f t="shared" si="7"/>
        <v>0</v>
      </c>
    </row>
    <row r="85" spans="1:21" s="44" customFormat="1" ht="12.75" customHeight="1">
      <c r="A85" s="44" t="s">
        <v>109</v>
      </c>
      <c r="C85" s="44" t="s">
        <v>110</v>
      </c>
      <c r="E85" s="45">
        <f>3831126+8379</f>
        <v>3839505</v>
      </c>
      <c r="F85" s="45"/>
      <c r="G85" s="45">
        <v>8925398</v>
      </c>
      <c r="H85" s="45"/>
      <c r="I85" s="45">
        <v>2285299</v>
      </c>
      <c r="J85" s="45"/>
      <c r="K85" s="45">
        <v>3059784</v>
      </c>
      <c r="L85" s="45"/>
      <c r="M85" s="45">
        <f>177752+31403+1723472+3961+19549</f>
        <v>1956137</v>
      </c>
      <c r="N85" s="45"/>
      <c r="O85" s="45">
        <v>0</v>
      </c>
      <c r="P85" s="45"/>
      <c r="Q85" s="45">
        <f>1622949+1287533+978995+20000</f>
        <v>3909477</v>
      </c>
      <c r="R85" s="45"/>
      <c r="S85" s="45">
        <f t="shared" si="6"/>
        <v>5865614</v>
      </c>
      <c r="T85" s="45"/>
      <c r="U85" s="44">
        <f t="shared" si="7"/>
        <v>0</v>
      </c>
    </row>
    <row r="86" spans="1:21" s="44" customFormat="1" ht="12.75" customHeight="1">
      <c r="A86" s="44" t="s">
        <v>43</v>
      </c>
      <c r="C86" s="44" t="s">
        <v>111</v>
      </c>
      <c r="E86" s="45">
        <f>7147470+138727</f>
        <v>7286197</v>
      </c>
      <c r="F86" s="45"/>
      <c r="G86" s="45">
        <v>15178910</v>
      </c>
      <c r="H86" s="45"/>
      <c r="I86" s="45">
        <v>5981141</v>
      </c>
      <c r="J86" s="45"/>
      <c r="K86" s="45">
        <v>11225637</v>
      </c>
      <c r="L86" s="45"/>
      <c r="M86" s="45">
        <v>114150</v>
      </c>
      <c r="N86" s="45"/>
      <c r="O86" s="45">
        <v>0</v>
      </c>
      <c r="P86" s="45"/>
      <c r="Q86" s="45">
        <f>1175034+1897625+557710+208754</f>
        <v>3839123</v>
      </c>
      <c r="R86" s="45"/>
      <c r="S86" s="45">
        <f t="shared" si="6"/>
        <v>3953273</v>
      </c>
      <c r="T86" s="45"/>
      <c r="U86" s="44">
        <f t="shared" si="7"/>
        <v>0</v>
      </c>
    </row>
    <row r="87" spans="1:21" s="44" customFormat="1" ht="12.75" customHeight="1">
      <c r="A87" s="44" t="s">
        <v>112</v>
      </c>
      <c r="C87" s="44" t="s">
        <v>76</v>
      </c>
      <c r="E87" s="45">
        <v>12005142</v>
      </c>
      <c r="F87" s="45"/>
      <c r="G87" s="45">
        <v>15950001</v>
      </c>
      <c r="H87" s="45"/>
      <c r="I87" s="45">
        <v>742093</v>
      </c>
      <c r="J87" s="45"/>
      <c r="K87" s="45">
        <v>2436209</v>
      </c>
      <c r="L87" s="45"/>
      <c r="M87" s="45">
        <f>489782+62958+191676+217920+6006</f>
        <v>968342</v>
      </c>
      <c r="N87" s="45"/>
      <c r="O87" s="45">
        <v>329771</v>
      </c>
      <c r="P87" s="45"/>
      <c r="Q87" s="45">
        <f>2687532+8278731+1249416</f>
        <v>12215679</v>
      </c>
      <c r="R87" s="45"/>
      <c r="S87" s="45">
        <f t="shared" si="6"/>
        <v>13513792</v>
      </c>
      <c r="T87" s="45"/>
      <c r="U87" s="44">
        <f t="shared" si="7"/>
        <v>0</v>
      </c>
    </row>
    <row r="88" spans="1:21" s="44" customFormat="1" ht="12.75" customHeight="1">
      <c r="A88" s="44" t="s">
        <v>113</v>
      </c>
      <c r="C88" s="44" t="s">
        <v>43</v>
      </c>
      <c r="E88" s="45">
        <v>44395601</v>
      </c>
      <c r="F88" s="45"/>
      <c r="G88" s="45">
        <v>56656890</v>
      </c>
      <c r="H88" s="45"/>
      <c r="I88" s="45">
        <v>9699056</v>
      </c>
      <c r="J88" s="45"/>
      <c r="K88" s="45">
        <v>12814557</v>
      </c>
      <c r="L88" s="45"/>
      <c r="M88" s="45">
        <v>17196019</v>
      </c>
      <c r="N88" s="45"/>
      <c r="O88" s="45">
        <v>1661984</v>
      </c>
      <c r="P88" s="45"/>
      <c r="Q88" s="45">
        <v>24984330</v>
      </c>
      <c r="R88" s="45"/>
      <c r="S88" s="45">
        <f t="shared" si="6"/>
        <v>43842333</v>
      </c>
      <c r="T88" s="45"/>
      <c r="U88" s="44">
        <f t="shared" si="7"/>
        <v>0</v>
      </c>
    </row>
    <row r="89" spans="1:21" s="44" customFormat="1" ht="12.75" customHeight="1">
      <c r="A89" s="44" t="s">
        <v>494</v>
      </c>
      <c r="C89" s="44" t="s">
        <v>57</v>
      </c>
      <c r="E89" s="45">
        <v>2172108</v>
      </c>
      <c r="F89" s="45"/>
      <c r="G89" s="45">
        <v>7037323</v>
      </c>
      <c r="H89" s="45"/>
      <c r="I89" s="45">
        <v>1739777</v>
      </c>
      <c r="J89" s="45"/>
      <c r="K89" s="45">
        <v>3976893</v>
      </c>
      <c r="L89" s="45"/>
      <c r="M89" s="45">
        <f>81147+717905+188884</f>
        <v>987936</v>
      </c>
      <c r="N89" s="45"/>
      <c r="O89" s="45">
        <v>0</v>
      </c>
      <c r="P89" s="45"/>
      <c r="Q89" s="45">
        <f>1864525-205773+159437+254305</f>
        <v>2072494</v>
      </c>
      <c r="R89" s="45"/>
      <c r="S89" s="45">
        <f>+Q89+O89+M89</f>
        <v>3060430</v>
      </c>
      <c r="T89" s="45"/>
      <c r="U89" s="44">
        <f>+G89-K89-S89</f>
        <v>0</v>
      </c>
    </row>
    <row r="90" spans="1:21" s="44" customFormat="1" ht="12.75" customHeight="1">
      <c r="A90" s="44" t="s">
        <v>114</v>
      </c>
      <c r="C90" s="44" t="s">
        <v>27</v>
      </c>
      <c r="E90" s="45">
        <f>1235155+183</f>
        <v>1235338</v>
      </c>
      <c r="F90" s="45"/>
      <c r="G90" s="45">
        <v>23439044</v>
      </c>
      <c r="H90" s="45"/>
      <c r="I90" s="45">
        <v>18925201</v>
      </c>
      <c r="J90" s="45"/>
      <c r="K90" s="45">
        <v>27956595</v>
      </c>
      <c r="L90" s="45"/>
      <c r="M90" s="45">
        <v>151084</v>
      </c>
      <c r="N90" s="45"/>
      <c r="O90" s="45">
        <v>0</v>
      </c>
      <c r="P90" s="45"/>
      <c r="Q90" s="45">
        <f>-3010230-1622964+129445-164886</f>
        <v>-4668635</v>
      </c>
      <c r="R90" s="45"/>
      <c r="S90" s="45">
        <f>+Q90+O90+M90</f>
        <v>-4517551</v>
      </c>
      <c r="T90" s="45"/>
      <c r="U90" s="44">
        <f>+G90-K90-S90</f>
        <v>0</v>
      </c>
    </row>
    <row r="91" spans="1:21" s="44" customFormat="1" ht="12.75" customHeight="1">
      <c r="A91" s="44" t="s">
        <v>115</v>
      </c>
      <c r="C91" s="44" t="s">
        <v>19</v>
      </c>
      <c r="E91" s="45">
        <v>2216692</v>
      </c>
      <c r="F91" s="45"/>
      <c r="G91" s="45">
        <v>4766925</v>
      </c>
      <c r="H91" s="45"/>
      <c r="I91" s="45">
        <v>1736238</v>
      </c>
      <c r="J91" s="45"/>
      <c r="K91" s="45">
        <v>2855369</v>
      </c>
      <c r="L91" s="45"/>
      <c r="M91" s="45">
        <f>52835+6966+45750+121235</f>
        <v>226786</v>
      </c>
      <c r="N91" s="45"/>
      <c r="O91" s="45">
        <v>0</v>
      </c>
      <c r="P91" s="45"/>
      <c r="Q91" s="45">
        <f>1689945-5175</f>
        <v>1684770</v>
      </c>
      <c r="R91" s="45"/>
      <c r="S91" s="45">
        <f t="shared" si="6"/>
        <v>1911556</v>
      </c>
      <c r="T91" s="45"/>
      <c r="U91" s="44">
        <f t="shared" si="7"/>
        <v>0</v>
      </c>
    </row>
    <row r="92" spans="1:21" s="44" customFormat="1" ht="12.75" customHeight="1">
      <c r="A92" s="44" t="s">
        <v>116</v>
      </c>
      <c r="C92" s="44" t="s">
        <v>80</v>
      </c>
      <c r="E92" s="45">
        <v>1976422</v>
      </c>
      <c r="F92" s="45"/>
      <c r="G92" s="45">
        <v>5579737</v>
      </c>
      <c r="H92" s="45"/>
      <c r="I92" s="45">
        <v>2983246</v>
      </c>
      <c r="J92" s="45"/>
      <c r="K92" s="45">
        <v>3472855</v>
      </c>
      <c r="L92" s="45"/>
      <c r="M92" s="45">
        <v>4224</v>
      </c>
      <c r="N92" s="45"/>
      <c r="O92" s="45">
        <v>0</v>
      </c>
      <c r="P92" s="45"/>
      <c r="Q92" s="45">
        <v>2102658</v>
      </c>
      <c r="R92" s="45"/>
      <c r="S92" s="45">
        <f>+Q92+O92+M92</f>
        <v>2106882</v>
      </c>
      <c r="T92" s="45"/>
      <c r="U92" s="44">
        <f t="shared" si="7"/>
        <v>0</v>
      </c>
    </row>
    <row r="93" spans="1:21" s="44" customFormat="1" ht="12.75" customHeight="1">
      <c r="A93" s="44" t="s">
        <v>117</v>
      </c>
      <c r="C93" s="44" t="s">
        <v>43</v>
      </c>
      <c r="E93" s="45">
        <v>3566221</v>
      </c>
      <c r="F93" s="45"/>
      <c r="G93" s="45">
        <v>7277713</v>
      </c>
      <c r="H93" s="45"/>
      <c r="I93" s="45">
        <v>817014</v>
      </c>
      <c r="J93" s="45"/>
      <c r="K93" s="45">
        <v>3012890</v>
      </c>
      <c r="L93" s="45"/>
      <c r="M93" s="45">
        <f>443730+83993</f>
        <v>527723</v>
      </c>
      <c r="N93" s="45"/>
      <c r="O93" s="45">
        <v>0</v>
      </c>
      <c r="P93" s="45"/>
      <c r="Q93" s="45">
        <f>2410128+1002435+1+324536</f>
        <v>3737100</v>
      </c>
      <c r="R93" s="45"/>
      <c r="S93" s="45">
        <f>+Q93+O93+M93</f>
        <v>4264823</v>
      </c>
      <c r="T93" s="45"/>
      <c r="U93" s="44">
        <f t="shared" si="7"/>
        <v>0</v>
      </c>
    </row>
    <row r="94" spans="1:21" s="44" customFormat="1" ht="12.75" customHeight="1">
      <c r="A94" s="44" t="s">
        <v>118</v>
      </c>
      <c r="C94" s="44" t="s">
        <v>13</v>
      </c>
      <c r="E94" s="45">
        <v>33626669</v>
      </c>
      <c r="F94" s="45"/>
      <c r="G94" s="45">
        <v>52371234</v>
      </c>
      <c r="H94" s="45"/>
      <c r="I94" s="45">
        <v>5653888</v>
      </c>
      <c r="J94" s="45"/>
      <c r="K94" s="45">
        <v>23104757</v>
      </c>
      <c r="L94" s="45"/>
      <c r="M94" s="45">
        <v>12886746</v>
      </c>
      <c r="N94" s="45"/>
      <c r="O94" s="45">
        <v>0</v>
      </c>
      <c r="P94" s="45"/>
      <c r="Q94" s="45">
        <v>16379731</v>
      </c>
      <c r="R94" s="45"/>
      <c r="S94" s="45">
        <f t="shared" si="6"/>
        <v>29266477</v>
      </c>
      <c r="T94" s="45"/>
      <c r="U94" s="44">
        <f t="shared" si="7"/>
        <v>0</v>
      </c>
    </row>
    <row r="95" spans="1:21" s="44" customFormat="1" ht="12.75" customHeight="1">
      <c r="A95" s="44" t="s">
        <v>120</v>
      </c>
      <c r="C95" s="44" t="s">
        <v>121</v>
      </c>
      <c r="E95" s="45">
        <v>5491420</v>
      </c>
      <c r="F95" s="45"/>
      <c r="G95" s="45">
        <v>11728895</v>
      </c>
      <c r="H95" s="45"/>
      <c r="I95" s="45">
        <v>1974903</v>
      </c>
      <c r="J95" s="45"/>
      <c r="K95" s="45">
        <v>4386492</v>
      </c>
      <c r="L95" s="45"/>
      <c r="M95" s="45">
        <v>2854010</v>
      </c>
      <c r="N95" s="45"/>
      <c r="O95" s="45">
        <v>0</v>
      </c>
      <c r="P95" s="45"/>
      <c r="Q95" s="45">
        <v>4488393</v>
      </c>
      <c r="R95" s="45"/>
      <c r="S95" s="45">
        <f t="shared" si="6"/>
        <v>7342403</v>
      </c>
      <c r="T95" s="45"/>
      <c r="U95" s="44">
        <f t="shared" si="7"/>
        <v>0</v>
      </c>
    </row>
    <row r="96" spans="1:21" s="44" customFormat="1" ht="12.75" customHeight="1">
      <c r="A96" s="44" t="s">
        <v>122</v>
      </c>
      <c r="C96" s="44" t="s">
        <v>43</v>
      </c>
      <c r="E96" s="45">
        <v>38509639</v>
      </c>
      <c r="F96" s="45"/>
      <c r="G96" s="45">
        <v>52851817</v>
      </c>
      <c r="H96" s="45"/>
      <c r="I96" s="45">
        <v>10792567</v>
      </c>
      <c r="J96" s="45"/>
      <c r="K96" s="45">
        <v>22621971</v>
      </c>
      <c r="L96" s="45"/>
      <c r="M96" s="45">
        <v>10026940</v>
      </c>
      <c r="N96" s="45"/>
      <c r="O96" s="45">
        <v>0</v>
      </c>
      <c r="P96" s="45"/>
      <c r="Q96" s="45">
        <v>20202906</v>
      </c>
      <c r="R96" s="45"/>
      <c r="S96" s="45">
        <f t="shared" si="6"/>
        <v>30229846</v>
      </c>
      <c r="T96" s="45"/>
      <c r="U96" s="44">
        <f t="shared" si="7"/>
        <v>0</v>
      </c>
    </row>
    <row r="97" spans="1:21" s="44" customFormat="1" ht="12.75" customHeight="1">
      <c r="A97" s="44" t="s">
        <v>45</v>
      </c>
      <c r="C97" s="44" t="s">
        <v>103</v>
      </c>
      <c r="E97" s="45">
        <v>19012880</v>
      </c>
      <c r="F97" s="45"/>
      <c r="G97" s="45">
        <v>37333369</v>
      </c>
      <c r="H97" s="45"/>
      <c r="I97" s="45">
        <v>12477954</v>
      </c>
      <c r="J97" s="45"/>
      <c r="K97" s="45">
        <v>25800557</v>
      </c>
      <c r="L97" s="45"/>
      <c r="M97" s="45">
        <v>5013097</v>
      </c>
      <c r="N97" s="45"/>
      <c r="O97" s="45">
        <v>0</v>
      </c>
      <c r="P97" s="45"/>
      <c r="Q97" s="45">
        <v>6519715</v>
      </c>
      <c r="R97" s="45"/>
      <c r="S97" s="45">
        <f t="shared" si="6"/>
        <v>11532812</v>
      </c>
      <c r="T97" s="45"/>
      <c r="U97" s="44">
        <f t="shared" si="7"/>
        <v>0</v>
      </c>
    </row>
    <row r="98" spans="1:21" s="44" customFormat="1" ht="12.75" customHeight="1">
      <c r="A98" s="44" t="s">
        <v>123</v>
      </c>
      <c r="C98" s="44" t="s">
        <v>45</v>
      </c>
      <c r="E98" s="45">
        <v>5002206</v>
      </c>
      <c r="F98" s="45"/>
      <c r="G98" s="45">
        <v>8672527</v>
      </c>
      <c r="H98" s="45"/>
      <c r="I98" s="45">
        <v>757968</v>
      </c>
      <c r="J98" s="45"/>
      <c r="K98" s="45">
        <v>3583810</v>
      </c>
      <c r="L98" s="45"/>
      <c r="M98" s="45">
        <v>156656</v>
      </c>
      <c r="N98" s="45"/>
      <c r="O98" s="45">
        <v>0</v>
      </c>
      <c r="P98" s="45"/>
      <c r="Q98" s="45">
        <v>4932061</v>
      </c>
      <c r="R98" s="45"/>
      <c r="S98" s="45">
        <f t="shared" si="6"/>
        <v>5088717</v>
      </c>
      <c r="T98" s="45"/>
      <c r="U98" s="44">
        <f t="shared" si="7"/>
        <v>0</v>
      </c>
    </row>
    <row r="99" spans="1:21" s="44" customFormat="1" ht="12.75" customHeight="1">
      <c r="A99" s="44" t="s">
        <v>124</v>
      </c>
      <c r="C99" s="44" t="s">
        <v>125</v>
      </c>
      <c r="E99" s="45">
        <v>6652418</v>
      </c>
      <c r="F99" s="45"/>
      <c r="G99" s="45">
        <v>9770230</v>
      </c>
      <c r="H99" s="45"/>
      <c r="I99" s="45">
        <v>1993579</v>
      </c>
      <c r="J99" s="45"/>
      <c r="K99" s="45">
        <v>2474054</v>
      </c>
      <c r="L99" s="45"/>
      <c r="M99" s="45">
        <v>1189249</v>
      </c>
      <c r="N99" s="45"/>
      <c r="O99" s="45">
        <v>0</v>
      </c>
      <c r="P99" s="45"/>
      <c r="Q99" s="45">
        <v>6106927</v>
      </c>
      <c r="R99" s="45"/>
      <c r="S99" s="45">
        <f t="shared" si="6"/>
        <v>7296176</v>
      </c>
      <c r="T99" s="45"/>
      <c r="U99" s="44">
        <f t="shared" si="7"/>
        <v>0</v>
      </c>
    </row>
    <row r="100" spans="1:21" s="44" customFormat="1" ht="12.75" customHeight="1">
      <c r="A100" s="44" t="s">
        <v>126</v>
      </c>
      <c r="C100" s="44" t="s">
        <v>27</v>
      </c>
      <c r="E100" s="45">
        <v>4636237</v>
      </c>
      <c r="F100" s="45"/>
      <c r="G100" s="45">
        <v>17813472</v>
      </c>
      <c r="H100" s="45"/>
      <c r="I100" s="45">
        <v>11072256</v>
      </c>
      <c r="J100" s="45"/>
      <c r="K100" s="45">
        <v>11885323</v>
      </c>
      <c r="L100" s="45"/>
      <c r="M100" s="45">
        <v>232905</v>
      </c>
      <c r="N100" s="45"/>
      <c r="O100" s="45">
        <v>0</v>
      </c>
      <c r="P100" s="45"/>
      <c r="Q100" s="45">
        <v>5695244</v>
      </c>
      <c r="R100" s="45"/>
      <c r="S100" s="45">
        <f t="shared" si="6"/>
        <v>5928149</v>
      </c>
      <c r="T100" s="45"/>
      <c r="U100" s="44">
        <f t="shared" si="7"/>
        <v>0</v>
      </c>
    </row>
    <row r="101" spans="1:21" s="44" customFormat="1" ht="12.75" customHeight="1">
      <c r="A101" s="44" t="s">
        <v>127</v>
      </c>
      <c r="C101" s="44" t="s">
        <v>43</v>
      </c>
      <c r="E101" s="45">
        <v>14122956</v>
      </c>
      <c r="F101" s="45"/>
      <c r="G101" s="45">
        <v>23906686</v>
      </c>
      <c r="H101" s="45"/>
      <c r="I101" s="45">
        <v>3993121</v>
      </c>
      <c r="J101" s="45"/>
      <c r="K101" s="45">
        <v>9268974</v>
      </c>
      <c r="L101" s="45"/>
      <c r="M101" s="45">
        <v>4741773</v>
      </c>
      <c r="N101" s="45"/>
      <c r="O101" s="45">
        <v>0</v>
      </c>
      <c r="P101" s="45"/>
      <c r="Q101" s="45">
        <v>9895939</v>
      </c>
      <c r="R101" s="45"/>
      <c r="S101" s="45">
        <f t="shared" si="6"/>
        <v>14637712</v>
      </c>
      <c r="T101" s="45"/>
      <c r="U101" s="44">
        <f t="shared" si="7"/>
        <v>0</v>
      </c>
    </row>
    <row r="102" spans="1:21" s="44" customFormat="1" ht="12.75" customHeight="1">
      <c r="A102" s="44" t="s">
        <v>128</v>
      </c>
      <c r="C102" s="44" t="s">
        <v>119</v>
      </c>
      <c r="E102" s="45">
        <v>3935527</v>
      </c>
      <c r="F102" s="45"/>
      <c r="G102" s="45">
        <v>7206168</v>
      </c>
      <c r="H102" s="45"/>
      <c r="I102" s="45">
        <v>1115200</v>
      </c>
      <c r="J102" s="45"/>
      <c r="K102" s="45">
        <v>1760980</v>
      </c>
      <c r="L102" s="45"/>
      <c r="M102" s="45">
        <f>202752+848410</f>
        <v>1051162</v>
      </c>
      <c r="N102" s="45"/>
      <c r="O102" s="45">
        <v>0</v>
      </c>
      <c r="P102" s="45"/>
      <c r="Q102" s="45">
        <f>2481061+1785261+300285-172581</f>
        <v>4394026</v>
      </c>
      <c r="R102" s="45"/>
      <c r="S102" s="45">
        <f t="shared" si="6"/>
        <v>5445188</v>
      </c>
      <c r="T102" s="45"/>
      <c r="U102" s="44">
        <f t="shared" si="7"/>
        <v>0</v>
      </c>
    </row>
    <row r="103" spans="1:21" s="44" customFormat="1" ht="12.75" customHeight="1">
      <c r="A103" s="44" t="s">
        <v>129</v>
      </c>
      <c r="C103" s="44" t="s">
        <v>80</v>
      </c>
      <c r="E103" s="45">
        <v>1253115</v>
      </c>
      <c r="F103" s="45"/>
      <c r="G103" s="45">
        <v>2565293</v>
      </c>
      <c r="H103" s="45"/>
      <c r="I103" s="45">
        <v>397308</v>
      </c>
      <c r="J103" s="45"/>
      <c r="K103" s="45">
        <v>972219</v>
      </c>
      <c r="L103" s="45"/>
      <c r="M103" s="45">
        <v>89881</v>
      </c>
      <c r="N103" s="45"/>
      <c r="O103" s="45">
        <v>0</v>
      </c>
      <c r="P103" s="45"/>
      <c r="Q103" s="45">
        <v>1503193</v>
      </c>
      <c r="R103" s="45"/>
      <c r="S103" s="45">
        <f t="shared" si="6"/>
        <v>1593074</v>
      </c>
      <c r="T103" s="45"/>
      <c r="U103" s="44">
        <f t="shared" si="7"/>
        <v>0</v>
      </c>
    </row>
    <row r="104" spans="1:21" s="44" customFormat="1" ht="12.75" customHeight="1">
      <c r="A104" s="44" t="s">
        <v>130</v>
      </c>
      <c r="C104" s="44" t="s">
        <v>66</v>
      </c>
      <c r="E104" s="45">
        <v>25837203</v>
      </c>
      <c r="F104" s="45"/>
      <c r="G104" s="45">
        <v>51460602</v>
      </c>
      <c r="H104" s="45"/>
      <c r="I104" s="45">
        <v>21266777</v>
      </c>
      <c r="J104" s="45"/>
      <c r="K104" s="45">
        <v>28238278</v>
      </c>
      <c r="L104" s="45"/>
      <c r="M104" s="45">
        <v>1914782</v>
      </c>
      <c r="N104" s="45"/>
      <c r="O104" s="45">
        <v>0</v>
      </c>
      <c r="P104" s="45"/>
      <c r="Q104" s="45">
        <v>21307542</v>
      </c>
      <c r="R104" s="45"/>
      <c r="S104" s="45">
        <f t="shared" si="6"/>
        <v>23222324</v>
      </c>
      <c r="T104" s="45"/>
      <c r="U104" s="44">
        <f t="shared" si="7"/>
        <v>0</v>
      </c>
    </row>
    <row r="105" spans="1:21" s="44" customFormat="1" ht="12.75" customHeight="1">
      <c r="A105" s="44" t="s">
        <v>131</v>
      </c>
      <c r="C105" s="44" t="s">
        <v>13</v>
      </c>
      <c r="E105" s="45">
        <v>19184666</v>
      </c>
      <c r="F105" s="45"/>
      <c r="G105" s="45">
        <v>36061321</v>
      </c>
      <c r="H105" s="45"/>
      <c r="I105" s="45">
        <v>12749345</v>
      </c>
      <c r="J105" s="45"/>
      <c r="K105" s="45">
        <v>14926234</v>
      </c>
      <c r="L105" s="45"/>
      <c r="M105" s="45">
        <v>2657512</v>
      </c>
      <c r="N105" s="45"/>
      <c r="O105" s="45">
        <v>0</v>
      </c>
      <c r="P105" s="45"/>
      <c r="Q105" s="45">
        <v>18477575</v>
      </c>
      <c r="R105" s="45"/>
      <c r="S105" s="45">
        <f t="shared" si="6"/>
        <v>21135087</v>
      </c>
      <c r="T105" s="45"/>
      <c r="U105" s="44">
        <f t="shared" si="7"/>
        <v>0</v>
      </c>
    </row>
    <row r="106" spans="1:21" s="44" customFormat="1" ht="12.75" customHeight="1">
      <c r="A106" s="44" t="s">
        <v>38</v>
      </c>
      <c r="C106" s="44" t="s">
        <v>132</v>
      </c>
      <c r="E106" s="45">
        <v>1412195</v>
      </c>
      <c r="F106" s="45"/>
      <c r="G106" s="45">
        <v>4958857</v>
      </c>
      <c r="H106" s="45"/>
      <c r="I106" s="45">
        <v>2365200</v>
      </c>
      <c r="J106" s="45"/>
      <c r="K106" s="45">
        <v>3068758</v>
      </c>
      <c r="L106" s="45"/>
      <c r="M106" s="45">
        <v>994659</v>
      </c>
      <c r="N106" s="45"/>
      <c r="O106" s="45">
        <v>0</v>
      </c>
      <c r="P106" s="45"/>
      <c r="Q106" s="45">
        <v>895440</v>
      </c>
      <c r="R106" s="45"/>
      <c r="S106" s="45">
        <f t="shared" si="6"/>
        <v>1890099</v>
      </c>
      <c r="T106" s="45"/>
      <c r="U106" s="44">
        <f t="shared" si="7"/>
        <v>0</v>
      </c>
    </row>
    <row r="107" spans="1:21" s="44" customFormat="1" ht="12.75" customHeight="1">
      <c r="A107" s="44" t="s">
        <v>133</v>
      </c>
      <c r="C107" s="44" t="s">
        <v>27</v>
      </c>
      <c r="E107" s="45">
        <v>7860287</v>
      </c>
      <c r="F107" s="45"/>
      <c r="G107" s="45">
        <v>23718830</v>
      </c>
      <c r="H107" s="45"/>
      <c r="I107" s="45">
        <v>4475514</v>
      </c>
      <c r="J107" s="45"/>
      <c r="K107" s="45">
        <v>15015873</v>
      </c>
      <c r="L107" s="45"/>
      <c r="M107" s="45">
        <v>6558759</v>
      </c>
      <c r="N107" s="45"/>
      <c r="O107" s="45">
        <v>0</v>
      </c>
      <c r="P107" s="45"/>
      <c r="Q107" s="45">
        <v>2144198</v>
      </c>
      <c r="R107" s="45"/>
      <c r="S107" s="45">
        <f t="shared" si="6"/>
        <v>8702957</v>
      </c>
      <c r="T107" s="45"/>
      <c r="U107" s="44">
        <f>+G107-K107-S107</f>
        <v>0</v>
      </c>
    </row>
    <row r="108" spans="1:21" s="44" customFormat="1" ht="12.75" customHeight="1">
      <c r="A108" s="44" t="s">
        <v>483</v>
      </c>
      <c r="C108" s="44" t="s">
        <v>45</v>
      </c>
      <c r="E108" s="45">
        <v>16700381</v>
      </c>
      <c r="F108" s="45"/>
      <c r="G108" s="45">
        <v>25507060</v>
      </c>
      <c r="H108" s="45"/>
      <c r="I108" s="45">
        <v>8062952</v>
      </c>
      <c r="J108" s="45"/>
      <c r="K108" s="45">
        <v>8518927</v>
      </c>
      <c r="L108" s="45"/>
      <c r="M108" s="45">
        <v>1472257</v>
      </c>
      <c r="N108" s="45"/>
      <c r="O108" s="45">
        <v>0</v>
      </c>
      <c r="P108" s="45"/>
      <c r="Q108" s="45">
        <v>15515876</v>
      </c>
      <c r="R108" s="45"/>
      <c r="S108" s="45">
        <f t="shared" si="6"/>
        <v>16988133</v>
      </c>
      <c r="T108" s="45"/>
      <c r="U108" s="44">
        <f t="shared" si="7"/>
        <v>0</v>
      </c>
    </row>
    <row r="109" spans="1:21" s="44" customFormat="1" ht="12.75" customHeight="1">
      <c r="A109" s="44" t="s">
        <v>134</v>
      </c>
      <c r="C109" s="44" t="s">
        <v>135</v>
      </c>
      <c r="E109" s="45">
        <v>3901260</v>
      </c>
      <c r="F109" s="45"/>
      <c r="G109" s="45">
        <v>6540727</v>
      </c>
      <c r="H109" s="45"/>
      <c r="I109" s="45">
        <v>1989708</v>
      </c>
      <c r="J109" s="45"/>
      <c r="K109" s="45">
        <v>2395747</v>
      </c>
      <c r="L109" s="45"/>
      <c r="M109" s="45">
        <v>469022</v>
      </c>
      <c r="N109" s="45"/>
      <c r="O109" s="45">
        <v>0</v>
      </c>
      <c r="P109" s="45"/>
      <c r="Q109" s="45">
        <v>3675958</v>
      </c>
      <c r="R109" s="45"/>
      <c r="S109" s="45">
        <f t="shared" si="6"/>
        <v>4144980</v>
      </c>
      <c r="T109" s="45"/>
      <c r="U109" s="44">
        <f t="shared" si="7"/>
        <v>0</v>
      </c>
    </row>
    <row r="110" spans="1:21" s="44" customFormat="1" ht="12.75" customHeight="1">
      <c r="A110" s="44" t="s">
        <v>136</v>
      </c>
      <c r="C110" s="44" t="s">
        <v>136</v>
      </c>
      <c r="E110" s="45">
        <v>4592025</v>
      </c>
      <c r="F110" s="45"/>
      <c r="G110" s="45">
        <v>6780846</v>
      </c>
      <c r="H110" s="45"/>
      <c r="I110" s="45">
        <v>1105971</v>
      </c>
      <c r="J110" s="45"/>
      <c r="K110" s="45">
        <v>1354944</v>
      </c>
      <c r="L110" s="45"/>
      <c r="M110" s="45">
        <v>553463</v>
      </c>
      <c r="N110" s="45"/>
      <c r="O110" s="45">
        <v>0</v>
      </c>
      <c r="P110" s="45"/>
      <c r="Q110" s="45">
        <v>4872439</v>
      </c>
      <c r="R110" s="45"/>
      <c r="S110" s="45">
        <f t="shared" si="6"/>
        <v>5425902</v>
      </c>
      <c r="T110" s="45"/>
      <c r="U110" s="44">
        <f t="shared" si="7"/>
        <v>0</v>
      </c>
    </row>
    <row r="111" spans="1:21" s="44" customFormat="1" ht="12.75" customHeight="1">
      <c r="A111" s="44" t="s">
        <v>137</v>
      </c>
      <c r="C111" s="44" t="s">
        <v>22</v>
      </c>
      <c r="E111" s="45">
        <v>20118040</v>
      </c>
      <c r="F111" s="45"/>
      <c r="G111" s="45">
        <v>32806538</v>
      </c>
      <c r="H111" s="45"/>
      <c r="I111" s="45">
        <v>6363059</v>
      </c>
      <c r="J111" s="45"/>
      <c r="K111" s="45">
        <v>11574621</v>
      </c>
      <c r="L111" s="45"/>
      <c r="M111" s="45">
        <v>2972058</v>
      </c>
      <c r="N111" s="45"/>
      <c r="O111" s="45">
        <v>0</v>
      </c>
      <c r="P111" s="45"/>
      <c r="Q111" s="45">
        <v>18259859</v>
      </c>
      <c r="R111" s="45"/>
      <c r="S111" s="45">
        <f t="shared" si="6"/>
        <v>21231917</v>
      </c>
      <c r="T111" s="45"/>
      <c r="U111" s="44">
        <f t="shared" si="7"/>
        <v>0</v>
      </c>
    </row>
    <row r="112" spans="1:21" s="137" customFormat="1" ht="12.75" hidden="1" customHeight="1">
      <c r="A112" s="137" t="s">
        <v>138</v>
      </c>
      <c r="C112" s="137" t="s">
        <v>139</v>
      </c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>
        <f t="shared" si="6"/>
        <v>0</v>
      </c>
      <c r="T112" s="143"/>
      <c r="U112" s="137">
        <f t="shared" si="7"/>
        <v>0</v>
      </c>
    </row>
    <row r="113" spans="1:22" s="44" customFormat="1" ht="12.75" customHeight="1">
      <c r="A113" s="44" t="s">
        <v>140</v>
      </c>
      <c r="C113" s="44" t="s">
        <v>66</v>
      </c>
      <c r="E113" s="45">
        <v>41725183</v>
      </c>
      <c r="F113" s="45"/>
      <c r="G113" s="45">
        <v>63603417</v>
      </c>
      <c r="H113" s="45"/>
      <c r="I113" s="45">
        <v>16095717</v>
      </c>
      <c r="J113" s="45"/>
      <c r="K113" s="45">
        <v>20404735</v>
      </c>
      <c r="L113" s="45"/>
      <c r="M113" s="45">
        <v>4109163</v>
      </c>
      <c r="N113" s="45"/>
      <c r="O113" s="45">
        <v>0</v>
      </c>
      <c r="P113" s="45"/>
      <c r="Q113" s="45">
        <v>39089519</v>
      </c>
      <c r="R113" s="45"/>
      <c r="S113" s="45">
        <f t="shared" si="6"/>
        <v>43198682</v>
      </c>
      <c r="T113" s="45"/>
      <c r="U113" s="44">
        <f t="shared" si="7"/>
        <v>0</v>
      </c>
    </row>
    <row r="114" spans="1:22" s="44" customFormat="1" ht="12.75" customHeight="1">
      <c r="A114" s="44" t="s">
        <v>479</v>
      </c>
      <c r="C114" s="44" t="s">
        <v>92</v>
      </c>
      <c r="E114" s="45">
        <v>1162247</v>
      </c>
      <c r="F114" s="45"/>
      <c r="G114" s="45">
        <v>4134501</v>
      </c>
      <c r="H114" s="45"/>
      <c r="I114" s="45">
        <v>2533791</v>
      </c>
      <c r="J114" s="45"/>
      <c r="K114" s="45">
        <v>3070997</v>
      </c>
      <c r="L114" s="45"/>
      <c r="M114" s="45">
        <v>142252</v>
      </c>
      <c r="N114" s="45"/>
      <c r="O114" s="45">
        <v>0</v>
      </c>
      <c r="P114" s="45"/>
      <c r="Q114" s="45">
        <v>921252</v>
      </c>
      <c r="R114" s="45"/>
      <c r="S114" s="45">
        <f t="shared" si="6"/>
        <v>1063504</v>
      </c>
      <c r="T114" s="45"/>
      <c r="U114" s="44">
        <f t="shared" si="7"/>
        <v>0</v>
      </c>
    </row>
    <row r="115" spans="1:22" s="44" customFormat="1" ht="12.75" customHeight="1">
      <c r="A115" s="44" t="s">
        <v>141</v>
      </c>
      <c r="C115" s="44" t="s">
        <v>27</v>
      </c>
      <c r="E115" s="45">
        <f>6846335+255246+110052</f>
        <v>7211633</v>
      </c>
      <c r="F115" s="45"/>
      <c r="G115" s="45">
        <v>36402318</v>
      </c>
      <c r="H115" s="45"/>
      <c r="I115" s="45">
        <v>20690780</v>
      </c>
      <c r="J115" s="45"/>
      <c r="K115" s="45">
        <v>25145051</v>
      </c>
      <c r="L115" s="45"/>
      <c r="M115" s="45">
        <f>1485718+2407537</f>
        <v>3893255</v>
      </c>
      <c r="N115" s="45"/>
      <c r="O115" s="45">
        <v>0</v>
      </c>
      <c r="P115" s="45"/>
      <c r="Q115" s="45">
        <f>1986309+1773409+1698091+1906203</f>
        <v>7364012</v>
      </c>
      <c r="R115" s="45"/>
      <c r="S115" s="45">
        <f t="shared" si="6"/>
        <v>11257267</v>
      </c>
      <c r="T115" s="45"/>
      <c r="U115" s="44">
        <f t="shared" si="7"/>
        <v>0</v>
      </c>
    </row>
    <row r="116" spans="1:22" s="44" customFormat="1" ht="12.75" customHeight="1">
      <c r="A116" s="44" t="s">
        <v>142</v>
      </c>
      <c r="C116" s="44" t="s">
        <v>102</v>
      </c>
      <c r="E116" s="45">
        <v>10429840</v>
      </c>
      <c r="F116" s="45"/>
      <c r="G116" s="45">
        <v>22570460</v>
      </c>
      <c r="H116" s="45"/>
      <c r="I116" s="45">
        <v>6772782</v>
      </c>
      <c r="J116" s="45"/>
      <c r="K116" s="45">
        <v>16267011</v>
      </c>
      <c r="L116" s="45"/>
      <c r="M116" s="45">
        <v>3120061</v>
      </c>
      <c r="N116" s="45"/>
      <c r="O116" s="45">
        <v>0</v>
      </c>
      <c r="P116" s="45"/>
      <c r="Q116" s="45">
        <v>3183388</v>
      </c>
      <c r="R116" s="45"/>
      <c r="S116" s="45">
        <f>+Q116+O116+M116</f>
        <v>6303449</v>
      </c>
      <c r="T116" s="45"/>
      <c r="U116" s="44">
        <f t="shared" si="7"/>
        <v>0</v>
      </c>
    </row>
    <row r="117" spans="1:22" s="44" customFormat="1" ht="12.75" customHeight="1">
      <c r="A117" s="44" t="s">
        <v>143</v>
      </c>
      <c r="C117" s="44" t="s">
        <v>111</v>
      </c>
      <c r="E117" s="45">
        <v>15856576</v>
      </c>
      <c r="F117" s="45"/>
      <c r="G117" s="45">
        <v>25285024</v>
      </c>
      <c r="H117" s="45"/>
      <c r="I117" s="45">
        <v>6741445</v>
      </c>
      <c r="J117" s="45"/>
      <c r="K117" s="45">
        <v>9365120</v>
      </c>
      <c r="L117" s="45"/>
      <c r="M117" s="45">
        <v>3755414</v>
      </c>
      <c r="N117" s="45"/>
      <c r="O117" s="45">
        <v>0</v>
      </c>
      <c r="P117" s="45"/>
      <c r="Q117" s="45">
        <v>12164490</v>
      </c>
      <c r="R117" s="45"/>
      <c r="S117" s="45">
        <f>+Q117+O117+M117</f>
        <v>15919904</v>
      </c>
      <c r="T117" s="45"/>
      <c r="U117" s="44">
        <f>+G117-K117-S117</f>
        <v>0</v>
      </c>
    </row>
    <row r="118" spans="1:22" s="44" customFormat="1" ht="12.75" customHeight="1">
      <c r="A118" s="44" t="s">
        <v>144</v>
      </c>
      <c r="C118" s="44" t="s">
        <v>88</v>
      </c>
      <c r="E118" s="45">
        <v>8296133</v>
      </c>
      <c r="F118" s="45"/>
      <c r="G118" s="45">
        <v>32667243</v>
      </c>
      <c r="H118" s="45"/>
      <c r="I118" s="45">
        <v>18377621</v>
      </c>
      <c r="J118" s="45"/>
      <c r="K118" s="45">
        <v>22410853</v>
      </c>
      <c r="L118" s="45"/>
      <c r="M118" s="45">
        <v>2976786</v>
      </c>
      <c r="N118" s="45"/>
      <c r="O118" s="45">
        <v>0</v>
      </c>
      <c r="P118" s="45"/>
      <c r="Q118" s="45">
        <v>7279604</v>
      </c>
      <c r="R118" s="45"/>
      <c r="S118" s="45">
        <f t="shared" si="6"/>
        <v>10256390</v>
      </c>
      <c r="T118" s="45"/>
      <c r="U118" s="44">
        <f t="shared" si="7"/>
        <v>0</v>
      </c>
    </row>
    <row r="119" spans="1:22" s="44" customFormat="1" ht="12.75" customHeight="1">
      <c r="A119" s="44" t="s">
        <v>36</v>
      </c>
      <c r="C119" s="44" t="s">
        <v>145</v>
      </c>
      <c r="E119" s="45">
        <v>1723077</v>
      </c>
      <c r="F119" s="45"/>
      <c r="G119" s="45">
        <v>3237114</v>
      </c>
      <c r="H119" s="45"/>
      <c r="I119" s="45">
        <v>959559</v>
      </c>
      <c r="J119" s="45"/>
      <c r="K119" s="45">
        <v>1231779</v>
      </c>
      <c r="L119" s="45"/>
      <c r="M119" s="45">
        <v>172607</v>
      </c>
      <c r="N119" s="45"/>
      <c r="O119" s="45">
        <v>0</v>
      </c>
      <c r="P119" s="45"/>
      <c r="Q119" s="45">
        <v>1832728</v>
      </c>
      <c r="R119" s="45"/>
      <c r="S119" s="45">
        <f t="shared" si="6"/>
        <v>2005335</v>
      </c>
      <c r="T119" s="45"/>
      <c r="U119" s="44">
        <f t="shared" si="7"/>
        <v>0</v>
      </c>
    </row>
    <row r="120" spans="1:22" s="44" customFormat="1" ht="12.75" customHeight="1">
      <c r="A120" s="44" t="s">
        <v>146</v>
      </c>
      <c r="C120" s="44" t="s">
        <v>147</v>
      </c>
      <c r="E120" s="45">
        <v>3027736</v>
      </c>
      <c r="F120" s="45"/>
      <c r="G120" s="45">
        <v>6828846</v>
      </c>
      <c r="H120" s="45"/>
      <c r="I120" s="45">
        <v>2568029</v>
      </c>
      <c r="J120" s="45"/>
      <c r="K120" s="45">
        <v>3303698</v>
      </c>
      <c r="L120" s="45"/>
      <c r="M120" s="45">
        <v>939516</v>
      </c>
      <c r="N120" s="45"/>
      <c r="O120" s="45">
        <v>0</v>
      </c>
      <c r="P120" s="45"/>
      <c r="Q120" s="45">
        <v>2585632</v>
      </c>
      <c r="R120" s="45"/>
      <c r="S120" s="45">
        <f t="shared" si="6"/>
        <v>3525148</v>
      </c>
      <c r="T120" s="45"/>
      <c r="U120" s="44">
        <f t="shared" si="7"/>
        <v>0</v>
      </c>
    </row>
    <row r="121" spans="1:22" s="44" customFormat="1" ht="12.75" customHeight="1">
      <c r="A121" s="44" t="s">
        <v>17</v>
      </c>
      <c r="C121" s="44" t="s">
        <v>17</v>
      </c>
      <c r="E121" s="45">
        <f>10066190+42138+213353+991591</f>
        <v>11313272</v>
      </c>
      <c r="F121" s="45"/>
      <c r="G121" s="45">
        <v>47755624</v>
      </c>
      <c r="H121" s="45"/>
      <c r="I121" s="45">
        <v>13805666</v>
      </c>
      <c r="J121" s="45"/>
      <c r="K121" s="45">
        <v>22736324</v>
      </c>
      <c r="L121" s="45"/>
      <c r="M121" s="45">
        <f>213353+1447275+991591+15580387+2718468</f>
        <v>20951074</v>
      </c>
      <c r="N121" s="45"/>
      <c r="O121" s="45">
        <v>0</v>
      </c>
      <c r="P121" s="45"/>
      <c r="Q121" s="45">
        <f>88414+6493381+219762-2733331</f>
        <v>4068226</v>
      </c>
      <c r="R121" s="45"/>
      <c r="S121" s="45">
        <f>+Q121+O121+M121</f>
        <v>25019300</v>
      </c>
      <c r="T121" s="45"/>
      <c r="U121" s="44">
        <f t="shared" si="7"/>
        <v>0</v>
      </c>
    </row>
    <row r="122" spans="1:22" s="44" customFormat="1" ht="12.75" customHeight="1">
      <c r="A122" s="44" t="s">
        <v>148</v>
      </c>
      <c r="C122" s="44" t="s">
        <v>15</v>
      </c>
      <c r="E122" s="45">
        <v>1852255</v>
      </c>
      <c r="F122" s="45"/>
      <c r="G122" s="45">
        <v>3408942</v>
      </c>
      <c r="H122" s="45"/>
      <c r="I122" s="45">
        <v>890940</v>
      </c>
      <c r="J122" s="45"/>
      <c r="K122" s="45">
        <v>1054874</v>
      </c>
      <c r="L122" s="45"/>
      <c r="M122" s="45">
        <v>131373</v>
      </c>
      <c r="N122" s="45"/>
      <c r="O122" s="45">
        <v>0</v>
      </c>
      <c r="P122" s="45"/>
      <c r="Q122" s="45">
        <f>1763654+358102+9721+91218</f>
        <v>2222695</v>
      </c>
      <c r="R122" s="45"/>
      <c r="S122" s="45">
        <f t="shared" si="6"/>
        <v>2354068</v>
      </c>
      <c r="T122" s="45"/>
      <c r="U122" s="44">
        <f t="shared" si="7"/>
        <v>0</v>
      </c>
    </row>
    <row r="123" spans="1:22" s="44" customFormat="1" ht="12.75" customHeight="1">
      <c r="A123" s="44" t="s">
        <v>149</v>
      </c>
      <c r="C123" s="44" t="s">
        <v>45</v>
      </c>
      <c r="E123" s="45">
        <f>1609281+1949065+81121+18677</f>
        <v>3658144</v>
      </c>
      <c r="F123" s="45"/>
      <c r="G123" s="45">
        <v>7745242</v>
      </c>
      <c r="H123" s="45"/>
      <c r="I123" s="45">
        <v>3351617</v>
      </c>
      <c r="J123" s="45"/>
      <c r="K123" s="45">
        <v>4048074</v>
      </c>
      <c r="L123" s="45"/>
      <c r="M123" s="45">
        <f>29050+56676+10499</f>
        <v>96225</v>
      </c>
      <c r="N123" s="45"/>
      <c r="O123" s="45">
        <v>0</v>
      </c>
      <c r="P123" s="45"/>
      <c r="Q123" s="45">
        <f>-102504+2977059+726388</f>
        <v>3600943</v>
      </c>
      <c r="R123" s="45"/>
      <c r="S123" s="45">
        <f t="shared" si="6"/>
        <v>3697168</v>
      </c>
      <c r="T123" s="45"/>
      <c r="U123" s="44">
        <f t="shared" si="7"/>
        <v>0</v>
      </c>
    </row>
    <row r="124" spans="1:22" s="44" customFormat="1" ht="12.75" customHeight="1">
      <c r="A124" s="44" t="s">
        <v>150</v>
      </c>
      <c r="C124" s="44" t="s">
        <v>27</v>
      </c>
      <c r="E124" s="45">
        <f>13136845+3511304</f>
        <v>16648149</v>
      </c>
      <c r="F124" s="45"/>
      <c r="G124" s="45">
        <v>27222920</v>
      </c>
      <c r="H124" s="45"/>
      <c r="I124" s="45">
        <v>8646076</v>
      </c>
      <c r="J124" s="45"/>
      <c r="K124" s="45">
        <v>9688370</v>
      </c>
      <c r="L124" s="45"/>
      <c r="M124" s="45">
        <f>1353857+115860+100215</f>
        <v>1569932</v>
      </c>
      <c r="N124" s="45"/>
      <c r="O124" s="45">
        <v>0</v>
      </c>
      <c r="P124" s="45"/>
      <c r="Q124" s="45">
        <f>3976429+2556447+674625+8757117</f>
        <v>15964618</v>
      </c>
      <c r="R124" s="45"/>
      <c r="S124" s="45">
        <f t="shared" si="6"/>
        <v>17534550</v>
      </c>
      <c r="T124" s="45"/>
      <c r="U124" s="44">
        <f t="shared" si="7"/>
        <v>0</v>
      </c>
    </row>
    <row r="125" spans="1:22" s="44" customFormat="1" ht="12.75" customHeight="1">
      <c r="A125" s="44" t="s">
        <v>151</v>
      </c>
      <c r="C125" s="44" t="s">
        <v>13</v>
      </c>
      <c r="E125" s="45">
        <v>4438440</v>
      </c>
      <c r="F125" s="45"/>
      <c r="G125" s="45">
        <v>11445001</v>
      </c>
      <c r="H125" s="45"/>
      <c r="I125" s="45">
        <v>5050883</v>
      </c>
      <c r="J125" s="45"/>
      <c r="K125" s="45">
        <v>6697808</v>
      </c>
      <c r="L125" s="45"/>
      <c r="M125" s="45">
        <v>739903</v>
      </c>
      <c r="N125" s="45"/>
      <c r="O125" s="45">
        <v>0</v>
      </c>
      <c r="P125" s="45"/>
      <c r="Q125" s="45">
        <v>4007290</v>
      </c>
      <c r="R125" s="45"/>
      <c r="S125" s="45">
        <f t="shared" si="6"/>
        <v>4747193</v>
      </c>
      <c r="T125" s="45"/>
      <c r="U125" s="44">
        <f t="shared" si="7"/>
        <v>0</v>
      </c>
    </row>
    <row r="126" spans="1:22" s="44" customFormat="1" ht="12.75" customHeight="1">
      <c r="A126" s="2" t="s">
        <v>482</v>
      </c>
      <c r="B126" s="2"/>
      <c r="C126" s="2" t="s">
        <v>45</v>
      </c>
      <c r="D126" s="2"/>
      <c r="E126" s="32">
        <v>3025212</v>
      </c>
      <c r="F126" s="32"/>
      <c r="G126" s="32">
        <v>6867417</v>
      </c>
      <c r="H126" s="32"/>
      <c r="I126" s="32">
        <v>3030199</v>
      </c>
      <c r="J126" s="32"/>
      <c r="K126" s="32">
        <v>3274256</v>
      </c>
      <c r="L126" s="32"/>
      <c r="M126" s="32">
        <v>448</v>
      </c>
      <c r="N126" s="32"/>
      <c r="O126" s="32">
        <v>0</v>
      </c>
      <c r="P126" s="32"/>
      <c r="Q126" s="32">
        <v>3592713</v>
      </c>
      <c r="R126" s="32"/>
      <c r="S126" s="45">
        <f t="shared" si="6"/>
        <v>3593161</v>
      </c>
      <c r="T126" s="32"/>
      <c r="U126" s="2">
        <v>0</v>
      </c>
      <c r="V126" s="2"/>
    </row>
    <row r="127" spans="1:22" s="44" customFormat="1" ht="12.75" customHeight="1">
      <c r="A127" s="2" t="s">
        <v>152</v>
      </c>
      <c r="B127" s="2"/>
      <c r="C127" s="2" t="s">
        <v>153</v>
      </c>
      <c r="D127" s="2"/>
      <c r="E127" s="32">
        <v>11542867</v>
      </c>
      <c r="F127" s="32"/>
      <c r="G127" s="32">
        <v>30589335</v>
      </c>
      <c r="H127" s="32"/>
      <c r="I127" s="32">
        <v>9905522</v>
      </c>
      <c r="J127" s="32"/>
      <c r="K127" s="32">
        <v>16375820</v>
      </c>
      <c r="L127" s="32"/>
      <c r="M127" s="32">
        <v>9080588</v>
      </c>
      <c r="N127" s="32"/>
      <c r="O127" s="32">
        <v>0</v>
      </c>
      <c r="P127" s="32"/>
      <c r="Q127" s="32">
        <v>3423342</v>
      </c>
      <c r="R127" s="32"/>
      <c r="S127" s="45">
        <f t="shared" si="6"/>
        <v>12503930</v>
      </c>
      <c r="T127" s="32"/>
      <c r="U127" s="2">
        <v>0</v>
      </c>
      <c r="V127" s="2"/>
    </row>
    <row r="128" spans="1:22" s="137" customFormat="1" ht="12.75" hidden="1" customHeight="1">
      <c r="A128" s="137" t="s">
        <v>154</v>
      </c>
      <c r="C128" s="137" t="s">
        <v>27</v>
      </c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>
        <f t="shared" si="6"/>
        <v>0</v>
      </c>
      <c r="T128" s="143"/>
      <c r="U128" s="137">
        <f t="shared" si="7"/>
        <v>0</v>
      </c>
    </row>
    <row r="129" spans="1:21" s="44" customFormat="1" ht="12.75" customHeight="1">
      <c r="A129" s="44" t="s">
        <v>155</v>
      </c>
      <c r="C129" s="44" t="s">
        <v>40</v>
      </c>
      <c r="E129" s="45">
        <f>8711155+54893+23666+835812</f>
        <v>9625526</v>
      </c>
      <c r="F129" s="45"/>
      <c r="G129" s="45">
        <v>15226369</v>
      </c>
      <c r="H129" s="45"/>
      <c r="I129" s="45">
        <v>3416224</v>
      </c>
      <c r="J129" s="45"/>
      <c r="K129" s="45">
        <v>5766442</v>
      </c>
      <c r="L129" s="45"/>
      <c r="M129" s="45">
        <f>695064+61219+419723+23666</f>
        <v>1199672</v>
      </c>
      <c r="N129" s="45"/>
      <c r="O129" s="45">
        <v>0</v>
      </c>
      <c r="P129" s="45"/>
      <c r="Q129" s="45">
        <f>2769617+3051432+2655+2436551</f>
        <v>8260255</v>
      </c>
      <c r="R129" s="45"/>
      <c r="S129" s="45">
        <f t="shared" si="6"/>
        <v>9459927</v>
      </c>
      <c r="T129" s="45"/>
      <c r="U129" s="44">
        <f t="shared" si="7"/>
        <v>0</v>
      </c>
    </row>
    <row r="130" spans="1:21" s="44" customFormat="1" ht="12.75" customHeight="1">
      <c r="A130" s="44" t="s">
        <v>156</v>
      </c>
      <c r="C130" s="44" t="s">
        <v>156</v>
      </c>
      <c r="E130" s="45">
        <v>7951948</v>
      </c>
      <c r="F130" s="45"/>
      <c r="G130" s="45">
        <v>17470188</v>
      </c>
      <c r="H130" s="45"/>
      <c r="I130" s="45">
        <v>6045842</v>
      </c>
      <c r="J130" s="45"/>
      <c r="K130" s="45">
        <v>9088807</v>
      </c>
      <c r="L130" s="45"/>
      <c r="M130" s="45">
        <v>2312384</v>
      </c>
      <c r="N130" s="45"/>
      <c r="O130" s="45">
        <v>693123</v>
      </c>
      <c r="P130" s="45"/>
      <c r="Q130" s="45">
        <v>5375874</v>
      </c>
      <c r="R130" s="45"/>
      <c r="S130" s="45">
        <f t="shared" si="6"/>
        <v>8381381</v>
      </c>
      <c r="T130" s="45"/>
      <c r="U130" s="44">
        <f t="shared" si="7"/>
        <v>0</v>
      </c>
    </row>
    <row r="131" spans="1:21" s="44" customFormat="1" ht="12.75" customHeight="1">
      <c r="A131" s="44" t="s">
        <v>157</v>
      </c>
      <c r="C131" s="44" t="s">
        <v>33</v>
      </c>
      <c r="E131" s="45">
        <v>2256494</v>
      </c>
      <c r="F131" s="45"/>
      <c r="G131" s="45">
        <v>4933269</v>
      </c>
      <c r="H131" s="45"/>
      <c r="I131" s="45">
        <v>2147043</v>
      </c>
      <c r="J131" s="45"/>
      <c r="K131" s="45">
        <v>2383422</v>
      </c>
      <c r="L131" s="45"/>
      <c r="M131" s="45">
        <v>472863</v>
      </c>
      <c r="N131" s="45"/>
      <c r="O131" s="45">
        <v>0</v>
      </c>
      <c r="P131" s="45"/>
      <c r="Q131" s="45">
        <v>2076984</v>
      </c>
      <c r="R131" s="45"/>
      <c r="S131" s="45">
        <f>+Q131+O131+M131</f>
        <v>2549847</v>
      </c>
      <c r="T131" s="45"/>
      <c r="U131" s="44">
        <f t="shared" si="7"/>
        <v>0</v>
      </c>
    </row>
    <row r="132" spans="1:21" s="44" customFormat="1" ht="12.75" customHeight="1">
      <c r="A132" s="44" t="s">
        <v>158</v>
      </c>
      <c r="C132" s="44" t="s">
        <v>159</v>
      </c>
      <c r="E132" s="45">
        <v>9599210</v>
      </c>
      <c r="F132" s="45"/>
      <c r="G132" s="45">
        <v>14575777</v>
      </c>
      <c r="H132" s="45"/>
      <c r="I132" s="45">
        <v>3514480</v>
      </c>
      <c r="J132" s="45"/>
      <c r="K132" s="45">
        <v>4351197</v>
      </c>
      <c r="L132" s="45"/>
      <c r="M132" s="45">
        <v>971648</v>
      </c>
      <c r="N132" s="45"/>
      <c r="O132" s="45">
        <v>0</v>
      </c>
      <c r="P132" s="45"/>
      <c r="Q132" s="45">
        <v>9252932</v>
      </c>
      <c r="R132" s="45"/>
      <c r="S132" s="45">
        <f t="shared" si="6"/>
        <v>10224580</v>
      </c>
      <c r="T132" s="45"/>
      <c r="U132" s="44">
        <f t="shared" si="7"/>
        <v>0</v>
      </c>
    </row>
    <row r="133" spans="1:21" s="44" customFormat="1" ht="12.75" customHeight="1"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8" t="s">
        <v>485</v>
      </c>
      <c r="T133" s="45"/>
    </row>
    <row r="134" spans="1:21" s="46" customFormat="1" ht="12.75" customHeight="1">
      <c r="A134" s="46" t="s">
        <v>160</v>
      </c>
      <c r="C134" s="46" t="s">
        <v>111</v>
      </c>
      <c r="E134" s="94">
        <v>48149628</v>
      </c>
      <c r="F134" s="94"/>
      <c r="G134" s="94">
        <v>64748488</v>
      </c>
      <c r="H134" s="94"/>
      <c r="I134" s="94">
        <v>10987683</v>
      </c>
      <c r="J134" s="94"/>
      <c r="K134" s="94">
        <v>23669789</v>
      </c>
      <c r="L134" s="94"/>
      <c r="M134" s="94">
        <v>12105470</v>
      </c>
      <c r="N134" s="94"/>
      <c r="O134" s="94">
        <v>0</v>
      </c>
      <c r="P134" s="94"/>
      <c r="Q134" s="94">
        <v>28973229</v>
      </c>
      <c r="R134" s="94"/>
      <c r="S134" s="94">
        <f t="shared" si="6"/>
        <v>41078699</v>
      </c>
      <c r="T134" s="94"/>
      <c r="U134" s="46">
        <f t="shared" si="7"/>
        <v>0</v>
      </c>
    </row>
    <row r="135" spans="1:21" s="44" customFormat="1" ht="12.75" customHeight="1">
      <c r="A135" s="44" t="s">
        <v>161</v>
      </c>
      <c r="C135" s="44" t="s">
        <v>15</v>
      </c>
      <c r="E135" s="45">
        <v>3608099</v>
      </c>
      <c r="F135" s="45"/>
      <c r="G135" s="45">
        <v>15355716</v>
      </c>
      <c r="H135" s="45"/>
      <c r="I135" s="45">
        <v>5011420</v>
      </c>
      <c r="J135" s="45"/>
      <c r="K135" s="45">
        <v>7162316</v>
      </c>
      <c r="L135" s="45"/>
      <c r="M135" s="45">
        <v>3998941</v>
      </c>
      <c r="N135" s="45"/>
      <c r="O135" s="45">
        <v>0</v>
      </c>
      <c r="P135" s="45"/>
      <c r="Q135" s="45">
        <v>4194459</v>
      </c>
      <c r="R135" s="45"/>
      <c r="S135" s="45">
        <f t="shared" si="6"/>
        <v>8193400</v>
      </c>
      <c r="T135" s="45"/>
      <c r="U135" s="44">
        <f t="shared" si="7"/>
        <v>0</v>
      </c>
    </row>
    <row r="136" spans="1:21" s="44" customFormat="1" ht="12.75" customHeight="1">
      <c r="A136" s="44" t="s">
        <v>162</v>
      </c>
      <c r="C136" s="44" t="s">
        <v>163</v>
      </c>
      <c r="E136" s="45">
        <v>35051868</v>
      </c>
      <c r="F136" s="45"/>
      <c r="G136" s="45">
        <v>46172323</v>
      </c>
      <c r="H136" s="45"/>
      <c r="I136" s="45">
        <v>3185914</v>
      </c>
      <c r="J136" s="45"/>
      <c r="K136" s="45">
        <v>16802662</v>
      </c>
      <c r="L136" s="45"/>
      <c r="M136" s="45">
        <v>1857924</v>
      </c>
      <c r="N136" s="45"/>
      <c r="O136" s="45">
        <v>0</v>
      </c>
      <c r="P136" s="45"/>
      <c r="Q136" s="45">
        <v>27511737</v>
      </c>
      <c r="R136" s="45"/>
      <c r="S136" s="45">
        <f t="shared" si="6"/>
        <v>29369661</v>
      </c>
      <c r="T136" s="45"/>
      <c r="U136" s="44">
        <f t="shared" si="7"/>
        <v>0</v>
      </c>
    </row>
    <row r="137" spans="1:21" s="44" customFormat="1" ht="12.75" customHeight="1">
      <c r="A137" s="44" t="s">
        <v>164</v>
      </c>
      <c r="C137" s="44" t="s">
        <v>27</v>
      </c>
      <c r="E137" s="45">
        <v>19609224</v>
      </c>
      <c r="F137" s="45"/>
      <c r="G137" s="45">
        <v>29444180</v>
      </c>
      <c r="H137" s="45"/>
      <c r="I137" s="45">
        <v>7211941</v>
      </c>
      <c r="J137" s="45"/>
      <c r="K137" s="45">
        <v>8666771</v>
      </c>
      <c r="L137" s="45"/>
      <c r="M137" s="45">
        <v>323223</v>
      </c>
      <c r="N137" s="45"/>
      <c r="O137" s="45">
        <v>0</v>
      </c>
      <c r="P137" s="45"/>
      <c r="Q137" s="45">
        <v>20454186</v>
      </c>
      <c r="R137" s="45"/>
      <c r="S137" s="45">
        <f t="shared" si="6"/>
        <v>20777409</v>
      </c>
      <c r="T137" s="45"/>
      <c r="U137" s="44">
        <f t="shared" si="7"/>
        <v>0</v>
      </c>
    </row>
    <row r="138" spans="1:21" s="44" customFormat="1" ht="12.75" customHeight="1">
      <c r="A138" s="44" t="s">
        <v>53</v>
      </c>
      <c r="C138" s="44" t="s">
        <v>53</v>
      </c>
      <c r="E138" s="45">
        <v>26996015</v>
      </c>
      <c r="F138" s="45"/>
      <c r="G138" s="45">
        <v>38775280</v>
      </c>
      <c r="H138" s="45"/>
      <c r="I138" s="45">
        <v>8447487</v>
      </c>
      <c r="J138" s="45"/>
      <c r="K138" s="45">
        <v>10724706</v>
      </c>
      <c r="L138" s="45"/>
      <c r="M138" s="45">
        <v>3307390</v>
      </c>
      <c r="N138" s="45"/>
      <c r="O138" s="45">
        <v>0</v>
      </c>
      <c r="P138" s="45"/>
      <c r="Q138" s="45">
        <v>24743184</v>
      </c>
      <c r="R138" s="45"/>
      <c r="S138" s="45">
        <f t="shared" si="6"/>
        <v>28050574</v>
      </c>
      <c r="T138" s="45"/>
      <c r="U138" s="44">
        <f t="shared" si="7"/>
        <v>0</v>
      </c>
    </row>
    <row r="139" spans="1:21" s="44" customFormat="1" ht="12.75" customHeight="1">
      <c r="A139" s="44" t="s">
        <v>165</v>
      </c>
      <c r="C139" s="44" t="s">
        <v>92</v>
      </c>
      <c r="E139" s="45">
        <v>22430862</v>
      </c>
      <c r="F139" s="45"/>
      <c r="G139" s="45">
        <v>49616450</v>
      </c>
      <c r="H139" s="45"/>
      <c r="I139" s="45">
        <v>19575215</v>
      </c>
      <c r="J139" s="45"/>
      <c r="K139" s="45">
        <v>24960826</v>
      </c>
      <c r="L139" s="45"/>
      <c r="M139" s="45">
        <v>3564658</v>
      </c>
      <c r="N139" s="45"/>
      <c r="O139" s="45">
        <v>0</v>
      </c>
      <c r="P139" s="45"/>
      <c r="Q139" s="45">
        <v>21090966</v>
      </c>
      <c r="R139" s="45"/>
      <c r="S139" s="45">
        <f t="shared" si="6"/>
        <v>24655624</v>
      </c>
      <c r="T139" s="45"/>
      <c r="U139" s="44">
        <f t="shared" si="7"/>
        <v>0</v>
      </c>
    </row>
    <row r="140" spans="1:21" s="44" customFormat="1" ht="12.75" customHeight="1">
      <c r="A140" s="44" t="s">
        <v>166</v>
      </c>
      <c r="C140" s="44" t="s">
        <v>92</v>
      </c>
      <c r="E140" s="45">
        <v>1126604</v>
      </c>
      <c r="F140" s="45"/>
      <c r="G140" s="45">
        <v>3983141</v>
      </c>
      <c r="H140" s="45"/>
      <c r="I140" s="45">
        <v>792549</v>
      </c>
      <c r="J140" s="45"/>
      <c r="K140" s="45">
        <v>3953937</v>
      </c>
      <c r="L140" s="45"/>
      <c r="M140" s="45">
        <v>132603</v>
      </c>
      <c r="N140" s="45"/>
      <c r="O140" s="45">
        <v>0</v>
      </c>
      <c r="P140" s="45"/>
      <c r="Q140" s="45">
        <v>-103399</v>
      </c>
      <c r="R140" s="45"/>
      <c r="S140" s="45">
        <f t="shared" si="6"/>
        <v>29204</v>
      </c>
      <c r="T140" s="45"/>
      <c r="U140" s="44">
        <f t="shared" si="7"/>
        <v>0</v>
      </c>
    </row>
    <row r="141" spans="1:21" s="44" customFormat="1" ht="12.75" customHeight="1">
      <c r="A141" s="44" t="s">
        <v>167</v>
      </c>
      <c r="C141" s="44" t="s">
        <v>66</v>
      </c>
      <c r="E141" s="45">
        <f>8521146+5376268+85616</f>
        <v>13983030</v>
      </c>
      <c r="F141" s="45"/>
      <c r="G141" s="45">
        <v>21493759</v>
      </c>
      <c r="H141" s="45"/>
      <c r="I141" s="45">
        <v>5091437</v>
      </c>
      <c r="J141" s="45"/>
      <c r="K141" s="45">
        <v>6985315</v>
      </c>
      <c r="L141" s="45"/>
      <c r="M141" s="45">
        <f>1705153+254297+1180856</f>
        <v>3140306</v>
      </c>
      <c r="N141" s="45"/>
      <c r="O141" s="45">
        <v>157080</v>
      </c>
      <c r="P141" s="45"/>
      <c r="Q141" s="45">
        <f>3188294+7383136+330309+309319</f>
        <v>11211058</v>
      </c>
      <c r="R141" s="45"/>
      <c r="S141" s="45">
        <f t="shared" si="6"/>
        <v>14508444</v>
      </c>
      <c r="T141" s="45"/>
      <c r="U141" s="44">
        <f t="shared" si="7"/>
        <v>0</v>
      </c>
    </row>
    <row r="142" spans="1:21" s="44" customFormat="1" ht="12.75" customHeight="1">
      <c r="A142" s="44" t="s">
        <v>168</v>
      </c>
      <c r="C142" s="44" t="s">
        <v>27</v>
      </c>
      <c r="E142" s="45">
        <f>6805655+115000</f>
        <v>6920655</v>
      </c>
      <c r="F142" s="45"/>
      <c r="G142" s="45">
        <v>16406036</v>
      </c>
      <c r="H142" s="45"/>
      <c r="I142" s="45">
        <v>5958101</v>
      </c>
      <c r="J142" s="45"/>
      <c r="K142" s="45">
        <v>7671460</v>
      </c>
      <c r="L142" s="45"/>
      <c r="M142" s="45">
        <f>1508932+105438</f>
        <v>1614370</v>
      </c>
      <c r="N142" s="45"/>
      <c r="O142" s="45">
        <v>0</v>
      </c>
      <c r="P142" s="45"/>
      <c r="Q142" s="45">
        <f>8734576-1614370</f>
        <v>7120206</v>
      </c>
      <c r="R142" s="45"/>
      <c r="S142" s="45">
        <f t="shared" si="6"/>
        <v>8734576</v>
      </c>
      <c r="T142" s="45"/>
      <c r="U142" s="44">
        <f t="shared" si="7"/>
        <v>0</v>
      </c>
    </row>
    <row r="143" spans="1:21" s="44" customFormat="1" ht="12.75" customHeight="1">
      <c r="A143" s="44" t="s">
        <v>169</v>
      </c>
      <c r="C143" s="44" t="s">
        <v>103</v>
      </c>
      <c r="E143" s="45">
        <v>23131719</v>
      </c>
      <c r="F143" s="45"/>
      <c r="G143" s="45">
        <v>53446598</v>
      </c>
      <c r="H143" s="45"/>
      <c r="I143" s="45">
        <v>24643592</v>
      </c>
      <c r="J143" s="45"/>
      <c r="K143" s="45">
        <v>30109339</v>
      </c>
      <c r="L143" s="45"/>
      <c r="M143" s="45">
        <f>839524+552423+1967502</f>
        <v>3359449</v>
      </c>
      <c r="N143" s="45"/>
      <c r="O143" s="45">
        <v>0</v>
      </c>
      <c r="P143" s="45"/>
      <c r="Q143" s="45">
        <f>8863571+6841482+720370+3552387</f>
        <v>19977810</v>
      </c>
      <c r="R143" s="45"/>
      <c r="S143" s="45">
        <f t="shared" si="6"/>
        <v>23337259</v>
      </c>
      <c r="T143" s="45"/>
      <c r="U143" s="44">
        <f t="shared" si="7"/>
        <v>0</v>
      </c>
    </row>
    <row r="144" spans="1:21" s="44" customFormat="1" ht="12.75" customHeight="1">
      <c r="A144" s="44" t="s">
        <v>170</v>
      </c>
      <c r="C144" s="44" t="s">
        <v>171</v>
      </c>
      <c r="E144" s="45">
        <v>5433964</v>
      </c>
      <c r="F144" s="45"/>
      <c r="G144" s="45">
        <v>9604412</v>
      </c>
      <c r="H144" s="45"/>
      <c r="I144" s="45">
        <v>3641942</v>
      </c>
      <c r="J144" s="45"/>
      <c r="K144" s="45">
        <v>4190272</v>
      </c>
      <c r="L144" s="45"/>
      <c r="M144" s="45">
        <v>298205</v>
      </c>
      <c r="N144" s="45"/>
      <c r="O144" s="45">
        <v>0</v>
      </c>
      <c r="P144" s="45"/>
      <c r="Q144" s="45">
        <v>5115935</v>
      </c>
      <c r="R144" s="45"/>
      <c r="S144" s="45">
        <f t="shared" si="6"/>
        <v>5414140</v>
      </c>
      <c r="T144" s="45"/>
      <c r="U144" s="44">
        <f t="shared" si="7"/>
        <v>0</v>
      </c>
    </row>
    <row r="145" spans="1:21" s="44" customFormat="1" ht="12.75" customHeight="1">
      <c r="A145" s="44" t="s">
        <v>172</v>
      </c>
      <c r="C145" s="44" t="s">
        <v>103</v>
      </c>
      <c r="E145" s="45">
        <v>7092643</v>
      </c>
      <c r="F145" s="45"/>
      <c r="G145" s="45">
        <v>14423199</v>
      </c>
      <c r="H145" s="45"/>
      <c r="I145" s="45">
        <v>6041487</v>
      </c>
      <c r="J145" s="45"/>
      <c r="K145" s="45">
        <v>10577192</v>
      </c>
      <c r="L145" s="45"/>
      <c r="M145" s="45">
        <v>980751</v>
      </c>
      <c r="N145" s="45"/>
      <c r="O145" s="45">
        <v>0</v>
      </c>
      <c r="P145" s="45"/>
      <c r="Q145" s="45">
        <v>2865256</v>
      </c>
      <c r="R145" s="45"/>
      <c r="S145" s="45">
        <f t="shared" si="6"/>
        <v>3846007</v>
      </c>
      <c r="T145" s="45"/>
      <c r="U145" s="44">
        <f t="shared" si="7"/>
        <v>0</v>
      </c>
    </row>
    <row r="146" spans="1:21" s="44" customFormat="1" ht="12.75" customHeight="1">
      <c r="A146" s="44" t="s">
        <v>66</v>
      </c>
      <c r="C146" s="44" t="s">
        <v>45</v>
      </c>
      <c r="E146" s="45">
        <v>25183445</v>
      </c>
      <c r="F146" s="45"/>
      <c r="G146" s="45">
        <v>36206059</v>
      </c>
      <c r="H146" s="45"/>
      <c r="I146" s="45">
        <v>7996635</v>
      </c>
      <c r="J146" s="45"/>
      <c r="K146" s="45">
        <v>9949306</v>
      </c>
      <c r="L146" s="45"/>
      <c r="M146" s="45">
        <v>4753712</v>
      </c>
      <c r="N146" s="45"/>
      <c r="O146" s="45">
        <v>0</v>
      </c>
      <c r="P146" s="45"/>
      <c r="Q146" s="45">
        <v>21503041</v>
      </c>
      <c r="R146" s="45"/>
      <c r="S146" s="45">
        <f t="shared" si="6"/>
        <v>26256753</v>
      </c>
      <c r="T146" s="45"/>
      <c r="U146" s="44">
        <f t="shared" si="7"/>
        <v>0</v>
      </c>
    </row>
    <row r="147" spans="1:21" s="44" customFormat="1" ht="12.75" customHeight="1">
      <c r="A147" s="44" t="s">
        <v>173</v>
      </c>
      <c r="C147" s="44" t="s">
        <v>66</v>
      </c>
      <c r="E147" s="45">
        <v>24006381</v>
      </c>
      <c r="F147" s="45"/>
      <c r="G147" s="45">
        <v>28394962</v>
      </c>
      <c r="H147" s="45"/>
      <c r="I147" s="45">
        <v>1470003</v>
      </c>
      <c r="J147" s="45"/>
      <c r="K147" s="45">
        <v>4743041</v>
      </c>
      <c r="L147" s="45"/>
      <c r="M147" s="45">
        <v>2218915</v>
      </c>
      <c r="N147" s="45"/>
      <c r="O147" s="45">
        <v>0</v>
      </c>
      <c r="P147" s="45"/>
      <c r="Q147" s="45">
        <v>21433006</v>
      </c>
      <c r="R147" s="45"/>
      <c r="S147" s="45">
        <f t="shared" ref="S147:S213" si="8">+Q147+O147+M147</f>
        <v>23651921</v>
      </c>
      <c r="T147" s="45"/>
      <c r="U147" s="44">
        <f t="shared" ref="U147:U213" si="9">+G147-K147-S147</f>
        <v>0</v>
      </c>
    </row>
    <row r="148" spans="1:21" s="44" customFormat="1" ht="12.75" customHeight="1">
      <c r="A148" s="44" t="s">
        <v>174</v>
      </c>
      <c r="C148" s="44" t="s">
        <v>45</v>
      </c>
      <c r="E148" s="45">
        <v>566171</v>
      </c>
      <c r="F148" s="45"/>
      <c r="G148" s="45">
        <v>2283584</v>
      </c>
      <c r="H148" s="45"/>
      <c r="I148" s="45">
        <v>1467897</v>
      </c>
      <c r="J148" s="45"/>
      <c r="K148" s="45">
        <v>1682573</v>
      </c>
      <c r="L148" s="45"/>
      <c r="M148" s="45">
        <v>0</v>
      </c>
      <c r="N148" s="45"/>
      <c r="O148" s="45">
        <v>0</v>
      </c>
      <c r="P148" s="45"/>
      <c r="Q148" s="45">
        <v>601011</v>
      </c>
      <c r="R148" s="45"/>
      <c r="S148" s="45">
        <f t="shared" si="8"/>
        <v>601011</v>
      </c>
      <c r="T148" s="45"/>
      <c r="U148" s="44">
        <f t="shared" si="9"/>
        <v>0</v>
      </c>
    </row>
    <row r="149" spans="1:21" s="44" customFormat="1" ht="12.75" customHeight="1">
      <c r="A149" s="44" t="s">
        <v>175</v>
      </c>
      <c r="C149" s="44" t="s">
        <v>176</v>
      </c>
      <c r="E149" s="45">
        <v>7573532</v>
      </c>
      <c r="F149" s="45"/>
      <c r="G149" s="45">
        <v>13883100</v>
      </c>
      <c r="H149" s="45"/>
      <c r="I149" s="45">
        <v>3536404</v>
      </c>
      <c r="J149" s="45"/>
      <c r="K149" s="45">
        <v>4561961</v>
      </c>
      <c r="L149" s="45"/>
      <c r="M149" s="45">
        <v>1263418</v>
      </c>
      <c r="N149" s="45"/>
      <c r="O149" s="45">
        <v>0</v>
      </c>
      <c r="P149" s="45"/>
      <c r="Q149" s="45">
        <v>8057721</v>
      </c>
      <c r="R149" s="45"/>
      <c r="S149" s="45">
        <f t="shared" si="8"/>
        <v>9321139</v>
      </c>
      <c r="T149" s="45"/>
      <c r="U149" s="44">
        <f t="shared" si="9"/>
        <v>0</v>
      </c>
    </row>
    <row r="150" spans="1:21" s="44" customFormat="1" ht="12.75" customHeight="1">
      <c r="A150" s="44" t="s">
        <v>177</v>
      </c>
      <c r="C150" s="44" t="s">
        <v>13</v>
      </c>
      <c r="E150" s="45">
        <v>3033628</v>
      </c>
      <c r="F150" s="45"/>
      <c r="G150" s="45">
        <v>4620164</v>
      </c>
      <c r="H150" s="45"/>
      <c r="I150" s="45">
        <v>1237483</v>
      </c>
      <c r="J150" s="45"/>
      <c r="K150" s="45">
        <v>1353908</v>
      </c>
      <c r="L150" s="45"/>
      <c r="M150" s="45">
        <v>37238</v>
      </c>
      <c r="N150" s="45"/>
      <c r="O150" s="45">
        <v>0</v>
      </c>
      <c r="P150" s="45"/>
      <c r="Q150" s="45">
        <v>3229018</v>
      </c>
      <c r="R150" s="45"/>
      <c r="S150" s="45">
        <f t="shared" si="8"/>
        <v>3266256</v>
      </c>
      <c r="T150" s="45"/>
      <c r="U150" s="44">
        <f t="shared" si="9"/>
        <v>0</v>
      </c>
    </row>
    <row r="151" spans="1:21" s="44" customFormat="1" ht="12.75" customHeight="1">
      <c r="A151" s="44" t="s">
        <v>178</v>
      </c>
      <c r="C151" s="44" t="s">
        <v>179</v>
      </c>
      <c r="E151" s="45">
        <v>5875783</v>
      </c>
      <c r="F151" s="45"/>
      <c r="G151" s="45">
        <v>10486375</v>
      </c>
      <c r="H151" s="45"/>
      <c r="I151" s="45">
        <v>3482465</v>
      </c>
      <c r="J151" s="45"/>
      <c r="K151" s="45">
        <v>5102421</v>
      </c>
      <c r="L151" s="45"/>
      <c r="M151" s="45">
        <v>841209</v>
      </c>
      <c r="N151" s="45"/>
      <c r="O151" s="45">
        <v>0</v>
      </c>
      <c r="P151" s="45"/>
      <c r="Q151" s="45">
        <v>4542745</v>
      </c>
      <c r="R151" s="45"/>
      <c r="S151" s="45">
        <f t="shared" si="8"/>
        <v>5383954</v>
      </c>
      <c r="T151" s="45"/>
      <c r="U151" s="44">
        <f t="shared" si="9"/>
        <v>0</v>
      </c>
    </row>
    <row r="152" spans="1:21" s="137" customFormat="1" ht="12.75" hidden="1" customHeight="1">
      <c r="A152" s="137" t="s">
        <v>180</v>
      </c>
      <c r="C152" s="137" t="s">
        <v>20</v>
      </c>
      <c r="E152" s="143">
        <v>0</v>
      </c>
      <c r="F152" s="143"/>
      <c r="G152" s="143">
        <v>0</v>
      </c>
      <c r="H152" s="143"/>
      <c r="I152" s="143">
        <v>0</v>
      </c>
      <c r="J152" s="143"/>
      <c r="K152" s="143">
        <v>0</v>
      </c>
      <c r="L152" s="143"/>
      <c r="M152" s="143">
        <v>0</v>
      </c>
      <c r="N152" s="143"/>
      <c r="O152" s="143">
        <v>0</v>
      </c>
      <c r="P152" s="143"/>
      <c r="Q152" s="143">
        <v>0</v>
      </c>
      <c r="R152" s="143"/>
      <c r="S152" s="143">
        <f t="shared" si="8"/>
        <v>0</v>
      </c>
      <c r="T152" s="143"/>
      <c r="U152" s="137">
        <f t="shared" si="9"/>
        <v>0</v>
      </c>
    </row>
    <row r="153" spans="1:21" s="44" customFormat="1" ht="12.75" customHeight="1">
      <c r="A153" s="44" t="s">
        <v>182</v>
      </c>
      <c r="C153" s="44" t="s">
        <v>183</v>
      </c>
      <c r="E153" s="45">
        <v>741906</v>
      </c>
      <c r="F153" s="45"/>
      <c r="G153" s="45">
        <v>3936269</v>
      </c>
      <c r="H153" s="45"/>
      <c r="I153" s="45">
        <v>2836684</v>
      </c>
      <c r="J153" s="45"/>
      <c r="K153" s="45">
        <v>4181518</v>
      </c>
      <c r="L153" s="45"/>
      <c r="M153" s="45">
        <v>134920</v>
      </c>
      <c r="N153" s="45"/>
      <c r="O153" s="45">
        <v>0</v>
      </c>
      <c r="P153" s="45"/>
      <c r="Q153" s="45">
        <v>-380169</v>
      </c>
      <c r="R153" s="45"/>
      <c r="S153" s="45">
        <f t="shared" si="8"/>
        <v>-245249</v>
      </c>
      <c r="T153" s="45"/>
      <c r="U153" s="44">
        <f t="shared" si="9"/>
        <v>0</v>
      </c>
    </row>
    <row r="154" spans="1:21" s="44" customFormat="1" ht="12.75" customHeight="1">
      <c r="A154" s="44" t="s">
        <v>491</v>
      </c>
      <c r="C154" s="44" t="s">
        <v>13</v>
      </c>
      <c r="E154" s="45">
        <v>3177426</v>
      </c>
      <c r="F154" s="45"/>
      <c r="G154" s="45">
        <v>7569626</v>
      </c>
      <c r="H154" s="45"/>
      <c r="I154" s="45">
        <v>3805524</v>
      </c>
      <c r="J154" s="45"/>
      <c r="K154" s="45">
        <v>4296081</v>
      </c>
      <c r="L154" s="45"/>
      <c r="M154" s="45">
        <v>485620</v>
      </c>
      <c r="N154" s="45"/>
      <c r="O154" s="45">
        <v>0</v>
      </c>
      <c r="P154" s="45"/>
      <c r="Q154" s="45">
        <v>2787925</v>
      </c>
      <c r="R154" s="45"/>
      <c r="S154" s="45">
        <f>+Q154+O154+M154</f>
        <v>3273545</v>
      </c>
      <c r="T154" s="45"/>
      <c r="U154" s="44">
        <f>+G154-K154-S154</f>
        <v>0</v>
      </c>
    </row>
    <row r="155" spans="1:21" s="44" customFormat="1" ht="12.75" customHeight="1">
      <c r="A155" s="44" t="s">
        <v>184</v>
      </c>
      <c r="C155" s="44" t="s">
        <v>89</v>
      </c>
      <c r="E155" s="45">
        <v>5704177</v>
      </c>
      <c r="F155" s="45"/>
      <c r="G155" s="45">
        <v>11301963</v>
      </c>
      <c r="H155" s="45"/>
      <c r="I155" s="45">
        <v>3165511</v>
      </c>
      <c r="J155" s="45"/>
      <c r="K155" s="45">
        <v>4753961</v>
      </c>
      <c r="L155" s="45"/>
      <c r="M155" s="45">
        <v>203913</v>
      </c>
      <c r="N155" s="45"/>
      <c r="O155" s="45">
        <v>0</v>
      </c>
      <c r="P155" s="45"/>
      <c r="Q155" s="45">
        <v>6344089</v>
      </c>
      <c r="R155" s="45"/>
      <c r="S155" s="45">
        <f t="shared" si="8"/>
        <v>6548002</v>
      </c>
      <c r="T155" s="45"/>
      <c r="U155" s="44">
        <f t="shared" si="9"/>
        <v>0</v>
      </c>
    </row>
    <row r="156" spans="1:21" s="44" customFormat="1" ht="12.75" customHeight="1">
      <c r="A156" s="44" t="s">
        <v>181</v>
      </c>
      <c r="C156" s="44" t="s">
        <v>125</v>
      </c>
      <c r="E156" s="45">
        <v>10503078</v>
      </c>
      <c r="F156" s="45"/>
      <c r="G156" s="45">
        <v>26141644</v>
      </c>
      <c r="H156" s="45"/>
      <c r="I156" s="45">
        <v>11684639</v>
      </c>
      <c r="J156" s="45"/>
      <c r="K156" s="45">
        <v>16564650</v>
      </c>
      <c r="L156" s="45"/>
      <c r="M156" s="45">
        <v>3379493</v>
      </c>
      <c r="N156" s="45"/>
      <c r="O156" s="45">
        <v>0</v>
      </c>
      <c r="P156" s="45"/>
      <c r="Q156" s="45">
        <v>6197501</v>
      </c>
      <c r="R156" s="45"/>
      <c r="S156" s="45">
        <f t="shared" si="8"/>
        <v>9576994</v>
      </c>
      <c r="T156" s="45"/>
      <c r="U156" s="44">
        <f t="shared" si="9"/>
        <v>0</v>
      </c>
    </row>
    <row r="157" spans="1:21" s="44" customFormat="1" ht="12.75" customHeight="1">
      <c r="A157" s="44" t="s">
        <v>185</v>
      </c>
      <c r="C157" s="44" t="s">
        <v>80</v>
      </c>
      <c r="E157" s="45">
        <v>22786470</v>
      </c>
      <c r="F157" s="45"/>
      <c r="G157" s="45">
        <v>28380823</v>
      </c>
      <c r="H157" s="45"/>
      <c r="I157" s="45">
        <v>2121831</v>
      </c>
      <c r="J157" s="45"/>
      <c r="K157" s="45">
        <v>8268606</v>
      </c>
      <c r="L157" s="45"/>
      <c r="M157" s="45">
        <v>4803920</v>
      </c>
      <c r="N157" s="45"/>
      <c r="O157" s="45">
        <v>0</v>
      </c>
      <c r="P157" s="45"/>
      <c r="Q157" s="45">
        <v>15308297</v>
      </c>
      <c r="R157" s="45"/>
      <c r="S157" s="45">
        <f t="shared" si="8"/>
        <v>20112217</v>
      </c>
      <c r="T157" s="45"/>
      <c r="U157" s="44">
        <f t="shared" si="9"/>
        <v>0</v>
      </c>
    </row>
    <row r="158" spans="1:21" s="44" customFormat="1" ht="12.75" customHeight="1">
      <c r="A158" s="44" t="s">
        <v>186</v>
      </c>
      <c r="C158" s="44" t="s">
        <v>15</v>
      </c>
      <c r="E158" s="45">
        <v>8336189</v>
      </c>
      <c r="F158" s="45"/>
      <c r="G158" s="45">
        <v>12666248</v>
      </c>
      <c r="H158" s="45"/>
      <c r="I158" s="45">
        <v>3523866</v>
      </c>
      <c r="J158" s="45"/>
      <c r="K158" s="45">
        <v>5107379</v>
      </c>
      <c r="L158" s="45"/>
      <c r="M158" s="45">
        <v>1011818</v>
      </c>
      <c r="N158" s="45"/>
      <c r="O158" s="45">
        <v>1200000</v>
      </c>
      <c r="P158" s="45"/>
      <c r="Q158" s="45">
        <v>5347051</v>
      </c>
      <c r="R158" s="45"/>
      <c r="S158" s="45">
        <f t="shared" si="8"/>
        <v>7558869</v>
      </c>
      <c r="T158" s="45"/>
      <c r="U158" s="44">
        <f t="shared" si="9"/>
        <v>0</v>
      </c>
    </row>
    <row r="159" spans="1:21" s="44" customFormat="1" ht="12.75" customHeight="1">
      <c r="A159" s="44" t="s">
        <v>187</v>
      </c>
      <c r="C159" s="44" t="s">
        <v>27</v>
      </c>
      <c r="E159" s="45">
        <v>11580836</v>
      </c>
      <c r="F159" s="45"/>
      <c r="G159" s="45">
        <v>30930483</v>
      </c>
      <c r="H159" s="45"/>
      <c r="I159" s="45">
        <v>13727395</v>
      </c>
      <c r="J159" s="45"/>
      <c r="K159" s="45">
        <v>15909417</v>
      </c>
      <c r="L159" s="45"/>
      <c r="M159" s="45">
        <v>402605</v>
      </c>
      <c r="N159" s="45"/>
      <c r="O159" s="45">
        <v>0</v>
      </c>
      <c r="P159" s="45"/>
      <c r="Q159" s="45">
        <v>14618461</v>
      </c>
      <c r="R159" s="45"/>
      <c r="S159" s="45">
        <f>+Q159+O159+M159</f>
        <v>15021066</v>
      </c>
      <c r="T159" s="45"/>
      <c r="U159" s="44">
        <f>+G159-K159-S159</f>
        <v>0</v>
      </c>
    </row>
    <row r="160" spans="1:21" s="44" customFormat="1" ht="12.75" customHeight="1">
      <c r="A160" s="44" t="s">
        <v>189</v>
      </c>
      <c r="C160" s="44" t="s">
        <v>17</v>
      </c>
      <c r="E160" s="45">
        <v>9022175</v>
      </c>
      <c r="F160" s="45"/>
      <c r="G160" s="45">
        <v>22808922</v>
      </c>
      <c r="H160" s="45"/>
      <c r="I160" s="45">
        <v>12601212</v>
      </c>
      <c r="J160" s="45"/>
      <c r="K160" s="45">
        <v>13906100</v>
      </c>
      <c r="L160" s="45"/>
      <c r="M160" s="45">
        <v>1352743</v>
      </c>
      <c r="N160" s="45"/>
      <c r="O160" s="45">
        <v>0</v>
      </c>
      <c r="P160" s="45"/>
      <c r="Q160" s="45">
        <v>7550079</v>
      </c>
      <c r="R160" s="45"/>
      <c r="S160" s="45">
        <f t="shared" si="8"/>
        <v>8902822</v>
      </c>
      <c r="T160" s="45"/>
      <c r="U160" s="44">
        <f t="shared" si="9"/>
        <v>0</v>
      </c>
    </row>
    <row r="161" spans="1:21" s="44" customFormat="1" ht="12.75" customHeight="1">
      <c r="A161" s="44" t="s">
        <v>188</v>
      </c>
      <c r="C161" s="44" t="s">
        <v>27</v>
      </c>
      <c r="E161" s="45">
        <v>16830888</v>
      </c>
      <c r="F161" s="45"/>
      <c r="G161" s="45">
        <v>27899517</v>
      </c>
      <c r="H161" s="45"/>
      <c r="I161" s="45">
        <v>8126078</v>
      </c>
      <c r="J161" s="45"/>
      <c r="K161" s="45">
        <v>9401650</v>
      </c>
      <c r="L161" s="45"/>
      <c r="M161" s="45">
        <v>2591211</v>
      </c>
      <c r="N161" s="45"/>
      <c r="O161" s="45">
        <v>0</v>
      </c>
      <c r="P161" s="45"/>
      <c r="Q161" s="45">
        <v>15906656</v>
      </c>
      <c r="R161" s="45"/>
      <c r="S161" s="45">
        <f t="shared" si="8"/>
        <v>18497867</v>
      </c>
      <c r="T161" s="45"/>
      <c r="U161" s="44">
        <f t="shared" si="9"/>
        <v>0</v>
      </c>
    </row>
    <row r="162" spans="1:21" s="44" customFormat="1" ht="12.75" customHeight="1">
      <c r="A162" s="44" t="s">
        <v>190</v>
      </c>
      <c r="C162" s="44" t="s">
        <v>47</v>
      </c>
      <c r="E162" s="45">
        <v>4299345</v>
      </c>
      <c r="F162" s="45"/>
      <c r="G162" s="45">
        <v>6926235</v>
      </c>
      <c r="H162" s="45"/>
      <c r="I162" s="45">
        <v>1149229</v>
      </c>
      <c r="J162" s="45"/>
      <c r="K162" s="45">
        <v>1684515</v>
      </c>
      <c r="L162" s="45"/>
      <c r="M162" s="45">
        <v>287241</v>
      </c>
      <c r="N162" s="45"/>
      <c r="O162" s="45">
        <v>0</v>
      </c>
      <c r="P162" s="45"/>
      <c r="Q162" s="45">
        <v>4954479</v>
      </c>
      <c r="R162" s="45"/>
      <c r="S162" s="45">
        <f t="shared" si="8"/>
        <v>5241720</v>
      </c>
      <c r="T162" s="45"/>
      <c r="U162" s="44">
        <f t="shared" si="9"/>
        <v>0</v>
      </c>
    </row>
    <row r="163" spans="1:21" s="44" customFormat="1" ht="12.75" customHeight="1">
      <c r="A163" s="44" t="s">
        <v>191</v>
      </c>
      <c r="C163" s="44" t="s">
        <v>13</v>
      </c>
      <c r="E163" s="45">
        <v>3667904</v>
      </c>
      <c r="F163" s="45"/>
      <c r="G163" s="45">
        <v>10112362</v>
      </c>
      <c r="H163" s="45"/>
      <c r="I163" s="45">
        <v>4205639</v>
      </c>
      <c r="J163" s="45"/>
      <c r="K163" s="45">
        <v>6046910</v>
      </c>
      <c r="L163" s="45"/>
      <c r="M163" s="45">
        <v>249218</v>
      </c>
      <c r="N163" s="45"/>
      <c r="O163" s="45">
        <v>0</v>
      </c>
      <c r="P163" s="45"/>
      <c r="Q163" s="45">
        <v>3816234</v>
      </c>
      <c r="R163" s="45"/>
      <c r="S163" s="45">
        <f t="shared" si="8"/>
        <v>4065452</v>
      </c>
      <c r="T163" s="45"/>
      <c r="U163" s="44">
        <f t="shared" si="9"/>
        <v>0</v>
      </c>
    </row>
    <row r="164" spans="1:21" s="44" customFormat="1" ht="12.75" customHeight="1">
      <c r="A164" s="44" t="s">
        <v>192</v>
      </c>
      <c r="C164" s="44" t="s">
        <v>38</v>
      </c>
      <c r="E164" s="45">
        <v>10719940</v>
      </c>
      <c r="F164" s="45"/>
      <c r="G164" s="45">
        <v>15915878</v>
      </c>
      <c r="H164" s="45"/>
      <c r="I164" s="45">
        <v>1712931</v>
      </c>
      <c r="J164" s="45"/>
      <c r="K164" s="45">
        <v>2475424</v>
      </c>
      <c r="L164" s="45"/>
      <c r="M164" s="45">
        <v>7044314</v>
      </c>
      <c r="N164" s="45"/>
      <c r="O164" s="45">
        <v>0</v>
      </c>
      <c r="P164" s="45"/>
      <c r="Q164" s="45">
        <v>6396140</v>
      </c>
      <c r="R164" s="45"/>
      <c r="S164" s="45">
        <f t="shared" si="8"/>
        <v>13440454</v>
      </c>
      <c r="T164" s="45"/>
      <c r="U164" s="44">
        <f t="shared" si="9"/>
        <v>0</v>
      </c>
    </row>
    <row r="165" spans="1:21" s="137" customFormat="1" ht="12.75" hidden="1" customHeight="1">
      <c r="A165" s="137" t="s">
        <v>193</v>
      </c>
      <c r="C165" s="137" t="s">
        <v>45</v>
      </c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>
        <f t="shared" si="8"/>
        <v>0</v>
      </c>
      <c r="T165" s="143"/>
      <c r="U165" s="137">
        <f t="shared" si="9"/>
        <v>0</v>
      </c>
    </row>
    <row r="166" spans="1:21" s="44" customFormat="1" ht="12.75" customHeight="1">
      <c r="A166" s="44" t="s">
        <v>194</v>
      </c>
      <c r="C166" s="44" t="s">
        <v>66</v>
      </c>
      <c r="E166" s="45">
        <v>20377691</v>
      </c>
      <c r="F166" s="45"/>
      <c r="G166" s="45">
        <v>25152012</v>
      </c>
      <c r="H166" s="45"/>
      <c r="I166" s="45">
        <v>3717311</v>
      </c>
      <c r="J166" s="45"/>
      <c r="K166" s="45">
        <v>9426099</v>
      </c>
      <c r="L166" s="45"/>
      <c r="M166" s="45">
        <v>3874504</v>
      </c>
      <c r="N166" s="45"/>
      <c r="O166" s="45">
        <v>942</v>
      </c>
      <c r="P166" s="45"/>
      <c r="Q166" s="45">
        <v>11850467</v>
      </c>
      <c r="R166" s="45"/>
      <c r="S166" s="45">
        <f t="shared" si="8"/>
        <v>15725913</v>
      </c>
      <c r="T166" s="45"/>
      <c r="U166" s="44">
        <f t="shared" si="9"/>
        <v>0</v>
      </c>
    </row>
    <row r="167" spans="1:21" s="44" customFormat="1" ht="12.75" customHeight="1">
      <c r="A167" s="44" t="s">
        <v>195</v>
      </c>
      <c r="C167" s="44" t="s">
        <v>17</v>
      </c>
      <c r="E167" s="45">
        <v>11514770</v>
      </c>
      <c r="F167" s="45"/>
      <c r="G167" s="45">
        <v>15361163</v>
      </c>
      <c r="H167" s="45"/>
      <c r="I167" s="45">
        <v>1970308</v>
      </c>
      <c r="J167" s="45"/>
      <c r="K167" s="45">
        <v>3128008</v>
      </c>
      <c r="L167" s="45"/>
      <c r="M167" s="45">
        <v>1208268</v>
      </c>
      <c r="N167" s="45"/>
      <c r="O167" s="45">
        <v>0</v>
      </c>
      <c r="P167" s="45"/>
      <c r="Q167" s="45">
        <v>11024887</v>
      </c>
      <c r="R167" s="45"/>
      <c r="S167" s="45">
        <f t="shared" si="8"/>
        <v>12233155</v>
      </c>
      <c r="T167" s="45"/>
      <c r="U167" s="44">
        <f t="shared" si="9"/>
        <v>0</v>
      </c>
    </row>
    <row r="168" spans="1:21" s="137" customFormat="1" ht="12.75" hidden="1" customHeight="1">
      <c r="A168" s="137" t="s">
        <v>196</v>
      </c>
      <c r="C168" s="137" t="s">
        <v>27</v>
      </c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>
        <f t="shared" si="8"/>
        <v>0</v>
      </c>
      <c r="T168" s="143"/>
      <c r="U168" s="137">
        <f t="shared" si="9"/>
        <v>0</v>
      </c>
    </row>
    <row r="169" spans="1:21" s="137" customFormat="1" ht="12.75" hidden="1" customHeight="1">
      <c r="A169" s="137" t="s">
        <v>402</v>
      </c>
      <c r="C169" s="137" t="s">
        <v>153</v>
      </c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>
        <f t="shared" si="8"/>
        <v>0</v>
      </c>
      <c r="T169" s="143"/>
      <c r="U169" s="137">
        <f t="shared" si="9"/>
        <v>0</v>
      </c>
    </row>
    <row r="170" spans="1:21" s="44" customFormat="1" ht="12.75" customHeight="1">
      <c r="A170" s="44" t="s">
        <v>197</v>
      </c>
      <c r="C170" s="44" t="s">
        <v>163</v>
      </c>
      <c r="E170" s="45">
        <v>25573881</v>
      </c>
      <c r="F170" s="45"/>
      <c r="G170" s="45">
        <v>50192703</v>
      </c>
      <c r="H170" s="45"/>
      <c r="I170" s="45">
        <v>20780787</v>
      </c>
      <c r="J170" s="45"/>
      <c r="K170" s="45">
        <v>22247277</v>
      </c>
      <c r="L170" s="45"/>
      <c r="M170" s="45">
        <v>2634870</v>
      </c>
      <c r="N170" s="45"/>
      <c r="O170" s="45">
        <v>0</v>
      </c>
      <c r="P170" s="45"/>
      <c r="Q170" s="45">
        <v>25310556</v>
      </c>
      <c r="R170" s="45"/>
      <c r="S170" s="45">
        <f>+Q170+O170+M170</f>
        <v>27945426</v>
      </c>
      <c r="T170" s="45"/>
      <c r="U170" s="44">
        <f t="shared" si="9"/>
        <v>0</v>
      </c>
    </row>
    <row r="171" spans="1:21" s="44" customFormat="1" ht="12.75" customHeight="1">
      <c r="A171" s="44" t="s">
        <v>198</v>
      </c>
      <c r="C171" s="44" t="s">
        <v>199</v>
      </c>
      <c r="E171" s="45">
        <v>5032439</v>
      </c>
      <c r="F171" s="45"/>
      <c r="G171" s="45">
        <v>7803743</v>
      </c>
      <c r="H171" s="45"/>
      <c r="I171" s="45">
        <v>1579752</v>
      </c>
      <c r="J171" s="45"/>
      <c r="K171" s="45">
        <v>2029579</v>
      </c>
      <c r="L171" s="45"/>
      <c r="M171" s="45">
        <v>434985</v>
      </c>
      <c r="N171" s="45"/>
      <c r="O171" s="45">
        <v>0</v>
      </c>
      <c r="P171" s="45"/>
      <c r="Q171" s="45">
        <v>5339179</v>
      </c>
      <c r="R171" s="45"/>
      <c r="S171" s="45">
        <f t="shared" si="8"/>
        <v>5774164</v>
      </c>
      <c r="T171" s="45"/>
      <c r="U171" s="44">
        <f t="shared" si="9"/>
        <v>0</v>
      </c>
    </row>
    <row r="172" spans="1:21" s="44" customFormat="1" ht="12.75" customHeight="1">
      <c r="A172" s="44" t="s">
        <v>200</v>
      </c>
      <c r="C172" s="44" t="s">
        <v>103</v>
      </c>
      <c r="E172" s="45">
        <v>13919442</v>
      </c>
      <c r="F172" s="45"/>
      <c r="G172" s="45">
        <v>19477679</v>
      </c>
      <c r="H172" s="45"/>
      <c r="I172" s="45">
        <v>2831330</v>
      </c>
      <c r="J172" s="45"/>
      <c r="K172" s="45">
        <v>5428339</v>
      </c>
      <c r="L172" s="45"/>
      <c r="M172" s="45">
        <v>5233386</v>
      </c>
      <c r="N172" s="45"/>
      <c r="O172" s="45">
        <v>0</v>
      </c>
      <c r="P172" s="45"/>
      <c r="Q172" s="45">
        <v>8815954</v>
      </c>
      <c r="R172" s="45"/>
      <c r="S172" s="45">
        <f t="shared" si="8"/>
        <v>14049340</v>
      </c>
      <c r="T172" s="45"/>
      <c r="U172" s="44">
        <f t="shared" si="9"/>
        <v>0</v>
      </c>
    </row>
    <row r="173" spans="1:21" s="44" customFormat="1" ht="12.75" customHeight="1">
      <c r="A173" s="44" t="s">
        <v>201</v>
      </c>
      <c r="C173" s="44" t="s">
        <v>92</v>
      </c>
      <c r="E173" s="45">
        <v>11348400</v>
      </c>
      <c r="F173" s="45"/>
      <c r="G173" s="45">
        <v>18752142</v>
      </c>
      <c r="H173" s="45"/>
      <c r="I173" s="45">
        <v>2477457</v>
      </c>
      <c r="J173" s="45"/>
      <c r="K173" s="45">
        <v>5712988</v>
      </c>
      <c r="L173" s="45"/>
      <c r="M173" s="45">
        <v>2028307</v>
      </c>
      <c r="N173" s="45"/>
      <c r="O173" s="45">
        <v>0</v>
      </c>
      <c r="P173" s="45"/>
      <c r="Q173" s="45">
        <v>11010847</v>
      </c>
      <c r="R173" s="45"/>
      <c r="S173" s="45">
        <f t="shared" si="8"/>
        <v>13039154</v>
      </c>
      <c r="T173" s="45"/>
      <c r="U173" s="44">
        <f t="shared" si="9"/>
        <v>0</v>
      </c>
    </row>
    <row r="174" spans="1:21" s="44" customFormat="1" ht="12.75" customHeight="1">
      <c r="A174" s="44" t="s">
        <v>202</v>
      </c>
      <c r="C174" s="44" t="s">
        <v>27</v>
      </c>
      <c r="E174" s="45">
        <v>13961492</v>
      </c>
      <c r="F174" s="45"/>
      <c r="G174" s="45">
        <v>39123690</v>
      </c>
      <c r="H174" s="45"/>
      <c r="I174" s="45">
        <v>17399919</v>
      </c>
      <c r="J174" s="45"/>
      <c r="K174" s="45">
        <v>23085272</v>
      </c>
      <c r="L174" s="45"/>
      <c r="M174" s="45">
        <v>515173</v>
      </c>
      <c r="N174" s="45"/>
      <c r="O174" s="45">
        <v>0</v>
      </c>
      <c r="P174" s="45"/>
      <c r="Q174" s="45">
        <v>15523245</v>
      </c>
      <c r="R174" s="45"/>
      <c r="S174" s="45">
        <f t="shared" si="8"/>
        <v>16038418</v>
      </c>
      <c r="T174" s="45"/>
      <c r="U174" s="44">
        <f t="shared" si="9"/>
        <v>0</v>
      </c>
    </row>
    <row r="175" spans="1:21" s="44" customFormat="1" ht="12.75" customHeight="1">
      <c r="A175" s="44" t="s">
        <v>203</v>
      </c>
      <c r="C175" s="44" t="s">
        <v>27</v>
      </c>
      <c r="E175" s="45">
        <v>13961492</v>
      </c>
      <c r="F175" s="45"/>
      <c r="G175" s="45">
        <v>39123690</v>
      </c>
      <c r="H175" s="45"/>
      <c r="I175" s="45">
        <v>17399919</v>
      </c>
      <c r="J175" s="45"/>
      <c r="K175" s="45">
        <v>23085272</v>
      </c>
      <c r="L175" s="45"/>
      <c r="M175" s="45">
        <v>515173</v>
      </c>
      <c r="N175" s="45"/>
      <c r="O175" s="45">
        <v>0</v>
      </c>
      <c r="P175" s="45"/>
      <c r="Q175" s="45">
        <v>15523245</v>
      </c>
      <c r="R175" s="45"/>
      <c r="S175" s="45">
        <f t="shared" si="8"/>
        <v>16038418</v>
      </c>
      <c r="T175" s="45"/>
      <c r="U175" s="44">
        <f t="shared" si="9"/>
        <v>0</v>
      </c>
    </row>
    <row r="176" spans="1:21" s="44" customFormat="1" ht="12.75" customHeight="1">
      <c r="A176" s="44" t="s">
        <v>204</v>
      </c>
      <c r="C176" s="44" t="s">
        <v>125</v>
      </c>
      <c r="E176" s="45">
        <v>2504509</v>
      </c>
      <c r="F176" s="45"/>
      <c r="G176" s="45">
        <v>5482848</v>
      </c>
      <c r="H176" s="45"/>
      <c r="I176" s="45">
        <v>531892</v>
      </c>
      <c r="J176" s="45"/>
      <c r="K176" s="45">
        <v>4448683</v>
      </c>
      <c r="L176" s="45"/>
      <c r="M176" s="45">
        <v>120301</v>
      </c>
      <c r="N176" s="45"/>
      <c r="O176" s="45">
        <v>0</v>
      </c>
      <c r="P176" s="45"/>
      <c r="Q176" s="45">
        <v>913864</v>
      </c>
      <c r="R176" s="45"/>
      <c r="S176" s="45">
        <f t="shared" si="8"/>
        <v>1034165</v>
      </c>
      <c r="T176" s="45"/>
      <c r="U176" s="44">
        <f t="shared" si="9"/>
        <v>0</v>
      </c>
    </row>
    <row r="177" spans="1:21" s="44" customFormat="1" ht="12.75" customHeight="1">
      <c r="A177" s="44" t="s">
        <v>205</v>
      </c>
      <c r="C177" s="44" t="s">
        <v>27</v>
      </c>
      <c r="E177" s="45">
        <v>9390792</v>
      </c>
      <c r="F177" s="45"/>
      <c r="G177" s="45">
        <v>15992024</v>
      </c>
      <c r="H177" s="45"/>
      <c r="I177" s="45">
        <v>5227473</v>
      </c>
      <c r="J177" s="45"/>
      <c r="K177" s="45">
        <v>11472957</v>
      </c>
      <c r="L177" s="45"/>
      <c r="M177" s="45">
        <v>3617673</v>
      </c>
      <c r="N177" s="45"/>
      <c r="O177" s="45">
        <v>0</v>
      </c>
      <c r="P177" s="45"/>
      <c r="Q177" s="45">
        <v>901394</v>
      </c>
      <c r="R177" s="45"/>
      <c r="S177" s="45">
        <f>+Q177+O177+M177</f>
        <v>4519067</v>
      </c>
      <c r="T177" s="45"/>
      <c r="U177" s="44">
        <f t="shared" si="9"/>
        <v>0</v>
      </c>
    </row>
    <row r="178" spans="1:21" s="44" customFormat="1" ht="12.75" customHeight="1">
      <c r="A178" s="44" t="s">
        <v>206</v>
      </c>
      <c r="C178" s="44" t="s">
        <v>47</v>
      </c>
      <c r="E178" s="45">
        <v>9185129</v>
      </c>
      <c r="F178" s="45"/>
      <c r="G178" s="45">
        <v>16315096</v>
      </c>
      <c r="H178" s="45"/>
      <c r="I178" s="45">
        <v>4324656</v>
      </c>
      <c r="J178" s="45"/>
      <c r="K178" s="45">
        <v>17260198</v>
      </c>
      <c r="L178" s="45"/>
      <c r="M178" s="45">
        <v>934231</v>
      </c>
      <c r="N178" s="45"/>
      <c r="O178" s="45">
        <v>0</v>
      </c>
      <c r="P178" s="45"/>
      <c r="Q178" s="45">
        <v>-1879333</v>
      </c>
      <c r="R178" s="45"/>
      <c r="S178" s="45">
        <f t="shared" si="8"/>
        <v>-945102</v>
      </c>
      <c r="T178" s="45"/>
      <c r="U178" s="44">
        <f t="shared" si="9"/>
        <v>0</v>
      </c>
    </row>
    <row r="179" spans="1:21" s="44" customFormat="1" ht="12.75" customHeight="1">
      <c r="A179" s="44" t="s">
        <v>207</v>
      </c>
      <c r="C179" s="44" t="s">
        <v>102</v>
      </c>
      <c r="E179" s="45">
        <v>5488028</v>
      </c>
      <c r="F179" s="45"/>
      <c r="G179" s="45">
        <v>10092761</v>
      </c>
      <c r="H179" s="45"/>
      <c r="I179" s="45">
        <v>3888809</v>
      </c>
      <c r="J179" s="45"/>
      <c r="K179" s="45">
        <v>8072609</v>
      </c>
      <c r="L179" s="45"/>
      <c r="M179" s="45">
        <v>441107</v>
      </c>
      <c r="N179" s="45"/>
      <c r="O179" s="45">
        <v>0</v>
      </c>
      <c r="P179" s="45"/>
      <c r="Q179" s="45">
        <v>1579045</v>
      </c>
      <c r="R179" s="45"/>
      <c r="S179" s="45">
        <f t="shared" si="8"/>
        <v>2020152</v>
      </c>
      <c r="T179" s="45"/>
      <c r="U179" s="44">
        <f>+G179-K179-S179</f>
        <v>0</v>
      </c>
    </row>
    <row r="180" spans="1:21" s="44" customFormat="1" ht="12.75" customHeight="1">
      <c r="A180" s="44" t="s">
        <v>208</v>
      </c>
      <c r="C180" s="44" t="s">
        <v>209</v>
      </c>
      <c r="E180" s="45">
        <v>7624285</v>
      </c>
      <c r="F180" s="45"/>
      <c r="G180" s="45">
        <v>23875803</v>
      </c>
      <c r="H180" s="45"/>
      <c r="I180" s="45">
        <v>2829534</v>
      </c>
      <c r="J180" s="45"/>
      <c r="K180" s="45">
        <v>3932003</v>
      </c>
      <c r="L180" s="45"/>
      <c r="M180" s="45">
        <v>11335329</v>
      </c>
      <c r="N180" s="45"/>
      <c r="O180" s="45">
        <v>0</v>
      </c>
      <c r="P180" s="45"/>
      <c r="Q180" s="45">
        <v>8608471</v>
      </c>
      <c r="R180" s="45"/>
      <c r="S180" s="45">
        <f>+Q180+O180+M180</f>
        <v>19943800</v>
      </c>
      <c r="T180" s="45"/>
      <c r="U180" s="44">
        <f>+G180-K180-S180</f>
        <v>0</v>
      </c>
    </row>
    <row r="181" spans="1:21" s="44" customFormat="1" ht="12.75" customHeight="1">
      <c r="A181" s="44" t="s">
        <v>210</v>
      </c>
      <c r="C181" s="44" t="s">
        <v>211</v>
      </c>
      <c r="E181" s="45">
        <v>2616860</v>
      </c>
      <c r="F181" s="45"/>
      <c r="G181" s="45">
        <v>5747916</v>
      </c>
      <c r="H181" s="45"/>
      <c r="I181" s="45">
        <v>1920216</v>
      </c>
      <c r="J181" s="45"/>
      <c r="K181" s="45">
        <v>2510492</v>
      </c>
      <c r="L181" s="45"/>
      <c r="M181" s="45">
        <v>886760</v>
      </c>
      <c r="N181" s="45"/>
      <c r="O181" s="45">
        <v>0</v>
      </c>
      <c r="P181" s="45"/>
      <c r="Q181" s="45">
        <v>2350664</v>
      </c>
      <c r="R181" s="45"/>
      <c r="S181" s="45">
        <f t="shared" si="8"/>
        <v>3237424</v>
      </c>
      <c r="T181" s="45"/>
      <c r="U181" s="44">
        <f>+G181-K181-S181</f>
        <v>0</v>
      </c>
    </row>
    <row r="182" spans="1:21" s="44" customFormat="1" ht="12.75" customHeight="1">
      <c r="A182" s="44" t="s">
        <v>212</v>
      </c>
      <c r="C182" s="44" t="s">
        <v>213</v>
      </c>
      <c r="E182" s="45">
        <v>4249119</v>
      </c>
      <c r="F182" s="45"/>
      <c r="G182" s="45">
        <v>11296296</v>
      </c>
      <c r="H182" s="45"/>
      <c r="I182" s="45">
        <v>4656100</v>
      </c>
      <c r="J182" s="45"/>
      <c r="K182" s="45">
        <v>5948401</v>
      </c>
      <c r="L182" s="45"/>
      <c r="M182" s="45">
        <f>363465+45228+61950+31275+26843</f>
        <v>528761</v>
      </c>
      <c r="N182" s="45"/>
      <c r="O182" s="45">
        <v>0</v>
      </c>
      <c r="P182" s="45"/>
      <c r="Q182" s="45">
        <f>669976+1409916+2578171+161071</f>
        <v>4819134</v>
      </c>
      <c r="R182" s="45"/>
      <c r="S182" s="45">
        <f t="shared" si="8"/>
        <v>5347895</v>
      </c>
      <c r="T182" s="45"/>
      <c r="U182" s="44">
        <f t="shared" si="9"/>
        <v>0</v>
      </c>
    </row>
    <row r="183" spans="1:21" s="44" customFormat="1" ht="12.75" customHeight="1">
      <c r="A183" s="44" t="s">
        <v>214</v>
      </c>
      <c r="C183" s="44" t="s">
        <v>86</v>
      </c>
      <c r="E183" s="45">
        <v>9059566</v>
      </c>
      <c r="F183" s="45"/>
      <c r="G183" s="45">
        <v>12882562</v>
      </c>
      <c r="H183" s="45"/>
      <c r="I183" s="45">
        <v>3159897</v>
      </c>
      <c r="J183" s="45"/>
      <c r="K183" s="45">
        <v>11349370</v>
      </c>
      <c r="L183" s="45"/>
      <c r="M183" s="45">
        <v>738880</v>
      </c>
      <c r="N183" s="45"/>
      <c r="O183" s="45">
        <v>0</v>
      </c>
      <c r="P183" s="45"/>
      <c r="Q183" s="45">
        <v>794312</v>
      </c>
      <c r="R183" s="45"/>
      <c r="S183" s="45">
        <f t="shared" si="8"/>
        <v>1533192</v>
      </c>
      <c r="T183" s="45"/>
      <c r="U183" s="44">
        <f t="shared" si="9"/>
        <v>0</v>
      </c>
    </row>
    <row r="184" spans="1:21" s="44" customFormat="1" ht="12.75" customHeight="1">
      <c r="A184" s="44" t="s">
        <v>215</v>
      </c>
      <c r="C184" s="44" t="s">
        <v>22</v>
      </c>
      <c r="E184" s="45">
        <v>8169493</v>
      </c>
      <c r="F184" s="45"/>
      <c r="G184" s="45">
        <v>18296206</v>
      </c>
      <c r="H184" s="45"/>
      <c r="I184" s="45">
        <v>2961372</v>
      </c>
      <c r="J184" s="45"/>
      <c r="K184" s="45">
        <v>3762545</v>
      </c>
      <c r="L184" s="45"/>
      <c r="M184" s="45">
        <v>5732064</v>
      </c>
      <c r="N184" s="45"/>
      <c r="O184" s="45">
        <v>0</v>
      </c>
      <c r="P184" s="45"/>
      <c r="Q184" s="45">
        <v>8801597</v>
      </c>
      <c r="R184" s="45"/>
      <c r="S184" s="45">
        <f>+Q184+O184+M184</f>
        <v>14533661</v>
      </c>
      <c r="T184" s="45"/>
      <c r="U184" s="44">
        <f t="shared" si="9"/>
        <v>0</v>
      </c>
    </row>
    <row r="185" spans="1:21" s="44" customFormat="1" ht="12.75" customHeight="1">
      <c r="A185" s="44" t="s">
        <v>216</v>
      </c>
      <c r="C185" s="44" t="s">
        <v>45</v>
      </c>
      <c r="E185" s="45">
        <v>3349299</v>
      </c>
      <c r="F185" s="45"/>
      <c r="G185" s="45">
        <v>8310208</v>
      </c>
      <c r="H185" s="45"/>
      <c r="I185" s="45">
        <v>2668161</v>
      </c>
      <c r="J185" s="45"/>
      <c r="K185" s="45">
        <v>4612787</v>
      </c>
      <c r="L185" s="45"/>
      <c r="M185" s="45">
        <v>135663</v>
      </c>
      <c r="N185" s="45"/>
      <c r="O185" s="45">
        <v>0</v>
      </c>
      <c r="P185" s="45"/>
      <c r="Q185" s="45">
        <v>3561758</v>
      </c>
      <c r="R185" s="45"/>
      <c r="S185" s="45">
        <f t="shared" si="8"/>
        <v>3697421</v>
      </c>
      <c r="T185" s="45"/>
      <c r="U185" s="44">
        <f t="shared" si="9"/>
        <v>0</v>
      </c>
    </row>
    <row r="186" spans="1:21" s="44" customFormat="1" ht="12.75" customHeight="1">
      <c r="A186" s="44" t="s">
        <v>217</v>
      </c>
      <c r="C186" s="44" t="s">
        <v>43</v>
      </c>
      <c r="E186" s="45">
        <v>15457344</v>
      </c>
      <c r="F186" s="45"/>
      <c r="G186" s="45">
        <v>21348152</v>
      </c>
      <c r="H186" s="45"/>
      <c r="I186" s="45">
        <v>3065404</v>
      </c>
      <c r="J186" s="45"/>
      <c r="K186" s="45">
        <v>4714174</v>
      </c>
      <c r="L186" s="45"/>
      <c r="M186" s="45">
        <v>3944391</v>
      </c>
      <c r="N186" s="45"/>
      <c r="O186" s="45">
        <v>0</v>
      </c>
      <c r="P186" s="45"/>
      <c r="Q186" s="45">
        <v>12689587</v>
      </c>
      <c r="R186" s="45"/>
      <c r="S186" s="45">
        <f t="shared" si="8"/>
        <v>16633978</v>
      </c>
      <c r="T186" s="45"/>
      <c r="U186" s="44">
        <f t="shared" si="9"/>
        <v>0</v>
      </c>
    </row>
    <row r="187" spans="1:21" s="44" customFormat="1" ht="12.75" hidden="1" customHeight="1">
      <c r="A187" s="44" t="s">
        <v>218</v>
      </c>
      <c r="C187" s="44" t="s">
        <v>27</v>
      </c>
      <c r="E187" s="45">
        <v>1263011</v>
      </c>
      <c r="F187" s="45"/>
      <c r="G187" s="45">
        <v>13072946</v>
      </c>
      <c r="H187" s="45"/>
      <c r="I187" s="45">
        <v>10124708</v>
      </c>
      <c r="J187" s="45"/>
      <c r="K187" s="45">
        <v>11051262</v>
      </c>
      <c r="L187" s="45"/>
      <c r="M187" s="45">
        <v>330363</v>
      </c>
      <c r="N187" s="45"/>
      <c r="O187" s="45">
        <v>0</v>
      </c>
      <c r="P187" s="45"/>
      <c r="Q187" s="45">
        <v>513928</v>
      </c>
      <c r="R187" s="45"/>
      <c r="S187" s="45">
        <f t="shared" si="8"/>
        <v>844291</v>
      </c>
      <c r="T187" s="45"/>
      <c r="U187" s="44">
        <f t="shared" si="9"/>
        <v>1177393</v>
      </c>
    </row>
    <row r="188" spans="1:21" s="44" customFormat="1" ht="12.75" customHeight="1">
      <c r="A188" s="44" t="s">
        <v>219</v>
      </c>
      <c r="C188" s="44" t="s">
        <v>199</v>
      </c>
      <c r="E188" s="45">
        <v>1789910</v>
      </c>
      <c r="F188" s="45"/>
      <c r="G188" s="45">
        <v>3490696</v>
      </c>
      <c r="H188" s="45"/>
      <c r="I188" s="45">
        <v>1206758</v>
      </c>
      <c r="J188" s="45"/>
      <c r="K188" s="45">
        <v>1537177</v>
      </c>
      <c r="L188" s="45"/>
      <c r="M188" s="45">
        <v>57704</v>
      </c>
      <c r="N188" s="45"/>
      <c r="O188" s="45">
        <v>272329</v>
      </c>
      <c r="P188" s="45"/>
      <c r="Q188" s="45">
        <v>1623486</v>
      </c>
      <c r="R188" s="45"/>
      <c r="S188" s="45">
        <f t="shared" si="8"/>
        <v>1953519</v>
      </c>
      <c r="T188" s="45"/>
      <c r="U188" s="44">
        <f t="shared" si="9"/>
        <v>0</v>
      </c>
    </row>
    <row r="189" spans="1:21" s="44" customFormat="1" ht="12.75" customHeight="1">
      <c r="A189" s="44" t="s">
        <v>220</v>
      </c>
      <c r="C189" s="44" t="s">
        <v>66</v>
      </c>
      <c r="E189" s="45">
        <v>7088369</v>
      </c>
      <c r="F189" s="45"/>
      <c r="G189" s="45">
        <v>15432283</v>
      </c>
      <c r="H189" s="45"/>
      <c r="I189" s="45">
        <v>6678229</v>
      </c>
      <c r="J189" s="45"/>
      <c r="K189" s="45">
        <v>9813125</v>
      </c>
      <c r="L189" s="45"/>
      <c r="M189" s="45">
        <v>667601</v>
      </c>
      <c r="N189" s="45"/>
      <c r="O189" s="45">
        <v>0</v>
      </c>
      <c r="P189" s="45"/>
      <c r="Q189" s="45">
        <v>4951557</v>
      </c>
      <c r="R189" s="45"/>
      <c r="S189" s="45">
        <f t="shared" si="8"/>
        <v>5619158</v>
      </c>
      <c r="T189" s="45"/>
      <c r="U189" s="44">
        <f t="shared" si="9"/>
        <v>0</v>
      </c>
    </row>
    <row r="190" spans="1:21" s="44" customFormat="1" ht="12.75" customHeight="1">
      <c r="A190" s="44" t="s">
        <v>221</v>
      </c>
      <c r="C190" s="44" t="s">
        <v>27</v>
      </c>
      <c r="E190" s="45">
        <v>15449096</v>
      </c>
      <c r="F190" s="45"/>
      <c r="G190" s="45">
        <v>28026288</v>
      </c>
      <c r="H190" s="45"/>
      <c r="I190" s="45">
        <v>9793006</v>
      </c>
      <c r="J190" s="45"/>
      <c r="K190" s="45">
        <v>11918782</v>
      </c>
      <c r="L190" s="45"/>
      <c r="M190" s="45">
        <v>1669505</v>
      </c>
      <c r="N190" s="45"/>
      <c r="O190" s="45">
        <v>0</v>
      </c>
      <c r="P190" s="45"/>
      <c r="Q190" s="45">
        <v>14438001</v>
      </c>
      <c r="R190" s="45"/>
      <c r="S190" s="45">
        <f t="shared" si="8"/>
        <v>16107506</v>
      </c>
      <c r="T190" s="45"/>
      <c r="U190" s="44">
        <f t="shared" si="9"/>
        <v>0</v>
      </c>
    </row>
    <row r="191" spans="1:21" s="44" customFormat="1" ht="12.75" customHeight="1">
      <c r="A191" s="44" t="s">
        <v>222</v>
      </c>
      <c r="C191" s="44" t="s">
        <v>47</v>
      </c>
      <c r="E191" s="45">
        <v>4762233</v>
      </c>
      <c r="F191" s="45"/>
      <c r="G191" s="45">
        <v>7830452</v>
      </c>
      <c r="H191" s="45"/>
      <c r="I191" s="45">
        <v>2495245</v>
      </c>
      <c r="J191" s="45"/>
      <c r="K191" s="45">
        <v>5119763</v>
      </c>
      <c r="L191" s="45"/>
      <c r="M191" s="45">
        <v>372303</v>
      </c>
      <c r="N191" s="45"/>
      <c r="O191" s="45">
        <v>0</v>
      </c>
      <c r="P191" s="45"/>
      <c r="Q191" s="45">
        <v>2338386</v>
      </c>
      <c r="R191" s="45"/>
      <c r="S191" s="45">
        <f t="shared" si="8"/>
        <v>2710689</v>
      </c>
      <c r="T191" s="45"/>
      <c r="U191" s="44">
        <f t="shared" si="9"/>
        <v>0</v>
      </c>
    </row>
    <row r="192" spans="1:21" s="44" customFormat="1" ht="12.75" customHeight="1">
      <c r="A192" s="44" t="s">
        <v>223</v>
      </c>
      <c r="C192" s="44" t="s">
        <v>94</v>
      </c>
      <c r="E192" s="45">
        <v>2821468</v>
      </c>
      <c r="F192" s="45"/>
      <c r="G192" s="45">
        <v>5811661</v>
      </c>
      <c r="H192" s="45"/>
      <c r="I192" s="45">
        <v>2081292</v>
      </c>
      <c r="J192" s="45"/>
      <c r="K192" s="45">
        <v>3147437</v>
      </c>
      <c r="L192" s="45"/>
      <c r="M192" s="45">
        <v>1308137</v>
      </c>
      <c r="N192" s="45"/>
      <c r="O192" s="45">
        <v>0</v>
      </c>
      <c r="P192" s="45"/>
      <c r="Q192" s="45">
        <v>1356087</v>
      </c>
      <c r="R192" s="45"/>
      <c r="S192" s="45">
        <f t="shared" si="8"/>
        <v>2664224</v>
      </c>
      <c r="T192" s="45"/>
      <c r="U192" s="44">
        <f t="shared" si="9"/>
        <v>0</v>
      </c>
    </row>
    <row r="193" spans="1:21" s="44" customFormat="1" ht="12.75" customHeight="1">
      <c r="A193" s="44" t="s">
        <v>76</v>
      </c>
      <c r="C193" s="44" t="s">
        <v>132</v>
      </c>
      <c r="E193" s="45">
        <v>13174818</v>
      </c>
      <c r="F193" s="45"/>
      <c r="G193" s="45">
        <v>26612870</v>
      </c>
      <c r="H193" s="45"/>
      <c r="I193" s="45">
        <v>8726191</v>
      </c>
      <c r="J193" s="45"/>
      <c r="K193" s="45">
        <v>19038349</v>
      </c>
      <c r="L193" s="45"/>
      <c r="M193" s="45">
        <v>4028829</v>
      </c>
      <c r="N193" s="45"/>
      <c r="O193" s="45">
        <v>0</v>
      </c>
      <c r="P193" s="45"/>
      <c r="Q193" s="45">
        <v>3545692</v>
      </c>
      <c r="R193" s="45"/>
      <c r="S193" s="45">
        <f t="shared" si="8"/>
        <v>7574521</v>
      </c>
      <c r="T193" s="45"/>
      <c r="U193" s="44">
        <f t="shared" si="9"/>
        <v>0</v>
      </c>
    </row>
    <row r="194" spans="1:21" s="44" customFormat="1" ht="12.75" customHeight="1">
      <c r="A194" s="44" t="s">
        <v>224</v>
      </c>
      <c r="C194" s="44" t="s">
        <v>27</v>
      </c>
      <c r="E194" s="45">
        <v>9999035</v>
      </c>
      <c r="F194" s="45"/>
      <c r="G194" s="45">
        <v>18229731</v>
      </c>
      <c r="H194" s="45"/>
      <c r="I194" s="45">
        <v>6387262</v>
      </c>
      <c r="J194" s="45"/>
      <c r="K194" s="45">
        <v>15711016</v>
      </c>
      <c r="L194" s="45"/>
      <c r="M194" s="45">
        <v>1428503</v>
      </c>
      <c r="N194" s="45"/>
      <c r="O194" s="45">
        <v>0</v>
      </c>
      <c r="P194" s="45"/>
      <c r="Q194" s="45">
        <v>1090212</v>
      </c>
      <c r="R194" s="45"/>
      <c r="S194" s="45">
        <f>+Q194+O194+M194</f>
        <v>2518715</v>
      </c>
      <c r="T194" s="45"/>
      <c r="U194" s="44">
        <f t="shared" si="9"/>
        <v>0</v>
      </c>
    </row>
    <row r="195" spans="1:21" s="44" customFormat="1" ht="12.75" customHeight="1">
      <c r="A195" s="44" t="s">
        <v>225</v>
      </c>
      <c r="C195" s="44" t="s">
        <v>27</v>
      </c>
      <c r="E195" s="45">
        <v>48169311</v>
      </c>
      <c r="F195" s="45"/>
      <c r="G195" s="45">
        <v>75648339</v>
      </c>
      <c r="H195" s="45"/>
      <c r="I195" s="45">
        <v>19771169</v>
      </c>
      <c r="J195" s="45"/>
      <c r="K195" s="45">
        <v>35531559</v>
      </c>
      <c r="L195" s="45"/>
      <c r="M195" s="45">
        <f>5264803+16935168</f>
        <v>22199971</v>
      </c>
      <c r="N195" s="45"/>
      <c r="O195" s="45">
        <v>0</v>
      </c>
      <c r="P195" s="45"/>
      <c r="Q195" s="45">
        <f>10277756+3638148+10321345-6320440</f>
        <v>17916809</v>
      </c>
      <c r="R195" s="45"/>
      <c r="S195" s="45">
        <f t="shared" si="8"/>
        <v>40116780</v>
      </c>
      <c r="T195" s="45"/>
      <c r="U195" s="44">
        <f t="shared" si="9"/>
        <v>0</v>
      </c>
    </row>
    <row r="196" spans="1:21" s="44" customFormat="1" ht="12.75" customHeight="1">
      <c r="A196" s="44" t="s">
        <v>226</v>
      </c>
      <c r="C196" s="44" t="s">
        <v>45</v>
      </c>
      <c r="E196" s="45">
        <v>8455155</v>
      </c>
      <c r="F196" s="45"/>
      <c r="G196" s="45">
        <v>15493122</v>
      </c>
      <c r="H196" s="45"/>
      <c r="I196" s="45">
        <v>1521709</v>
      </c>
      <c r="J196" s="45"/>
      <c r="K196" s="45">
        <v>7794750</v>
      </c>
      <c r="L196" s="45"/>
      <c r="M196" s="45">
        <v>1678928</v>
      </c>
      <c r="N196" s="45"/>
      <c r="O196" s="45">
        <v>0</v>
      </c>
      <c r="P196" s="45"/>
      <c r="Q196" s="45">
        <v>6019444</v>
      </c>
      <c r="R196" s="45"/>
      <c r="S196" s="45">
        <f t="shared" si="8"/>
        <v>7698372</v>
      </c>
      <c r="T196" s="45"/>
      <c r="U196" s="44">
        <f t="shared" si="9"/>
        <v>0</v>
      </c>
    </row>
    <row r="197" spans="1:21" s="44" customFormat="1" ht="12.75" customHeight="1"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8" t="s">
        <v>485</v>
      </c>
      <c r="T197" s="45"/>
    </row>
    <row r="198" spans="1:21" s="46" customFormat="1" ht="12.75" customHeight="1">
      <c r="A198" s="46" t="s">
        <v>227</v>
      </c>
      <c r="C198" s="46" t="s">
        <v>17</v>
      </c>
      <c r="E198" s="94">
        <v>1930612</v>
      </c>
      <c r="F198" s="94"/>
      <c r="G198" s="94">
        <v>5379422</v>
      </c>
      <c r="H198" s="94"/>
      <c r="I198" s="94">
        <v>2960118</v>
      </c>
      <c r="J198" s="94"/>
      <c r="K198" s="94">
        <v>4324004</v>
      </c>
      <c r="L198" s="94"/>
      <c r="M198" s="94">
        <v>182106</v>
      </c>
      <c r="N198" s="94"/>
      <c r="O198" s="94">
        <v>0</v>
      </c>
      <c r="P198" s="94"/>
      <c r="Q198" s="94">
        <v>873312</v>
      </c>
      <c r="R198" s="94"/>
      <c r="S198" s="94">
        <f t="shared" si="8"/>
        <v>1055418</v>
      </c>
      <c r="T198" s="94"/>
      <c r="U198" s="46">
        <f t="shared" si="9"/>
        <v>0</v>
      </c>
    </row>
    <row r="199" spans="1:21" s="44" customFormat="1" ht="12.75" customHeight="1">
      <c r="A199" s="44" t="s">
        <v>228</v>
      </c>
      <c r="C199" s="44" t="s">
        <v>153</v>
      </c>
      <c r="E199" s="45">
        <v>4635574</v>
      </c>
      <c r="F199" s="45"/>
      <c r="G199" s="45">
        <v>8569160</v>
      </c>
      <c r="H199" s="45"/>
      <c r="I199" s="45">
        <v>1629984</v>
      </c>
      <c r="J199" s="45"/>
      <c r="K199" s="45">
        <v>2930523</v>
      </c>
      <c r="L199" s="45"/>
      <c r="M199" s="45">
        <v>1389960</v>
      </c>
      <c r="N199" s="45"/>
      <c r="O199" s="45">
        <v>0</v>
      </c>
      <c r="P199" s="45"/>
      <c r="Q199" s="45">
        <v>4248677</v>
      </c>
      <c r="R199" s="45"/>
      <c r="S199" s="45">
        <f t="shared" si="8"/>
        <v>5638637</v>
      </c>
      <c r="T199" s="45"/>
      <c r="U199" s="44">
        <f t="shared" si="9"/>
        <v>0</v>
      </c>
    </row>
    <row r="200" spans="1:21" s="44" customFormat="1" ht="12.75" customHeight="1">
      <c r="A200" s="44" t="s">
        <v>229</v>
      </c>
      <c r="C200" s="44" t="s">
        <v>228</v>
      </c>
      <c r="E200" s="45">
        <v>12902538</v>
      </c>
      <c r="F200" s="45"/>
      <c r="G200" s="45">
        <v>20412206</v>
      </c>
      <c r="H200" s="45"/>
      <c r="I200" s="45">
        <v>5418450</v>
      </c>
      <c r="J200" s="45"/>
      <c r="K200" s="45">
        <v>7453228</v>
      </c>
      <c r="L200" s="45"/>
      <c r="M200" s="45">
        <v>1556967</v>
      </c>
      <c r="N200" s="45"/>
      <c r="O200" s="45">
        <v>0</v>
      </c>
      <c r="P200" s="45"/>
      <c r="Q200" s="45">
        <v>11402011</v>
      </c>
      <c r="R200" s="45"/>
      <c r="S200" s="45">
        <f t="shared" si="8"/>
        <v>12958978</v>
      </c>
      <c r="T200" s="45"/>
      <c r="U200" s="44">
        <f t="shared" si="9"/>
        <v>0</v>
      </c>
    </row>
    <row r="201" spans="1:21" s="44" customFormat="1" ht="12.75" customHeight="1">
      <c r="A201" s="44" t="s">
        <v>230</v>
      </c>
      <c r="C201" s="44" t="s">
        <v>45</v>
      </c>
      <c r="E201" s="45">
        <v>2610634</v>
      </c>
      <c r="F201" s="45"/>
      <c r="G201" s="45">
        <v>4786095</v>
      </c>
      <c r="H201" s="45"/>
      <c r="I201" s="45">
        <v>1852573</v>
      </c>
      <c r="J201" s="45"/>
      <c r="K201" s="45">
        <v>2049805</v>
      </c>
      <c r="L201" s="45"/>
      <c r="M201" s="45">
        <v>86407</v>
      </c>
      <c r="N201" s="45"/>
      <c r="O201" s="45">
        <v>0</v>
      </c>
      <c r="P201" s="45"/>
      <c r="Q201" s="45">
        <v>2649883</v>
      </c>
      <c r="R201" s="45"/>
      <c r="S201" s="45">
        <f t="shared" si="8"/>
        <v>2736290</v>
      </c>
      <c r="T201" s="45"/>
      <c r="U201" s="44">
        <f t="shared" si="9"/>
        <v>0</v>
      </c>
    </row>
    <row r="202" spans="1:21" s="44" customFormat="1" ht="12.75" customHeight="1">
      <c r="A202" s="44" t="s">
        <v>231</v>
      </c>
      <c r="C202" s="44" t="s">
        <v>27</v>
      </c>
      <c r="E202" s="45">
        <v>49673248</v>
      </c>
      <c r="F202" s="45"/>
      <c r="G202" s="45">
        <v>67928603</v>
      </c>
      <c r="H202" s="45"/>
      <c r="I202" s="45">
        <v>10749388</v>
      </c>
      <c r="J202" s="45"/>
      <c r="K202" s="45">
        <v>22654944</v>
      </c>
      <c r="L202" s="45"/>
      <c r="M202" s="45">
        <v>45273659</v>
      </c>
      <c r="N202" s="45"/>
      <c r="O202" s="45">
        <v>0</v>
      </c>
      <c r="P202" s="45"/>
      <c r="Q202" s="45">
        <v>0</v>
      </c>
      <c r="R202" s="45"/>
      <c r="S202" s="45">
        <f t="shared" si="8"/>
        <v>45273659</v>
      </c>
      <c r="T202" s="45"/>
      <c r="U202" s="44">
        <f t="shared" si="9"/>
        <v>0</v>
      </c>
    </row>
    <row r="203" spans="1:21" s="44" customFormat="1" ht="12.75" customHeight="1">
      <c r="A203" s="44" t="s">
        <v>232</v>
      </c>
      <c r="C203" s="44" t="s">
        <v>27</v>
      </c>
      <c r="E203" s="45">
        <v>13886475</v>
      </c>
      <c r="F203" s="45"/>
      <c r="G203" s="45">
        <v>28770239</v>
      </c>
      <c r="H203" s="45"/>
      <c r="I203" s="45">
        <v>13471968</v>
      </c>
      <c r="J203" s="45"/>
      <c r="K203" s="45">
        <v>16931595</v>
      </c>
      <c r="L203" s="45"/>
      <c r="M203" s="45">
        <v>1480872</v>
      </c>
      <c r="N203" s="45"/>
      <c r="O203" s="45">
        <v>0</v>
      </c>
      <c r="P203" s="45"/>
      <c r="Q203" s="45">
        <v>10357772</v>
      </c>
      <c r="R203" s="45"/>
      <c r="S203" s="45">
        <f t="shared" si="8"/>
        <v>11838644</v>
      </c>
      <c r="T203" s="45"/>
      <c r="U203" s="44">
        <f t="shared" si="9"/>
        <v>0</v>
      </c>
    </row>
    <row r="204" spans="1:21" s="44" customFormat="1" ht="12.75" customHeight="1">
      <c r="A204" s="44" t="s">
        <v>233</v>
      </c>
      <c r="C204" s="44" t="s">
        <v>111</v>
      </c>
      <c r="E204" s="45">
        <v>11913283</v>
      </c>
      <c r="F204" s="45"/>
      <c r="G204" s="45">
        <v>22566593</v>
      </c>
      <c r="H204" s="45"/>
      <c r="I204" s="45">
        <v>5833903</v>
      </c>
      <c r="J204" s="45"/>
      <c r="K204" s="45">
        <v>9844661</v>
      </c>
      <c r="L204" s="45"/>
      <c r="M204" s="45">
        <v>5395812</v>
      </c>
      <c r="N204" s="45"/>
      <c r="O204" s="45">
        <v>0</v>
      </c>
      <c r="P204" s="45"/>
      <c r="Q204" s="45">
        <v>7326120</v>
      </c>
      <c r="R204" s="45"/>
      <c r="S204" s="45">
        <f t="shared" si="8"/>
        <v>12721932</v>
      </c>
      <c r="T204" s="45"/>
      <c r="U204" s="44">
        <f>+G204-K204-S204</f>
        <v>0</v>
      </c>
    </row>
    <row r="205" spans="1:21" s="44" customFormat="1" ht="12.75" customHeight="1">
      <c r="A205" s="44" t="s">
        <v>234</v>
      </c>
      <c r="C205" s="44" t="s">
        <v>45</v>
      </c>
      <c r="E205" s="45">
        <v>6975527</v>
      </c>
      <c r="F205" s="45"/>
      <c r="G205" s="45">
        <v>16726295</v>
      </c>
      <c r="H205" s="45"/>
      <c r="I205" s="45">
        <v>5408991</v>
      </c>
      <c r="J205" s="45"/>
      <c r="K205" s="45">
        <v>9065800</v>
      </c>
      <c r="L205" s="45"/>
      <c r="M205" s="45">
        <v>1154338</v>
      </c>
      <c r="N205" s="45"/>
      <c r="O205" s="45">
        <v>1158419</v>
      </c>
      <c r="P205" s="45"/>
      <c r="Q205" s="45">
        <v>5347738</v>
      </c>
      <c r="R205" s="45"/>
      <c r="S205" s="45">
        <f t="shared" si="8"/>
        <v>7660495</v>
      </c>
      <c r="T205" s="45"/>
      <c r="U205" s="44">
        <f>+G205-K205-S205</f>
        <v>0</v>
      </c>
    </row>
    <row r="206" spans="1:21" s="44" customFormat="1" ht="12.75" customHeight="1">
      <c r="A206" s="44" t="s">
        <v>235</v>
      </c>
      <c r="C206" s="44" t="s">
        <v>183</v>
      </c>
      <c r="E206" s="45">
        <v>17709172</v>
      </c>
      <c r="F206" s="45"/>
      <c r="G206" s="45">
        <v>65865610</v>
      </c>
      <c r="H206" s="45"/>
      <c r="I206" s="45">
        <v>17666714</v>
      </c>
      <c r="J206" s="45"/>
      <c r="K206" s="45">
        <v>30031463</v>
      </c>
      <c r="L206" s="45"/>
      <c r="M206" s="45">
        <v>29210903</v>
      </c>
      <c r="N206" s="45"/>
      <c r="O206" s="45">
        <v>0</v>
      </c>
      <c r="P206" s="45"/>
      <c r="Q206" s="45">
        <v>6623244</v>
      </c>
      <c r="R206" s="45"/>
      <c r="S206" s="45">
        <f t="shared" si="8"/>
        <v>35834147</v>
      </c>
      <c r="T206" s="45"/>
      <c r="U206" s="44">
        <f t="shared" si="9"/>
        <v>0</v>
      </c>
    </row>
    <row r="207" spans="1:21" s="44" customFormat="1" ht="12.75" customHeight="1">
      <c r="A207" s="44" t="s">
        <v>236</v>
      </c>
      <c r="C207" s="44" t="s">
        <v>45</v>
      </c>
      <c r="E207" s="45">
        <v>2152773</v>
      </c>
      <c r="F207" s="45"/>
      <c r="G207" s="45">
        <v>10164830</v>
      </c>
      <c r="H207" s="45"/>
      <c r="I207" s="45">
        <v>1415827</v>
      </c>
      <c r="J207" s="45"/>
      <c r="K207" s="45">
        <v>2187327</v>
      </c>
      <c r="L207" s="45"/>
      <c r="M207" s="45">
        <v>7977503</v>
      </c>
      <c r="N207" s="45"/>
      <c r="O207" s="45">
        <v>0</v>
      </c>
      <c r="P207" s="45"/>
      <c r="Q207" s="45">
        <v>0</v>
      </c>
      <c r="R207" s="45"/>
      <c r="S207" s="45">
        <f t="shared" si="8"/>
        <v>7977503</v>
      </c>
      <c r="T207" s="45"/>
      <c r="U207" s="44">
        <f t="shared" si="9"/>
        <v>0</v>
      </c>
    </row>
    <row r="208" spans="1:21" s="44" customFormat="1" ht="12.75" customHeight="1">
      <c r="A208" s="44" t="s">
        <v>237</v>
      </c>
      <c r="C208" s="44" t="s">
        <v>33</v>
      </c>
      <c r="E208" s="45">
        <v>1424574</v>
      </c>
      <c r="F208" s="45"/>
      <c r="G208" s="45">
        <v>3943742</v>
      </c>
      <c r="H208" s="45"/>
      <c r="I208" s="45">
        <v>1931866</v>
      </c>
      <c r="J208" s="45"/>
      <c r="K208" s="45">
        <v>2101345</v>
      </c>
      <c r="L208" s="45"/>
      <c r="M208" s="45">
        <v>626428</v>
      </c>
      <c r="N208" s="45"/>
      <c r="O208" s="45">
        <v>0</v>
      </c>
      <c r="P208" s="45"/>
      <c r="Q208" s="45">
        <v>1215969</v>
      </c>
      <c r="R208" s="45"/>
      <c r="S208" s="45">
        <f t="shared" si="8"/>
        <v>1842397</v>
      </c>
      <c r="T208" s="45"/>
      <c r="U208" s="44">
        <f t="shared" si="9"/>
        <v>0</v>
      </c>
    </row>
    <row r="209" spans="1:21" s="44" customFormat="1" ht="12.75" customHeight="1">
      <c r="A209" s="44" t="s">
        <v>238</v>
      </c>
      <c r="C209" s="44" t="s">
        <v>239</v>
      </c>
      <c r="E209" s="45">
        <v>12529738</v>
      </c>
      <c r="F209" s="45"/>
      <c r="G209" s="45">
        <v>16401803</v>
      </c>
      <c r="H209" s="45"/>
      <c r="I209" s="45">
        <v>1364656</v>
      </c>
      <c r="J209" s="45"/>
      <c r="K209" s="45">
        <v>2744213</v>
      </c>
      <c r="L209" s="45"/>
      <c r="M209" s="45">
        <v>1655842</v>
      </c>
      <c r="N209" s="45"/>
      <c r="O209" s="45">
        <v>0</v>
      </c>
      <c r="P209" s="45"/>
      <c r="Q209" s="45">
        <v>12001748</v>
      </c>
      <c r="R209" s="45"/>
      <c r="S209" s="45">
        <f t="shared" si="8"/>
        <v>13657590</v>
      </c>
      <c r="T209" s="45"/>
      <c r="U209" s="44">
        <f t="shared" si="9"/>
        <v>0</v>
      </c>
    </row>
    <row r="210" spans="1:21" s="44" customFormat="1" ht="12.75" customHeight="1">
      <c r="A210" s="44" t="s">
        <v>487</v>
      </c>
      <c r="C210" s="44" t="s">
        <v>249</v>
      </c>
      <c r="E210" s="45">
        <v>10932211</v>
      </c>
      <c r="F210" s="45"/>
      <c r="G210" s="45">
        <v>17325753</v>
      </c>
      <c r="H210" s="45"/>
      <c r="I210" s="45">
        <v>4152868</v>
      </c>
      <c r="J210" s="45"/>
      <c r="K210" s="45">
        <v>7556778</v>
      </c>
      <c r="L210" s="45"/>
      <c r="M210" s="45">
        <v>2381301</v>
      </c>
      <c r="N210" s="45"/>
      <c r="O210" s="45">
        <v>0</v>
      </c>
      <c r="P210" s="45"/>
      <c r="Q210" s="45">
        <v>7387674</v>
      </c>
      <c r="R210" s="45"/>
      <c r="S210" s="45">
        <f>+Q210+O210+M210</f>
        <v>9768975</v>
      </c>
      <c r="T210" s="45"/>
      <c r="U210" s="44">
        <f>+G210-K210-S210</f>
        <v>0</v>
      </c>
    </row>
    <row r="211" spans="1:21" s="44" customFormat="1" ht="12.75" customHeight="1">
      <c r="A211" s="44" t="s">
        <v>240</v>
      </c>
      <c r="C211" s="44" t="s">
        <v>13</v>
      </c>
      <c r="E211" s="45">
        <v>18801619</v>
      </c>
      <c r="F211" s="45"/>
      <c r="G211" s="45">
        <v>31757527</v>
      </c>
      <c r="H211" s="45"/>
      <c r="I211" s="45">
        <v>2798037</v>
      </c>
      <c r="J211" s="45"/>
      <c r="K211" s="45">
        <v>11850559</v>
      </c>
      <c r="L211" s="45"/>
      <c r="M211" s="45">
        <v>8181584</v>
      </c>
      <c r="N211" s="45"/>
      <c r="O211" s="45">
        <v>0</v>
      </c>
      <c r="P211" s="45"/>
      <c r="Q211" s="45">
        <v>11725384</v>
      </c>
      <c r="R211" s="45"/>
      <c r="S211" s="45">
        <f t="shared" si="8"/>
        <v>19906968</v>
      </c>
      <c r="T211" s="45"/>
      <c r="U211" s="44">
        <f t="shared" si="9"/>
        <v>0</v>
      </c>
    </row>
    <row r="212" spans="1:21" s="137" customFormat="1" ht="12.75" hidden="1" customHeight="1">
      <c r="A212" s="137" t="s">
        <v>241</v>
      </c>
      <c r="C212" s="137" t="s">
        <v>22</v>
      </c>
      <c r="E212" s="143">
        <v>0</v>
      </c>
      <c r="F212" s="143"/>
      <c r="G212" s="143">
        <v>0</v>
      </c>
      <c r="H212" s="143"/>
      <c r="I212" s="143">
        <v>0</v>
      </c>
      <c r="J212" s="143"/>
      <c r="K212" s="143">
        <v>0</v>
      </c>
      <c r="L212" s="143"/>
      <c r="M212" s="143">
        <v>0</v>
      </c>
      <c r="N212" s="143"/>
      <c r="O212" s="143">
        <v>0</v>
      </c>
      <c r="P212" s="143"/>
      <c r="Q212" s="143">
        <v>0</v>
      </c>
      <c r="R212" s="143"/>
      <c r="S212" s="143">
        <f t="shared" si="8"/>
        <v>0</v>
      </c>
      <c r="T212" s="143"/>
      <c r="U212" s="137">
        <f t="shared" si="9"/>
        <v>0</v>
      </c>
    </row>
    <row r="213" spans="1:21" s="44" customFormat="1" ht="12.75" customHeight="1">
      <c r="A213" s="44" t="s">
        <v>242</v>
      </c>
      <c r="C213" s="44" t="s">
        <v>27</v>
      </c>
      <c r="E213" s="45">
        <v>19747725</v>
      </c>
      <c r="F213" s="45"/>
      <c r="G213" s="45">
        <v>42948727</v>
      </c>
      <c r="H213" s="45"/>
      <c r="I213" s="45">
        <v>15712371</v>
      </c>
      <c r="J213" s="45"/>
      <c r="K213" s="45">
        <v>18691860</v>
      </c>
      <c r="L213" s="45"/>
      <c r="M213" s="45">
        <v>3698830</v>
      </c>
      <c r="N213" s="45"/>
      <c r="O213" s="45">
        <v>0</v>
      </c>
      <c r="P213" s="45"/>
      <c r="Q213" s="45">
        <v>20558037</v>
      </c>
      <c r="R213" s="45"/>
      <c r="S213" s="45">
        <f t="shared" si="8"/>
        <v>24256867</v>
      </c>
      <c r="T213" s="45"/>
      <c r="U213" s="44">
        <f t="shared" si="9"/>
        <v>0</v>
      </c>
    </row>
    <row r="214" spans="1:21" s="44" customFormat="1" ht="12.75" customHeight="1">
      <c r="A214" s="44" t="s">
        <v>243</v>
      </c>
      <c r="C214" s="44" t="s">
        <v>163</v>
      </c>
      <c r="E214" s="45">
        <v>25613230</v>
      </c>
      <c r="F214" s="45"/>
      <c r="G214" s="45">
        <v>31050926</v>
      </c>
      <c r="H214" s="45"/>
      <c r="I214" s="45">
        <v>3146635</v>
      </c>
      <c r="J214" s="45"/>
      <c r="K214" s="45">
        <v>4933553</v>
      </c>
      <c r="L214" s="45"/>
      <c r="M214" s="45">
        <v>888495</v>
      </c>
      <c r="N214" s="45"/>
      <c r="O214" s="45">
        <v>0</v>
      </c>
      <c r="P214" s="45"/>
      <c r="Q214" s="45">
        <v>25228878</v>
      </c>
      <c r="R214" s="45"/>
      <c r="S214" s="45">
        <f>+Q214+O214+M214</f>
        <v>26117373</v>
      </c>
      <c r="T214" s="45"/>
      <c r="U214" s="44">
        <f t="shared" ref="U214:U255" si="10">+G214-K214-S214</f>
        <v>0</v>
      </c>
    </row>
    <row r="215" spans="1:21" s="44" customFormat="1" ht="12.75" customHeight="1">
      <c r="A215" s="44" t="s">
        <v>244</v>
      </c>
      <c r="C215" s="44" t="s">
        <v>13</v>
      </c>
      <c r="E215" s="45">
        <v>2849547</v>
      </c>
      <c r="F215" s="45"/>
      <c r="G215" s="45">
        <v>9014469</v>
      </c>
      <c r="H215" s="45"/>
      <c r="I215" s="45">
        <v>2274559</v>
      </c>
      <c r="J215" s="45"/>
      <c r="K215" s="45">
        <v>5667554</v>
      </c>
      <c r="L215" s="45"/>
      <c r="M215" s="45">
        <v>565463</v>
      </c>
      <c r="N215" s="45"/>
      <c r="O215" s="45">
        <v>0</v>
      </c>
      <c r="P215" s="45"/>
      <c r="Q215" s="45">
        <v>2781452</v>
      </c>
      <c r="R215" s="45"/>
      <c r="S215" s="45">
        <f t="shared" ref="S215:S255" si="11">+Q215+O215+M215</f>
        <v>3346915</v>
      </c>
      <c r="T215" s="45"/>
      <c r="U215" s="44">
        <f t="shared" si="10"/>
        <v>0</v>
      </c>
    </row>
    <row r="216" spans="1:21" s="44" customFormat="1" ht="12.75" customHeight="1">
      <c r="A216" s="44" t="s">
        <v>245</v>
      </c>
      <c r="C216" s="44" t="s">
        <v>110</v>
      </c>
      <c r="E216" s="45">
        <v>3843783</v>
      </c>
      <c r="F216" s="45"/>
      <c r="G216" s="45">
        <v>9235003</v>
      </c>
      <c r="H216" s="45"/>
      <c r="I216" s="45">
        <v>3153231</v>
      </c>
      <c r="J216" s="45"/>
      <c r="K216" s="45">
        <v>5100563</v>
      </c>
      <c r="L216" s="45"/>
      <c r="M216" s="45">
        <v>1516446</v>
      </c>
      <c r="N216" s="45"/>
      <c r="O216" s="45">
        <v>0</v>
      </c>
      <c r="P216" s="45"/>
      <c r="Q216" s="45">
        <v>2617994</v>
      </c>
      <c r="R216" s="45"/>
      <c r="S216" s="45">
        <f t="shared" si="11"/>
        <v>4134440</v>
      </c>
      <c r="T216" s="45"/>
      <c r="U216" s="44">
        <f t="shared" si="10"/>
        <v>0</v>
      </c>
    </row>
    <row r="217" spans="1:21" s="44" customFormat="1" ht="12.75" customHeight="1">
      <c r="A217" s="44" t="s">
        <v>246</v>
      </c>
      <c r="C217" s="44" t="s">
        <v>209</v>
      </c>
      <c r="E217" s="45">
        <v>4349923</v>
      </c>
      <c r="F217" s="45"/>
      <c r="G217" s="45">
        <v>8199375</v>
      </c>
      <c r="H217" s="45"/>
      <c r="I217" s="45">
        <v>2819452</v>
      </c>
      <c r="J217" s="45"/>
      <c r="K217" s="45">
        <v>3898254</v>
      </c>
      <c r="L217" s="45"/>
      <c r="M217" s="45">
        <v>686896</v>
      </c>
      <c r="N217" s="45"/>
      <c r="O217" s="45">
        <v>0</v>
      </c>
      <c r="P217" s="45"/>
      <c r="Q217" s="45">
        <v>3614225</v>
      </c>
      <c r="R217" s="45"/>
      <c r="S217" s="45">
        <f>+Q217+O217+M217</f>
        <v>4301121</v>
      </c>
      <c r="T217" s="45"/>
      <c r="U217" s="44">
        <f>+G217-K217-S217</f>
        <v>0</v>
      </c>
    </row>
    <row r="218" spans="1:21" s="44" customFormat="1" ht="12.75" customHeight="1">
      <c r="A218" s="44" t="s">
        <v>247</v>
      </c>
      <c r="C218" s="44" t="s">
        <v>163</v>
      </c>
      <c r="E218" s="45">
        <v>68982000</v>
      </c>
      <c r="F218" s="45"/>
      <c r="G218" s="45">
        <v>201220000</v>
      </c>
      <c r="H218" s="45"/>
      <c r="I218" s="45">
        <v>72969000</v>
      </c>
      <c r="J218" s="45"/>
      <c r="K218" s="45">
        <v>184684000</v>
      </c>
      <c r="L218" s="45"/>
      <c r="M218" s="45">
        <v>52401000</v>
      </c>
      <c r="N218" s="45"/>
      <c r="O218" s="45">
        <v>0</v>
      </c>
      <c r="P218" s="45"/>
      <c r="Q218" s="45">
        <v>-35865000</v>
      </c>
      <c r="R218" s="45"/>
      <c r="S218" s="45">
        <f t="shared" si="11"/>
        <v>16536000</v>
      </c>
      <c r="T218" s="45"/>
      <c r="U218" s="44">
        <f t="shared" si="10"/>
        <v>0</v>
      </c>
    </row>
    <row r="219" spans="1:21" s="44" customFormat="1" ht="12.75" customHeight="1">
      <c r="A219" s="44" t="s">
        <v>248</v>
      </c>
      <c r="C219" s="44" t="s">
        <v>249</v>
      </c>
      <c r="E219" s="45">
        <v>1770742</v>
      </c>
      <c r="F219" s="45"/>
      <c r="G219" s="45">
        <v>3653085</v>
      </c>
      <c r="H219" s="45"/>
      <c r="I219" s="45">
        <v>1648689</v>
      </c>
      <c r="J219" s="45"/>
      <c r="K219" s="45">
        <v>1776921</v>
      </c>
      <c r="L219" s="45"/>
      <c r="M219" s="45">
        <v>195028</v>
      </c>
      <c r="N219" s="45"/>
      <c r="O219" s="45">
        <v>0</v>
      </c>
      <c r="P219" s="45"/>
      <c r="Q219" s="45">
        <f>1687436-6300</f>
        <v>1681136</v>
      </c>
      <c r="R219" s="45"/>
      <c r="S219" s="45">
        <f t="shared" si="11"/>
        <v>1876164</v>
      </c>
      <c r="T219" s="45"/>
      <c r="U219" s="44">
        <f>+G219-K219-S219</f>
        <v>0</v>
      </c>
    </row>
    <row r="220" spans="1:21" s="44" customFormat="1" ht="12.75" customHeight="1">
      <c r="A220" s="44" t="s">
        <v>250</v>
      </c>
      <c r="C220" s="44" t="s">
        <v>103</v>
      </c>
      <c r="E220" s="45">
        <v>2680930</v>
      </c>
      <c r="F220" s="45"/>
      <c r="G220" s="45">
        <v>3961261</v>
      </c>
      <c r="H220" s="45"/>
      <c r="I220" s="45">
        <v>1056146</v>
      </c>
      <c r="J220" s="45"/>
      <c r="K220" s="45">
        <v>1200916</v>
      </c>
      <c r="L220" s="45"/>
      <c r="M220" s="45">
        <v>23985</v>
      </c>
      <c r="N220" s="45"/>
      <c r="O220" s="45">
        <v>0</v>
      </c>
      <c r="P220" s="45"/>
      <c r="Q220" s="45">
        <v>2736360</v>
      </c>
      <c r="R220" s="45"/>
      <c r="S220" s="45">
        <f t="shared" si="11"/>
        <v>2760345</v>
      </c>
      <c r="T220" s="45"/>
      <c r="U220" s="44">
        <f t="shared" si="10"/>
        <v>0</v>
      </c>
    </row>
    <row r="221" spans="1:21" s="44" customFormat="1" ht="12.75" customHeight="1">
      <c r="A221" s="44" t="s">
        <v>251</v>
      </c>
      <c r="C221" s="44" t="s">
        <v>66</v>
      </c>
      <c r="E221" s="45">
        <v>3152200</v>
      </c>
      <c r="F221" s="45"/>
      <c r="G221" s="45">
        <v>12680831</v>
      </c>
      <c r="H221" s="45"/>
      <c r="I221" s="45">
        <v>7860900</v>
      </c>
      <c r="J221" s="45"/>
      <c r="K221" s="45">
        <v>18941383</v>
      </c>
      <c r="L221" s="45"/>
      <c r="M221" s="45">
        <v>517111</v>
      </c>
      <c r="N221" s="45"/>
      <c r="O221" s="45">
        <v>0</v>
      </c>
      <c r="P221" s="45"/>
      <c r="Q221" s="45">
        <v>-6777663</v>
      </c>
      <c r="R221" s="45"/>
      <c r="S221" s="45">
        <f>+Q221+O221+M221</f>
        <v>-6260552</v>
      </c>
      <c r="T221" s="45"/>
      <c r="U221" s="44">
        <f>+G221-K221-S221</f>
        <v>0</v>
      </c>
    </row>
    <row r="222" spans="1:21" s="44" customFormat="1" ht="12.75" customHeight="1">
      <c r="A222" s="44" t="s">
        <v>252</v>
      </c>
      <c r="C222" s="44" t="s">
        <v>209</v>
      </c>
      <c r="E222" s="45">
        <v>42688937</v>
      </c>
      <c r="F222" s="45"/>
      <c r="G222" s="45">
        <v>51561844</v>
      </c>
      <c r="H222" s="45"/>
      <c r="I222" s="45">
        <v>4161724</v>
      </c>
      <c r="J222" s="45"/>
      <c r="K222" s="45">
        <v>5673887</v>
      </c>
      <c r="L222" s="45"/>
      <c r="M222" s="45">
        <v>2594236</v>
      </c>
      <c r="N222" s="45"/>
      <c r="O222" s="45">
        <v>0</v>
      </c>
      <c r="P222" s="45"/>
      <c r="Q222" s="45">
        <v>43293721</v>
      </c>
      <c r="R222" s="45"/>
      <c r="S222" s="45">
        <f>+Q222+O222+M222</f>
        <v>45887957</v>
      </c>
      <c r="T222" s="45"/>
      <c r="U222" s="44">
        <f t="shared" si="10"/>
        <v>0</v>
      </c>
    </row>
    <row r="223" spans="1:21" s="44" customFormat="1" ht="12.75" customHeight="1">
      <c r="A223" s="44" t="s">
        <v>253</v>
      </c>
      <c r="C223" s="44" t="s">
        <v>13</v>
      </c>
      <c r="E223" s="45">
        <v>17746920</v>
      </c>
      <c r="F223" s="45"/>
      <c r="G223" s="45">
        <v>24247463</v>
      </c>
      <c r="H223" s="45"/>
      <c r="I223" s="45">
        <v>2267661</v>
      </c>
      <c r="J223" s="45"/>
      <c r="K223" s="45">
        <v>3371042</v>
      </c>
      <c r="L223" s="45"/>
      <c r="M223" s="45">
        <f>2399225+219776</f>
        <v>2619001</v>
      </c>
      <c r="N223" s="45"/>
      <c r="O223" s="45">
        <v>0</v>
      </c>
      <c r="P223" s="45"/>
      <c r="Q223" s="45">
        <f>7710646+1954339+154174+8438261</f>
        <v>18257420</v>
      </c>
      <c r="R223" s="45"/>
      <c r="S223" s="45">
        <f>+Q223+O223+M223</f>
        <v>20876421</v>
      </c>
      <c r="T223" s="45"/>
      <c r="U223" s="44">
        <f t="shared" si="10"/>
        <v>0</v>
      </c>
    </row>
    <row r="224" spans="1:21" s="44" customFormat="1" ht="12.75" customHeight="1">
      <c r="A224" s="44" t="s">
        <v>254</v>
      </c>
      <c r="C224" s="44" t="s">
        <v>89</v>
      </c>
      <c r="E224" s="45">
        <v>6602636</v>
      </c>
      <c r="F224" s="45"/>
      <c r="G224" s="45">
        <v>8058242</v>
      </c>
      <c r="H224" s="45"/>
      <c r="I224" s="45">
        <v>1091298</v>
      </c>
      <c r="J224" s="45"/>
      <c r="K224" s="45">
        <v>2233041</v>
      </c>
      <c r="L224" s="45"/>
      <c r="M224" s="45">
        <v>0</v>
      </c>
      <c r="N224" s="45"/>
      <c r="O224" s="45">
        <v>0</v>
      </c>
      <c r="P224" s="45"/>
      <c r="Q224" s="45">
        <v>5825201</v>
      </c>
      <c r="R224" s="45"/>
      <c r="S224" s="45">
        <f t="shared" si="11"/>
        <v>5825201</v>
      </c>
      <c r="T224" s="45"/>
      <c r="U224" s="44">
        <f t="shared" si="10"/>
        <v>0</v>
      </c>
    </row>
    <row r="225" spans="1:21" s="44" customFormat="1" ht="12.75" customHeight="1">
      <c r="A225" s="44" t="s">
        <v>159</v>
      </c>
      <c r="C225" s="44" t="s">
        <v>66</v>
      </c>
      <c r="E225" s="45">
        <v>1433088</v>
      </c>
      <c r="F225" s="45"/>
      <c r="G225" s="45">
        <v>4275281</v>
      </c>
      <c r="H225" s="45"/>
      <c r="I225" s="45">
        <v>2680216</v>
      </c>
      <c r="J225" s="45"/>
      <c r="K225" s="45">
        <v>2820368</v>
      </c>
      <c r="L225" s="45"/>
      <c r="M225" s="45">
        <v>48320</v>
      </c>
      <c r="N225" s="45"/>
      <c r="O225" s="45">
        <v>0</v>
      </c>
      <c r="P225" s="45"/>
      <c r="Q225" s="45">
        <v>1406593</v>
      </c>
      <c r="R225" s="45"/>
      <c r="S225" s="45">
        <f>+Q225+O225+M225</f>
        <v>1454913</v>
      </c>
      <c r="T225" s="45"/>
      <c r="U225" s="44">
        <f>+G225-K225-S225</f>
        <v>0</v>
      </c>
    </row>
    <row r="226" spans="1:21" s="44" customFormat="1" ht="12.75" customHeight="1">
      <c r="A226" s="44" t="s">
        <v>255</v>
      </c>
      <c r="C226" s="44" t="s">
        <v>27</v>
      </c>
      <c r="E226" s="45">
        <v>2449182</v>
      </c>
      <c r="F226" s="45"/>
      <c r="G226" s="45">
        <v>12065049</v>
      </c>
      <c r="H226" s="45"/>
      <c r="I226" s="45">
        <v>8006151</v>
      </c>
      <c r="J226" s="45"/>
      <c r="K226" s="45">
        <v>10290060</v>
      </c>
      <c r="L226" s="45"/>
      <c r="M226" s="45">
        <v>148056</v>
      </c>
      <c r="N226" s="45"/>
      <c r="O226" s="45">
        <v>0</v>
      </c>
      <c r="P226" s="45"/>
      <c r="Q226" s="45">
        <v>1626933</v>
      </c>
      <c r="R226" s="45"/>
      <c r="S226" s="45">
        <f t="shared" si="11"/>
        <v>1774989</v>
      </c>
      <c r="T226" s="45"/>
      <c r="U226" s="44">
        <f t="shared" si="10"/>
        <v>0</v>
      </c>
    </row>
    <row r="227" spans="1:21" s="44" customFormat="1" ht="12.75" customHeight="1">
      <c r="A227" s="44" t="s">
        <v>256</v>
      </c>
      <c r="C227" s="44" t="s">
        <v>43</v>
      </c>
      <c r="E227" s="45">
        <v>45845025</v>
      </c>
      <c r="F227" s="45"/>
      <c r="G227" s="45">
        <v>65763454</v>
      </c>
      <c r="H227" s="45"/>
      <c r="I227" s="45">
        <v>15332092</v>
      </c>
      <c r="J227" s="45"/>
      <c r="K227" s="45">
        <v>20957261</v>
      </c>
      <c r="L227" s="45"/>
      <c r="M227" s="45">
        <v>2964498</v>
      </c>
      <c r="N227" s="45"/>
      <c r="O227" s="45">
        <v>6985742</v>
      </c>
      <c r="P227" s="45"/>
      <c r="Q227" s="45">
        <v>34855953</v>
      </c>
      <c r="R227" s="45"/>
      <c r="S227" s="45">
        <f>+Q227+O227+M227</f>
        <v>44806193</v>
      </c>
      <c r="T227" s="45"/>
      <c r="U227" s="44">
        <f>+G227-K227-S227</f>
        <v>0</v>
      </c>
    </row>
    <row r="228" spans="1:21" s="44" customFormat="1" ht="12.75" customHeight="1">
      <c r="A228" s="44" t="s">
        <v>257</v>
      </c>
      <c r="C228" s="44" t="s">
        <v>258</v>
      </c>
      <c r="E228" s="45">
        <v>1441098</v>
      </c>
      <c r="F228" s="45"/>
      <c r="G228" s="45">
        <v>3007645</v>
      </c>
      <c r="H228" s="45"/>
      <c r="I228" s="45">
        <v>1188911</v>
      </c>
      <c r="J228" s="45"/>
      <c r="K228" s="45">
        <v>1534362</v>
      </c>
      <c r="L228" s="45"/>
      <c r="M228" s="45">
        <v>109951</v>
      </c>
      <c r="N228" s="45"/>
      <c r="O228" s="45">
        <v>0</v>
      </c>
      <c r="P228" s="45"/>
      <c r="Q228" s="45">
        <v>1363332</v>
      </c>
      <c r="R228" s="45"/>
      <c r="S228" s="45">
        <f>+Q228+O228+M228</f>
        <v>1473283</v>
      </c>
      <c r="T228" s="45"/>
      <c r="U228" s="44">
        <f>+G228-K228-S228</f>
        <v>0</v>
      </c>
    </row>
    <row r="229" spans="1:21" s="44" customFormat="1" ht="12.75" customHeight="1">
      <c r="A229" s="44" t="s">
        <v>259</v>
      </c>
      <c r="C229" s="44" t="s">
        <v>343</v>
      </c>
      <c r="E229" s="45">
        <v>4236865</v>
      </c>
      <c r="F229" s="45"/>
      <c r="G229" s="45">
        <v>7322435</v>
      </c>
      <c r="H229" s="45"/>
      <c r="I229" s="45">
        <v>1514929</v>
      </c>
      <c r="J229" s="45"/>
      <c r="K229" s="45">
        <v>2407064</v>
      </c>
      <c r="L229" s="45"/>
      <c r="M229" s="45">
        <v>481407</v>
      </c>
      <c r="N229" s="45"/>
      <c r="O229" s="45">
        <v>0</v>
      </c>
      <c r="P229" s="45"/>
      <c r="Q229" s="45">
        <v>4433964</v>
      </c>
      <c r="R229" s="45"/>
      <c r="S229" s="45">
        <f t="shared" si="11"/>
        <v>4915371</v>
      </c>
      <c r="T229" s="45"/>
      <c r="U229" s="44">
        <f t="shared" si="10"/>
        <v>0</v>
      </c>
    </row>
    <row r="230" spans="1:21" s="44" customFormat="1" ht="12.75" customHeight="1">
      <c r="A230" s="44" t="s">
        <v>261</v>
      </c>
      <c r="C230" s="44" t="s">
        <v>66</v>
      </c>
      <c r="E230" s="45">
        <v>23686507</v>
      </c>
      <c r="F230" s="45"/>
      <c r="G230" s="45">
        <v>34685111</v>
      </c>
      <c r="H230" s="45"/>
      <c r="I230" s="45">
        <v>5230275</v>
      </c>
      <c r="J230" s="45"/>
      <c r="K230" s="45">
        <v>10183861</v>
      </c>
      <c r="L230" s="45"/>
      <c r="M230" s="45">
        <v>7896279</v>
      </c>
      <c r="N230" s="45"/>
      <c r="O230" s="45">
        <v>0</v>
      </c>
      <c r="P230" s="45"/>
      <c r="Q230" s="45">
        <v>16604971</v>
      </c>
      <c r="R230" s="45"/>
      <c r="S230" s="45">
        <f t="shared" si="11"/>
        <v>24501250</v>
      </c>
      <c r="T230" s="45"/>
      <c r="U230" s="44">
        <f t="shared" si="10"/>
        <v>0</v>
      </c>
    </row>
    <row r="231" spans="1:21" s="44" customFormat="1" ht="12.75" customHeight="1">
      <c r="A231" s="44" t="s">
        <v>262</v>
      </c>
      <c r="C231" s="44" t="s">
        <v>132</v>
      </c>
      <c r="E231" s="45">
        <f>4873990+365</f>
        <v>4874355</v>
      </c>
      <c r="F231" s="45"/>
      <c r="G231" s="45">
        <v>10356504</v>
      </c>
      <c r="H231" s="45"/>
      <c r="I231" s="45">
        <v>3615684</v>
      </c>
      <c r="J231" s="45"/>
      <c r="K231" s="45">
        <v>7088562</v>
      </c>
      <c r="L231" s="45"/>
      <c r="M231" s="45">
        <f>362225+31835+538295</f>
        <v>932355</v>
      </c>
      <c r="N231" s="45"/>
      <c r="O231" s="45">
        <v>0</v>
      </c>
      <c r="P231" s="45"/>
      <c r="Q231" s="45">
        <f>983301+2276385+267829-1191928</f>
        <v>2335587</v>
      </c>
      <c r="R231" s="45"/>
      <c r="S231" s="45">
        <f t="shared" si="11"/>
        <v>3267942</v>
      </c>
      <c r="T231" s="45"/>
      <c r="U231" s="44">
        <f t="shared" si="10"/>
        <v>0</v>
      </c>
    </row>
    <row r="232" spans="1:21" s="44" customFormat="1" ht="12.75" customHeight="1">
      <c r="A232" s="44" t="s">
        <v>263</v>
      </c>
      <c r="C232" s="44" t="s">
        <v>53</v>
      </c>
      <c r="E232" s="45">
        <v>13212790</v>
      </c>
      <c r="F232" s="45"/>
      <c r="G232" s="45">
        <v>24123843</v>
      </c>
      <c r="H232" s="45"/>
      <c r="I232" s="45">
        <v>5290309</v>
      </c>
      <c r="J232" s="45"/>
      <c r="K232" s="45">
        <v>10063696</v>
      </c>
      <c r="L232" s="45"/>
      <c r="M232" s="45">
        <v>5866517</v>
      </c>
      <c r="N232" s="45"/>
      <c r="O232" s="45">
        <v>0</v>
      </c>
      <c r="P232" s="45"/>
      <c r="Q232" s="45">
        <v>8193630</v>
      </c>
      <c r="R232" s="45"/>
      <c r="S232" s="45">
        <f t="shared" si="11"/>
        <v>14060147</v>
      </c>
      <c r="T232" s="45"/>
      <c r="U232" s="44">
        <f t="shared" si="10"/>
        <v>0</v>
      </c>
    </row>
    <row r="233" spans="1:21" s="44" customFormat="1" ht="12.75" customHeight="1">
      <c r="A233" s="44" t="s">
        <v>264</v>
      </c>
      <c r="C233" s="44" t="s">
        <v>239</v>
      </c>
      <c r="E233" s="45">
        <v>7309416</v>
      </c>
      <c r="F233" s="45"/>
      <c r="G233" s="45">
        <v>12181766</v>
      </c>
      <c r="H233" s="45"/>
      <c r="I233" s="45">
        <v>3587239</v>
      </c>
      <c r="J233" s="45"/>
      <c r="K233" s="45">
        <v>4295314</v>
      </c>
      <c r="L233" s="45"/>
      <c r="M233" s="45">
        <v>2063854</v>
      </c>
      <c r="N233" s="45"/>
      <c r="O233" s="45">
        <v>0</v>
      </c>
      <c r="P233" s="45"/>
      <c r="Q233" s="45">
        <v>5822598</v>
      </c>
      <c r="R233" s="45"/>
      <c r="S233" s="45">
        <f t="shared" si="11"/>
        <v>7886452</v>
      </c>
      <c r="T233" s="45"/>
      <c r="U233" s="44">
        <f t="shared" si="10"/>
        <v>0</v>
      </c>
    </row>
    <row r="234" spans="1:21" s="44" customFormat="1" ht="12.75" customHeight="1">
      <c r="A234" s="44" t="s">
        <v>111</v>
      </c>
      <c r="C234" s="44" t="s">
        <v>80</v>
      </c>
      <c r="E234" s="45">
        <v>6075052</v>
      </c>
      <c r="F234" s="45"/>
      <c r="G234" s="45">
        <v>21240803</v>
      </c>
      <c r="H234" s="45"/>
      <c r="I234" s="45">
        <v>4242467</v>
      </c>
      <c r="J234" s="45"/>
      <c r="K234" s="45">
        <v>7170998</v>
      </c>
      <c r="L234" s="45"/>
      <c r="M234" s="45">
        <v>8568609</v>
      </c>
      <c r="N234" s="45"/>
      <c r="O234" s="45">
        <v>0</v>
      </c>
      <c r="P234" s="45"/>
      <c r="Q234" s="45">
        <v>5501196</v>
      </c>
      <c r="R234" s="45"/>
      <c r="S234" s="45">
        <f t="shared" si="11"/>
        <v>14069805</v>
      </c>
      <c r="T234" s="45"/>
      <c r="U234" s="44">
        <f t="shared" si="10"/>
        <v>0</v>
      </c>
    </row>
    <row r="235" spans="1:21" s="44" customFormat="1" ht="12.75" customHeight="1">
      <c r="A235" s="44" t="s">
        <v>265</v>
      </c>
      <c r="C235" s="44" t="s">
        <v>27</v>
      </c>
      <c r="E235" s="45">
        <v>4295563</v>
      </c>
      <c r="F235" s="45"/>
      <c r="G235" s="45">
        <v>11257109</v>
      </c>
      <c r="H235" s="45"/>
      <c r="I235" s="45">
        <v>5159114</v>
      </c>
      <c r="J235" s="45"/>
      <c r="K235" s="45">
        <v>7409485</v>
      </c>
      <c r="L235" s="45"/>
      <c r="M235" s="45">
        <v>121245</v>
      </c>
      <c r="N235" s="45"/>
      <c r="O235" s="45">
        <v>0</v>
      </c>
      <c r="P235" s="45"/>
      <c r="Q235" s="45">
        <v>3726379</v>
      </c>
      <c r="R235" s="45"/>
      <c r="S235" s="45">
        <f>+Q235+O235+M235</f>
        <v>3847624</v>
      </c>
      <c r="T235" s="45"/>
      <c r="U235" s="44">
        <f>+G235-K235-S235</f>
        <v>0</v>
      </c>
    </row>
    <row r="236" spans="1:21" s="44" customFormat="1" ht="12.75" customHeight="1">
      <c r="A236" s="44" t="s">
        <v>40</v>
      </c>
      <c r="C236" s="47" t="s">
        <v>452</v>
      </c>
      <c r="E236" s="45">
        <v>10581733</v>
      </c>
      <c r="F236" s="45"/>
      <c r="G236" s="45">
        <v>14648922</v>
      </c>
      <c r="H236" s="45"/>
      <c r="I236" s="45">
        <v>2827543</v>
      </c>
      <c r="J236" s="45"/>
      <c r="K236" s="45">
        <v>3362090</v>
      </c>
      <c r="L236" s="45"/>
      <c r="M236" s="45">
        <v>199916</v>
      </c>
      <c r="N236" s="45"/>
      <c r="O236" s="45">
        <v>0</v>
      </c>
      <c r="P236" s="45"/>
      <c r="Q236" s="45">
        <v>11086916</v>
      </c>
      <c r="R236" s="45"/>
      <c r="S236" s="45">
        <f t="shared" si="11"/>
        <v>11286832</v>
      </c>
      <c r="T236" s="45"/>
      <c r="U236" s="44">
        <f t="shared" si="10"/>
        <v>0</v>
      </c>
    </row>
    <row r="237" spans="1:21" s="44" customFormat="1" ht="12.75" customHeight="1">
      <c r="A237" s="44" t="s">
        <v>266</v>
      </c>
      <c r="C237" s="44" t="s">
        <v>267</v>
      </c>
      <c r="E237" s="45">
        <v>4115028</v>
      </c>
      <c r="F237" s="45"/>
      <c r="G237" s="45">
        <v>6355750</v>
      </c>
      <c r="H237" s="45"/>
      <c r="I237" s="45">
        <v>805756</v>
      </c>
      <c r="J237" s="45"/>
      <c r="K237" s="45">
        <v>1078596</v>
      </c>
      <c r="L237" s="45"/>
      <c r="M237" s="45">
        <v>850836</v>
      </c>
      <c r="N237" s="45"/>
      <c r="O237" s="45">
        <v>0</v>
      </c>
      <c r="P237" s="45"/>
      <c r="Q237" s="45">
        <v>4426318</v>
      </c>
      <c r="R237" s="45"/>
      <c r="S237" s="45">
        <f t="shared" si="11"/>
        <v>5277154</v>
      </c>
      <c r="T237" s="45"/>
      <c r="U237" s="44">
        <f t="shared" si="10"/>
        <v>0</v>
      </c>
    </row>
    <row r="238" spans="1:21" s="44" customFormat="1" ht="12.75" customHeight="1">
      <c r="A238" s="44" t="s">
        <v>268</v>
      </c>
      <c r="C238" s="44" t="s">
        <v>269</v>
      </c>
      <c r="E238" s="45">
        <v>1462354</v>
      </c>
      <c r="F238" s="45"/>
      <c r="G238" s="45">
        <v>3371157</v>
      </c>
      <c r="H238" s="45"/>
      <c r="I238" s="45">
        <v>1539699</v>
      </c>
      <c r="J238" s="45"/>
      <c r="K238" s="45">
        <v>1717339</v>
      </c>
      <c r="L238" s="45"/>
      <c r="M238" s="45">
        <v>54418</v>
      </c>
      <c r="N238" s="45"/>
      <c r="O238" s="45">
        <v>0</v>
      </c>
      <c r="P238" s="45"/>
      <c r="Q238" s="45">
        <v>1599400</v>
      </c>
      <c r="R238" s="45"/>
      <c r="S238" s="45">
        <f t="shared" si="11"/>
        <v>1653818</v>
      </c>
      <c r="T238" s="45"/>
      <c r="U238" s="44">
        <f t="shared" si="10"/>
        <v>0</v>
      </c>
    </row>
    <row r="239" spans="1:21" s="44" customFormat="1" ht="12.75" customHeight="1">
      <c r="A239" s="44" t="s">
        <v>270</v>
      </c>
      <c r="C239" s="44" t="s">
        <v>136</v>
      </c>
      <c r="E239" s="45">
        <v>3394612</v>
      </c>
      <c r="F239" s="45"/>
      <c r="G239" s="45">
        <v>6131274</v>
      </c>
      <c r="H239" s="45"/>
      <c r="I239" s="45">
        <v>751029</v>
      </c>
      <c r="J239" s="45"/>
      <c r="K239" s="45">
        <v>1929222</v>
      </c>
      <c r="L239" s="45"/>
      <c r="M239" s="45">
        <v>457062</v>
      </c>
      <c r="N239" s="45"/>
      <c r="O239" s="45">
        <v>0</v>
      </c>
      <c r="P239" s="45"/>
      <c r="Q239" s="45">
        <v>3744990</v>
      </c>
      <c r="R239" s="45"/>
      <c r="S239" s="45">
        <f>+Q239+O239+M239</f>
        <v>4202052</v>
      </c>
      <c r="T239" s="45"/>
      <c r="U239" s="44">
        <f>+G239-K239-S239</f>
        <v>0</v>
      </c>
    </row>
    <row r="240" spans="1:21" s="44" customFormat="1" ht="12.75" customHeight="1">
      <c r="A240" s="44" t="s">
        <v>271</v>
      </c>
      <c r="C240" s="44" t="s">
        <v>66</v>
      </c>
      <c r="E240" s="45">
        <v>3202144</v>
      </c>
      <c r="F240" s="45"/>
      <c r="G240" s="45">
        <v>7839967</v>
      </c>
      <c r="H240" s="45"/>
      <c r="I240" s="45">
        <v>2993227</v>
      </c>
      <c r="J240" s="45"/>
      <c r="K240" s="45">
        <v>3908506</v>
      </c>
      <c r="L240" s="45"/>
      <c r="M240" s="45">
        <v>1098543</v>
      </c>
      <c r="N240" s="45"/>
      <c r="O240" s="45">
        <v>0</v>
      </c>
      <c r="P240" s="45"/>
      <c r="Q240" s="45">
        <v>2832918</v>
      </c>
      <c r="R240" s="45"/>
      <c r="S240" s="45">
        <f t="shared" si="11"/>
        <v>3931461</v>
      </c>
      <c r="T240" s="45"/>
      <c r="U240" s="44">
        <f t="shared" si="10"/>
        <v>0</v>
      </c>
    </row>
    <row r="241" spans="1:21" s="44" customFormat="1" ht="12.75" customHeight="1">
      <c r="A241" s="44" t="s">
        <v>272</v>
      </c>
      <c r="C241" s="44" t="s">
        <v>43</v>
      </c>
      <c r="E241" s="45">
        <v>43683508</v>
      </c>
      <c r="F241" s="45"/>
      <c r="G241" s="45">
        <v>73479945</v>
      </c>
      <c r="H241" s="45"/>
      <c r="I241" s="45">
        <v>16384135</v>
      </c>
      <c r="J241" s="45"/>
      <c r="K241" s="45">
        <v>29143363</v>
      </c>
      <c r="L241" s="45"/>
      <c r="M241" s="45">
        <v>11757332</v>
      </c>
      <c r="N241" s="45"/>
      <c r="O241" s="45">
        <v>0</v>
      </c>
      <c r="P241" s="45"/>
      <c r="Q241" s="45">
        <v>32579250</v>
      </c>
      <c r="R241" s="45"/>
      <c r="S241" s="45">
        <f t="shared" si="11"/>
        <v>44336582</v>
      </c>
      <c r="T241" s="45"/>
      <c r="U241" s="44">
        <f t="shared" si="10"/>
        <v>0</v>
      </c>
    </row>
    <row r="242" spans="1:21" s="44" customFormat="1" ht="12.75" customHeight="1">
      <c r="A242" s="44" t="s">
        <v>273</v>
      </c>
      <c r="C242" s="44" t="s">
        <v>27</v>
      </c>
      <c r="E242" s="45">
        <v>59854757</v>
      </c>
      <c r="F242" s="45"/>
      <c r="G242" s="45">
        <v>92983860</v>
      </c>
      <c r="H242" s="45"/>
      <c r="I242" s="45">
        <v>21034900</v>
      </c>
      <c r="J242" s="45"/>
      <c r="K242" s="45">
        <v>28550072</v>
      </c>
      <c r="L242" s="45"/>
      <c r="M242" s="45">
        <v>10593971</v>
      </c>
      <c r="N242" s="45"/>
      <c r="O242" s="45">
        <v>8730585</v>
      </c>
      <c r="P242" s="45"/>
      <c r="Q242" s="45">
        <v>45109232</v>
      </c>
      <c r="R242" s="45"/>
      <c r="S242" s="45">
        <f t="shared" si="11"/>
        <v>64433788</v>
      </c>
      <c r="T242" s="45"/>
      <c r="U242" s="44">
        <f t="shared" si="10"/>
        <v>0</v>
      </c>
    </row>
    <row r="243" spans="1:21" s="44" customFormat="1" ht="12.75" customHeight="1">
      <c r="A243" s="44" t="s">
        <v>274</v>
      </c>
      <c r="C243" s="44" t="s">
        <v>43</v>
      </c>
      <c r="E243" s="45">
        <v>9411390</v>
      </c>
      <c r="F243" s="45"/>
      <c r="G243" s="45">
        <v>14362046</v>
      </c>
      <c r="H243" s="45"/>
      <c r="I243" s="45">
        <v>2362943</v>
      </c>
      <c r="J243" s="45"/>
      <c r="K243" s="45">
        <v>4454014</v>
      </c>
      <c r="L243" s="45"/>
      <c r="M243" s="45">
        <v>2626423</v>
      </c>
      <c r="N243" s="45"/>
      <c r="O243" s="45">
        <v>0</v>
      </c>
      <c r="P243" s="45"/>
      <c r="Q243" s="45">
        <v>7281609</v>
      </c>
      <c r="R243" s="45"/>
      <c r="S243" s="45">
        <f t="shared" si="11"/>
        <v>9908032</v>
      </c>
      <c r="T243" s="45"/>
      <c r="U243" s="44">
        <f t="shared" si="10"/>
        <v>0</v>
      </c>
    </row>
    <row r="244" spans="1:21" s="44" customFormat="1" ht="12.75" customHeight="1">
      <c r="A244" s="44" t="s">
        <v>275</v>
      </c>
      <c r="C244" s="44" t="s">
        <v>92</v>
      </c>
      <c r="E244" s="45">
        <v>10458883</v>
      </c>
      <c r="F244" s="45"/>
      <c r="G244" s="45">
        <v>15935729</v>
      </c>
      <c r="H244" s="45"/>
      <c r="I244" s="45">
        <v>3997004</v>
      </c>
      <c r="J244" s="45"/>
      <c r="K244" s="45">
        <v>4752275</v>
      </c>
      <c r="L244" s="45"/>
      <c r="M244" s="45">
        <v>266138</v>
      </c>
      <c r="N244" s="45"/>
      <c r="O244" s="45">
        <v>0</v>
      </c>
      <c r="P244" s="45"/>
      <c r="Q244" s="45">
        <v>10917316</v>
      </c>
      <c r="R244" s="45"/>
      <c r="S244" s="45">
        <f t="shared" si="11"/>
        <v>11183454</v>
      </c>
      <c r="T244" s="45"/>
      <c r="U244" s="44">
        <f t="shared" si="10"/>
        <v>0</v>
      </c>
    </row>
    <row r="245" spans="1:21" s="44" customFormat="1" ht="12.75" customHeight="1">
      <c r="A245" s="44" t="s">
        <v>276</v>
      </c>
      <c r="C245" s="44" t="s">
        <v>38</v>
      </c>
      <c r="E245" s="45">
        <v>6594546</v>
      </c>
      <c r="F245" s="45"/>
      <c r="G245" s="45">
        <v>8640149</v>
      </c>
      <c r="H245" s="45"/>
      <c r="I245" s="45">
        <v>663990</v>
      </c>
      <c r="J245" s="45"/>
      <c r="K245" s="45">
        <v>3104276</v>
      </c>
      <c r="L245" s="45"/>
      <c r="M245" s="45">
        <v>1813712</v>
      </c>
      <c r="N245" s="45"/>
      <c r="O245" s="45">
        <v>0</v>
      </c>
      <c r="P245" s="45"/>
      <c r="Q245" s="45">
        <v>3722161</v>
      </c>
      <c r="R245" s="45"/>
      <c r="S245" s="45">
        <f t="shared" si="11"/>
        <v>5535873</v>
      </c>
      <c r="T245" s="45"/>
      <c r="U245" s="44">
        <f t="shared" si="10"/>
        <v>0</v>
      </c>
    </row>
    <row r="246" spans="1:21" s="44" customFormat="1" ht="12.75" customHeight="1">
      <c r="A246" s="44" t="s">
        <v>277</v>
      </c>
      <c r="C246" s="44" t="s">
        <v>92</v>
      </c>
      <c r="E246" s="45">
        <v>15300928</v>
      </c>
      <c r="F246" s="45"/>
      <c r="G246" s="45">
        <v>32277937</v>
      </c>
      <c r="H246" s="45"/>
      <c r="I246" s="45">
        <v>8095066</v>
      </c>
      <c r="J246" s="45"/>
      <c r="K246" s="45">
        <v>15806290</v>
      </c>
      <c r="L246" s="45"/>
      <c r="M246" s="45">
        <v>7114706</v>
      </c>
      <c r="N246" s="45"/>
      <c r="O246" s="45">
        <v>0</v>
      </c>
      <c r="P246" s="45"/>
      <c r="Q246" s="45">
        <v>9356941</v>
      </c>
      <c r="R246" s="45"/>
      <c r="S246" s="45">
        <f t="shared" si="11"/>
        <v>16471647</v>
      </c>
      <c r="T246" s="45"/>
      <c r="U246" s="44">
        <f t="shared" si="10"/>
        <v>0</v>
      </c>
    </row>
    <row r="247" spans="1:21" s="44" customFormat="1" ht="12.75" customHeight="1">
      <c r="A247" s="44" t="s">
        <v>278</v>
      </c>
      <c r="C247" s="44" t="s">
        <v>92</v>
      </c>
      <c r="E247" s="45">
        <v>808688</v>
      </c>
      <c r="F247" s="45"/>
      <c r="G247" s="45">
        <v>5784216</v>
      </c>
      <c r="H247" s="45"/>
      <c r="I247" s="45">
        <v>3800273</v>
      </c>
      <c r="J247" s="45"/>
      <c r="K247" s="45">
        <v>4978341</v>
      </c>
      <c r="L247" s="45"/>
      <c r="M247" s="45">
        <v>539807</v>
      </c>
      <c r="N247" s="45"/>
      <c r="O247" s="45">
        <v>0</v>
      </c>
      <c r="P247" s="45"/>
      <c r="Q247" s="45">
        <v>266068</v>
      </c>
      <c r="R247" s="45"/>
      <c r="S247" s="45">
        <f t="shared" si="11"/>
        <v>805875</v>
      </c>
      <c r="T247" s="45"/>
      <c r="U247" s="44">
        <f t="shared" si="10"/>
        <v>0</v>
      </c>
    </row>
    <row r="248" spans="1:21" s="44" customFormat="1" ht="12.75" customHeight="1">
      <c r="A248" s="44" t="s">
        <v>279</v>
      </c>
      <c r="C248" s="44" t="s">
        <v>92</v>
      </c>
      <c r="E248" s="45">
        <v>7819721</v>
      </c>
      <c r="F248" s="45"/>
      <c r="G248" s="45">
        <v>15507127</v>
      </c>
      <c r="H248" s="45"/>
      <c r="I248" s="45">
        <v>6968465</v>
      </c>
      <c r="J248" s="45"/>
      <c r="K248" s="45">
        <v>8193111</v>
      </c>
      <c r="L248" s="45"/>
      <c r="M248" s="45">
        <v>2504950</v>
      </c>
      <c r="N248" s="45"/>
      <c r="O248" s="45">
        <v>0</v>
      </c>
      <c r="P248" s="45"/>
      <c r="Q248" s="45">
        <v>4809066</v>
      </c>
      <c r="R248" s="45"/>
      <c r="S248" s="45">
        <f t="shared" si="11"/>
        <v>7314016</v>
      </c>
      <c r="T248" s="45"/>
      <c r="U248" s="44">
        <f t="shared" si="10"/>
        <v>0</v>
      </c>
    </row>
    <row r="249" spans="1:21" s="44" customFormat="1" ht="12.75" customHeight="1">
      <c r="A249" s="44" t="s">
        <v>280</v>
      </c>
      <c r="C249" s="44" t="s">
        <v>281</v>
      </c>
      <c r="E249" s="45">
        <v>5668184</v>
      </c>
      <c r="F249" s="45"/>
      <c r="G249" s="45">
        <v>12424048</v>
      </c>
      <c r="H249" s="45"/>
      <c r="I249" s="45">
        <v>5127406</v>
      </c>
      <c r="J249" s="45"/>
      <c r="K249" s="45">
        <v>7162807</v>
      </c>
      <c r="L249" s="45"/>
      <c r="M249" s="45">
        <v>864387</v>
      </c>
      <c r="N249" s="45"/>
      <c r="O249" s="45">
        <v>0</v>
      </c>
      <c r="P249" s="45"/>
      <c r="Q249" s="45">
        <v>4396854</v>
      </c>
      <c r="R249" s="45"/>
      <c r="S249" s="45">
        <f t="shared" si="11"/>
        <v>5261241</v>
      </c>
      <c r="T249" s="45"/>
      <c r="U249" s="44">
        <f t="shared" si="10"/>
        <v>0</v>
      </c>
    </row>
    <row r="250" spans="1:21" s="44" customFormat="1" ht="12.75" customHeight="1">
      <c r="A250" s="44" t="s">
        <v>282</v>
      </c>
      <c r="C250" s="44" t="s">
        <v>199</v>
      </c>
      <c r="E250" s="45">
        <v>24720804</v>
      </c>
      <c r="F250" s="45"/>
      <c r="G250" s="45">
        <v>34527765</v>
      </c>
      <c r="H250" s="45"/>
      <c r="I250" s="45">
        <v>6871866</v>
      </c>
      <c r="J250" s="45"/>
      <c r="K250" s="45">
        <v>8445687</v>
      </c>
      <c r="L250" s="45"/>
      <c r="M250" s="45">
        <f>5204939+478500</f>
        <v>5683439</v>
      </c>
      <c r="N250" s="45"/>
      <c r="O250" s="45">
        <v>0</v>
      </c>
      <c r="P250" s="45"/>
      <c r="Q250" s="45">
        <f>11421600+2520263+5881154+575622</f>
        <v>20398639</v>
      </c>
      <c r="R250" s="45"/>
      <c r="S250" s="45">
        <f t="shared" si="11"/>
        <v>26082078</v>
      </c>
      <c r="T250" s="45"/>
      <c r="U250" s="44">
        <f t="shared" si="10"/>
        <v>0</v>
      </c>
    </row>
    <row r="251" spans="1:21" s="44" customFormat="1" ht="12.75" customHeight="1">
      <c r="A251" s="44" t="s">
        <v>283</v>
      </c>
      <c r="C251" s="44" t="s">
        <v>43</v>
      </c>
      <c r="E251" s="45">
        <v>15808331</v>
      </c>
      <c r="F251" s="45"/>
      <c r="G251" s="45">
        <v>23751487</v>
      </c>
      <c r="H251" s="45"/>
      <c r="I251" s="45">
        <v>3775250</v>
      </c>
      <c r="J251" s="45"/>
      <c r="K251" s="45">
        <v>7114019</v>
      </c>
      <c r="L251" s="45"/>
      <c r="M251" s="45">
        <v>2541842</v>
      </c>
      <c r="N251" s="45"/>
      <c r="O251" s="45">
        <v>0</v>
      </c>
      <c r="P251" s="45"/>
      <c r="Q251" s="45">
        <v>14095626</v>
      </c>
      <c r="R251" s="45"/>
      <c r="S251" s="45">
        <f t="shared" si="11"/>
        <v>16637468</v>
      </c>
      <c r="T251" s="45"/>
      <c r="U251" s="44">
        <f t="shared" si="10"/>
        <v>0</v>
      </c>
    </row>
    <row r="252" spans="1:21" s="44" customFormat="1" ht="12.75" customHeight="1">
      <c r="A252" s="44" t="s">
        <v>284</v>
      </c>
      <c r="C252" s="44" t="s">
        <v>45</v>
      </c>
      <c r="E252" s="45">
        <v>7741083</v>
      </c>
      <c r="F252" s="45"/>
      <c r="G252" s="45">
        <v>14639876</v>
      </c>
      <c r="H252" s="45"/>
      <c r="I252" s="45">
        <v>4948462</v>
      </c>
      <c r="J252" s="45"/>
      <c r="K252" s="45">
        <v>6726386</v>
      </c>
      <c r="L252" s="45"/>
      <c r="M252" s="45">
        <v>2089349</v>
      </c>
      <c r="N252" s="45"/>
      <c r="O252" s="45">
        <v>0</v>
      </c>
      <c r="P252" s="45"/>
      <c r="Q252" s="45">
        <v>5824141</v>
      </c>
      <c r="R252" s="45"/>
      <c r="S252" s="45">
        <f t="shared" si="11"/>
        <v>7913490</v>
      </c>
      <c r="T252" s="45"/>
      <c r="U252" s="44">
        <f t="shared" si="10"/>
        <v>0</v>
      </c>
    </row>
    <row r="253" spans="1:21" s="44" customFormat="1" ht="12.75" customHeight="1">
      <c r="A253" s="44" t="s">
        <v>285</v>
      </c>
      <c r="C253" s="44" t="s">
        <v>30</v>
      </c>
      <c r="E253" s="45">
        <v>7126479</v>
      </c>
      <c r="F253" s="45"/>
      <c r="G253" s="45">
        <v>13585216</v>
      </c>
      <c r="H253" s="45"/>
      <c r="I253" s="45">
        <v>3689418</v>
      </c>
      <c r="J253" s="45"/>
      <c r="K253" s="45">
        <v>4823759</v>
      </c>
      <c r="L253" s="45"/>
      <c r="M253" s="45">
        <v>860647</v>
      </c>
      <c r="N253" s="45"/>
      <c r="O253" s="45">
        <v>0</v>
      </c>
      <c r="P253" s="45"/>
      <c r="Q253" s="45">
        <v>7900810</v>
      </c>
      <c r="R253" s="45"/>
      <c r="S253" s="45">
        <f t="shared" si="11"/>
        <v>8761457</v>
      </c>
      <c r="T253" s="45"/>
      <c r="U253" s="44">
        <f t="shared" si="10"/>
        <v>0</v>
      </c>
    </row>
    <row r="254" spans="1:21" s="44" customFormat="1" ht="12.75" customHeight="1">
      <c r="A254" s="44" t="s">
        <v>286</v>
      </c>
      <c r="C254" s="44" t="s">
        <v>61</v>
      </c>
      <c r="E254" s="45">
        <v>5606011</v>
      </c>
      <c r="F254" s="45"/>
      <c r="G254" s="45">
        <v>29993952</v>
      </c>
      <c r="H254" s="45"/>
      <c r="I254" s="45">
        <v>1871707</v>
      </c>
      <c r="J254" s="45"/>
      <c r="K254" s="45">
        <v>35166572</v>
      </c>
      <c r="L254" s="45"/>
      <c r="M254" s="45">
        <v>1809367</v>
      </c>
      <c r="N254" s="45"/>
      <c r="O254" s="45">
        <v>0</v>
      </c>
      <c r="P254" s="45"/>
      <c r="Q254" s="45">
        <v>-6981987</v>
      </c>
      <c r="R254" s="45"/>
      <c r="S254" s="45">
        <f t="shared" si="11"/>
        <v>-5172620</v>
      </c>
      <c r="T254" s="45"/>
      <c r="U254" s="44">
        <f t="shared" si="10"/>
        <v>0</v>
      </c>
    </row>
    <row r="255" spans="1:21" s="44" customFormat="1" ht="12.75" customHeight="1">
      <c r="A255" s="44" t="s">
        <v>287</v>
      </c>
      <c r="C255" s="44" t="s">
        <v>288</v>
      </c>
      <c r="E255" s="45">
        <v>5637871</v>
      </c>
      <c r="F255" s="45"/>
      <c r="G255" s="45">
        <v>13282728</v>
      </c>
      <c r="H255" s="45"/>
      <c r="I255" s="45">
        <v>3954225</v>
      </c>
      <c r="J255" s="45"/>
      <c r="K255" s="45">
        <v>6330825</v>
      </c>
      <c r="L255" s="45"/>
      <c r="M255" s="45">
        <v>885795</v>
      </c>
      <c r="N255" s="45"/>
      <c r="O255" s="45">
        <v>0</v>
      </c>
      <c r="P255" s="45"/>
      <c r="Q255" s="45">
        <v>6066108</v>
      </c>
      <c r="R255" s="45"/>
      <c r="S255" s="45">
        <f t="shared" si="11"/>
        <v>6951903</v>
      </c>
      <c r="T255" s="45"/>
      <c r="U255" s="44">
        <f t="shared" si="10"/>
        <v>0</v>
      </c>
    </row>
    <row r="256" spans="1:21" s="44" customFormat="1" ht="12.75" customHeight="1"/>
    <row r="257" spans="2:2" s="44" customFormat="1" ht="12.75" customHeight="1"/>
    <row r="258" spans="2:2" s="44" customFormat="1" ht="12.75" customHeight="1">
      <c r="B258" s="51"/>
    </row>
    <row r="259" spans="2:2" s="44" customFormat="1" ht="12.75" customHeight="1">
      <c r="B259" s="51"/>
    </row>
    <row r="260" spans="2:2" s="44" customFormat="1" ht="12.75" customHeight="1">
      <c r="B260" s="51"/>
    </row>
    <row r="261" spans="2:2" s="44" customFormat="1" ht="12.75" customHeight="1">
      <c r="B261" s="51"/>
    </row>
    <row r="262" spans="2:2" s="44" customFormat="1" ht="12.75" customHeight="1">
      <c r="B262" s="51"/>
    </row>
    <row r="263" spans="2:2" s="44" customFormat="1" ht="12.75" customHeight="1">
      <c r="B263" s="51"/>
    </row>
    <row r="264" spans="2:2" s="44" customFormat="1" ht="12.75" customHeight="1">
      <c r="B264" s="51"/>
    </row>
    <row r="265" spans="2:2" s="44" customFormat="1" ht="12.75" customHeight="1">
      <c r="B265" s="51"/>
    </row>
    <row r="266" spans="2:2" s="44" customFormat="1" ht="12.75" customHeight="1">
      <c r="B266" s="51"/>
    </row>
    <row r="267" spans="2:2" s="44" customFormat="1" ht="12.75" customHeight="1">
      <c r="B267" s="51"/>
    </row>
    <row r="268" spans="2:2" s="44" customFormat="1" ht="12.75" customHeight="1">
      <c r="B268" s="51"/>
    </row>
    <row r="269" spans="2:2" s="44" customFormat="1" ht="12.75" customHeight="1">
      <c r="B269" s="51"/>
    </row>
    <row r="270" spans="2:2" s="44" customFormat="1" ht="12.75" customHeight="1">
      <c r="B270" s="51"/>
    </row>
    <row r="271" spans="2:2" s="44" customFormat="1" ht="12.75" customHeight="1">
      <c r="B271" s="51"/>
    </row>
    <row r="272" spans="2:2" s="44" customFormat="1" ht="12.75" customHeight="1">
      <c r="B272" s="51"/>
    </row>
    <row r="273" spans="2:2" s="44" customFormat="1" ht="12.75" customHeight="1">
      <c r="B273" s="51"/>
    </row>
    <row r="274" spans="2:2" s="44" customFormat="1" ht="12.75" customHeight="1">
      <c r="B274" s="51"/>
    </row>
    <row r="275" spans="2:2" s="44" customFormat="1" ht="12.75" customHeight="1">
      <c r="B275" s="51"/>
    </row>
    <row r="276" spans="2:2" s="44" customFormat="1" ht="12.75" customHeight="1">
      <c r="B276" s="51"/>
    </row>
    <row r="277" spans="2:2" s="44" customFormat="1" ht="12.75" customHeight="1">
      <c r="B277" s="51"/>
    </row>
    <row r="278" spans="2:2" s="44" customFormat="1" ht="12.75" customHeight="1">
      <c r="B278" s="51"/>
    </row>
    <row r="279" spans="2:2" s="44" customFormat="1" ht="12.75" customHeight="1">
      <c r="B279" s="51"/>
    </row>
    <row r="280" spans="2:2" s="44" customFormat="1" ht="12.75" customHeight="1">
      <c r="B280" s="51"/>
    </row>
    <row r="281" spans="2:2" s="44" customFormat="1" ht="12.75" customHeight="1">
      <c r="B281" s="51"/>
    </row>
    <row r="282" spans="2:2" s="44" customFormat="1" ht="12.75" customHeight="1">
      <c r="B282" s="51"/>
    </row>
    <row r="283" spans="2:2" s="44" customFormat="1" ht="12.75" customHeight="1">
      <c r="B283" s="51"/>
    </row>
    <row r="284" spans="2:2" s="44" customFormat="1" ht="12.75" customHeight="1">
      <c r="B284" s="51"/>
    </row>
    <row r="285" spans="2:2" s="44" customFormat="1" ht="12.75" customHeight="1">
      <c r="B285" s="51"/>
    </row>
    <row r="286" spans="2:2" s="44" customFormat="1" ht="12.75" customHeight="1">
      <c r="B286" s="51"/>
    </row>
    <row r="287" spans="2:2" s="44" customFormat="1" ht="12.75" customHeight="1">
      <c r="B287" s="51"/>
    </row>
    <row r="288" spans="2:2" s="44" customFormat="1" ht="12.75" customHeight="1">
      <c r="B288" s="51"/>
    </row>
    <row r="289" spans="2:2" s="44" customFormat="1" ht="12.75" customHeight="1">
      <c r="B289" s="51"/>
    </row>
    <row r="290" spans="2:2" s="44" customFormat="1" ht="12.75" customHeight="1">
      <c r="B290" s="51"/>
    </row>
    <row r="291" spans="2:2" s="44" customFormat="1" ht="12.75" customHeight="1">
      <c r="B291" s="51"/>
    </row>
    <row r="292" spans="2:2" s="44" customFormat="1" ht="12.75" customHeight="1">
      <c r="B292" s="51"/>
    </row>
    <row r="293" spans="2:2" s="44" customFormat="1" ht="12.75" customHeight="1">
      <c r="B293" s="51"/>
    </row>
    <row r="294" spans="2:2" s="44" customFormat="1" ht="12.75" customHeight="1">
      <c r="B294" s="51"/>
    </row>
    <row r="295" spans="2:2" s="44" customFormat="1" ht="12.75" customHeight="1">
      <c r="B295" s="51"/>
    </row>
    <row r="296" spans="2:2" s="44" customFormat="1" ht="12.75" customHeight="1">
      <c r="B296" s="51"/>
    </row>
    <row r="297" spans="2:2" s="44" customFormat="1" ht="12.75" customHeight="1">
      <c r="B297" s="51"/>
    </row>
    <row r="298" spans="2:2" s="44" customFormat="1" ht="12.75" customHeight="1">
      <c r="B298" s="51"/>
    </row>
    <row r="299" spans="2:2" s="44" customFormat="1" ht="12.75" customHeight="1">
      <c r="B299" s="51"/>
    </row>
    <row r="300" spans="2:2" s="44" customFormat="1" ht="12.75" customHeight="1">
      <c r="B300" s="51"/>
    </row>
    <row r="301" spans="2:2" s="44" customFormat="1" ht="12.75" customHeight="1">
      <c r="B301" s="51"/>
    </row>
    <row r="302" spans="2:2" s="44" customFormat="1" ht="12.75" customHeight="1">
      <c r="B302" s="51"/>
    </row>
    <row r="303" spans="2:2" s="44" customFormat="1" ht="12.75" customHeight="1">
      <c r="B303" s="51"/>
    </row>
    <row r="304" spans="2:2" s="44" customFormat="1" ht="12.75" customHeight="1">
      <c r="B304" s="51"/>
    </row>
    <row r="305" spans="2:2" s="44" customFormat="1" ht="12.75" customHeight="1">
      <c r="B305" s="51"/>
    </row>
    <row r="306" spans="2:2" s="44" customFormat="1" ht="12.75" customHeight="1">
      <c r="B306" s="51"/>
    </row>
    <row r="307" spans="2:2" s="44" customFormat="1" ht="12.75" customHeight="1">
      <c r="B307" s="51"/>
    </row>
    <row r="308" spans="2:2" s="44" customFormat="1" ht="12.75" customHeight="1">
      <c r="B308" s="51"/>
    </row>
    <row r="309" spans="2:2" s="44" customFormat="1" ht="12.75" customHeight="1">
      <c r="B309" s="51"/>
    </row>
    <row r="310" spans="2:2" s="44" customFormat="1" ht="12.75" customHeight="1">
      <c r="B310" s="51"/>
    </row>
  </sheetData>
  <phoneticPr fontId="4" type="noConversion"/>
  <pageMargins left="0.75" right="0.75" top="0.5" bottom="0.5" header="0" footer="0.25"/>
  <pageSetup scale="85" firstPageNumber="36" pageOrder="overThenDown" orientation="portrait" useFirstPageNumber="1" r:id="rId1"/>
  <headerFooter alignWithMargins="0">
    <oddFooter>&amp;C&amp;"Times New Roman,Regular"&amp;11&amp;P</oddFooter>
  </headerFooter>
  <rowBreaks count="3" manualBreakCount="3">
    <brk id="72" max="18" man="1"/>
    <brk id="133" max="18" man="1"/>
    <brk id="197" max="18" man="1"/>
  </rowBreaks>
  <colBreaks count="1" manualBreakCount="1">
    <brk id="11" min="8" max="2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X335"/>
  <sheetViews>
    <sheetView zoomScaleNormal="100" zoomScaleSheetLayoutView="75" workbookViewId="0">
      <pane xSplit="3" ySplit="7" topLeftCell="D16" activePane="bottomRight" state="frozen"/>
      <selection pane="topRight" activeCell="D1" sqref="D1"/>
      <selection pane="bottomLeft" activeCell="A8" sqref="A8"/>
      <selection pane="bottomRight" activeCell="E21" sqref="E21"/>
    </sheetView>
  </sheetViews>
  <sheetFormatPr defaultRowHeight="12.75" customHeight="1"/>
  <cols>
    <col min="1" max="1" width="15.140625" style="17" customWidth="1"/>
    <col min="2" max="2" width="1.7109375" customWidth="1"/>
    <col min="3" max="3" width="11.28515625" style="17" customWidth="1"/>
    <col min="4" max="4" width="1.7109375" style="10" customWidth="1"/>
    <col min="5" max="5" width="11.7109375" style="17" customWidth="1"/>
    <col min="6" max="6" width="1.7109375" style="17" customWidth="1"/>
    <col min="7" max="7" width="11.7109375" style="17" customWidth="1"/>
    <col min="8" max="8" width="1.7109375" style="17" customWidth="1"/>
    <col min="9" max="9" width="11.7109375" style="17" customWidth="1"/>
    <col min="10" max="10" width="1.7109375" style="17" customWidth="1"/>
    <col min="11" max="11" width="11.7109375" style="17" customWidth="1"/>
    <col min="12" max="12" width="1.7109375" style="17" customWidth="1"/>
    <col min="13" max="13" width="11.7109375" style="17" customWidth="1"/>
    <col min="14" max="14" width="1.7109375" style="17" customWidth="1"/>
    <col min="15" max="15" width="11.7109375" style="17" customWidth="1"/>
    <col min="16" max="16" width="1.7109375" style="17" customWidth="1"/>
    <col min="17" max="17" width="11.7109375" style="17" customWidth="1"/>
    <col min="18" max="18" width="1.7109375" style="17" customWidth="1"/>
    <col min="19" max="19" width="11.7109375" style="2" customWidth="1"/>
    <col min="20" max="20" width="1.7109375" style="17" customWidth="1"/>
    <col min="21" max="21" width="11.7109375" style="32" customWidth="1"/>
    <col min="22" max="22" width="2.5703125" style="10" customWidth="1"/>
    <col min="23" max="23" width="11.5703125" style="10" customWidth="1"/>
    <col min="24" max="24" width="9.140625" style="10"/>
    <col min="25" max="25" width="9.28515625" style="10" bestFit="1" customWidth="1"/>
    <col min="26" max="16384" width="9.140625" style="10"/>
  </cols>
  <sheetData>
    <row r="1" spans="1:23" s="31" customFormat="1" ht="12.75" customHeight="1">
      <c r="A1" s="23" t="s">
        <v>387</v>
      </c>
      <c r="C1" s="23"/>
      <c r="D1" s="10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9"/>
      <c r="T1" s="23"/>
      <c r="U1" s="73"/>
      <c r="V1" s="24"/>
    </row>
    <row r="2" spans="1:23" s="31" customFormat="1" ht="12.75" customHeight="1">
      <c r="A2" s="23" t="s">
        <v>489</v>
      </c>
      <c r="C2" s="23"/>
      <c r="D2" s="10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9"/>
      <c r="T2" s="23"/>
      <c r="U2" s="73"/>
      <c r="V2" s="24"/>
    </row>
    <row r="3" spans="1:23" s="17" customFormat="1" ht="12.75" customHeight="1">
      <c r="A3" s="24" t="s">
        <v>289</v>
      </c>
      <c r="C3" s="11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5"/>
      <c r="T3" s="11"/>
      <c r="U3" s="37"/>
      <c r="V3" s="11"/>
    </row>
    <row r="5" spans="1:23" s="30" customFormat="1" ht="12.75" customHeight="1">
      <c r="A5" s="23"/>
      <c r="C5" s="25"/>
      <c r="D5" s="12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6"/>
      <c r="T5" s="25"/>
      <c r="U5" s="37"/>
      <c r="V5" s="25"/>
      <c r="W5" s="30" t="s">
        <v>294</v>
      </c>
    </row>
    <row r="6" spans="1:23" s="30" customFormat="1" ht="12.75" customHeight="1">
      <c r="A6" s="25"/>
      <c r="C6" s="25"/>
      <c r="D6" s="25"/>
      <c r="E6" s="25" t="s">
        <v>293</v>
      </c>
      <c r="F6" s="25"/>
      <c r="G6" s="25" t="s">
        <v>326</v>
      </c>
      <c r="H6" s="25"/>
      <c r="I6" s="25" t="s">
        <v>294</v>
      </c>
      <c r="J6" s="25"/>
      <c r="K6" s="25" t="s">
        <v>292</v>
      </c>
      <c r="L6" s="25"/>
      <c r="M6" s="25" t="s">
        <v>327</v>
      </c>
      <c r="N6" s="25"/>
      <c r="O6" s="25" t="s">
        <v>328</v>
      </c>
      <c r="P6" s="25"/>
      <c r="Q6" s="25" t="s">
        <v>329</v>
      </c>
      <c r="R6" s="25"/>
      <c r="S6" s="6" t="s">
        <v>330</v>
      </c>
      <c r="T6" s="25"/>
      <c r="U6" s="6" t="s">
        <v>6</v>
      </c>
      <c r="V6" s="25"/>
      <c r="W6" s="30" t="s">
        <v>435</v>
      </c>
    </row>
    <row r="7" spans="1:23" s="98" customFormat="1" ht="12.75" customHeight="1">
      <c r="A7" s="100" t="s">
        <v>8</v>
      </c>
      <c r="C7" s="100" t="s">
        <v>9</v>
      </c>
      <c r="D7" s="26"/>
      <c r="E7" s="100" t="s">
        <v>424</v>
      </c>
      <c r="F7" s="26"/>
      <c r="G7" s="100" t="s">
        <v>299</v>
      </c>
      <c r="H7" s="26"/>
      <c r="I7" s="100" t="s">
        <v>299</v>
      </c>
      <c r="J7" s="26"/>
      <c r="K7" s="100" t="s">
        <v>297</v>
      </c>
      <c r="L7" s="26"/>
      <c r="M7" s="100" t="s">
        <v>331</v>
      </c>
      <c r="N7" s="26"/>
      <c r="O7" s="100" t="s">
        <v>332</v>
      </c>
      <c r="P7" s="26"/>
      <c r="Q7" s="100" t="s">
        <v>401</v>
      </c>
      <c r="R7" s="26"/>
      <c r="S7" s="78" t="s">
        <v>323</v>
      </c>
      <c r="T7" s="26"/>
      <c r="U7" s="78" t="s">
        <v>302</v>
      </c>
      <c r="V7" s="26"/>
      <c r="W7" s="99" t="s">
        <v>436</v>
      </c>
    </row>
    <row r="8" spans="1:23" s="98" customFormat="1" ht="12.75" customHeight="1">
      <c r="A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8"/>
      <c r="T8" s="26"/>
      <c r="U8" s="53"/>
      <c r="V8" s="26"/>
    </row>
    <row r="9" spans="1:23" s="46" customFormat="1" ht="12.75" customHeight="1">
      <c r="A9" s="44" t="s">
        <v>12</v>
      </c>
      <c r="B9" s="49"/>
      <c r="C9" s="44" t="s">
        <v>13</v>
      </c>
      <c r="D9" s="35"/>
      <c r="E9" s="94">
        <v>19425348</v>
      </c>
      <c r="F9" s="94"/>
      <c r="G9" s="94">
        <v>83527383</v>
      </c>
      <c r="H9" s="94"/>
      <c r="I9" s="94">
        <v>2992000</v>
      </c>
      <c r="J9" s="94"/>
      <c r="K9" s="94">
        <v>17692652</v>
      </c>
      <c r="L9" s="94"/>
      <c r="M9" s="94">
        <v>0</v>
      </c>
      <c r="N9" s="94"/>
      <c r="O9" s="94">
        <v>0</v>
      </c>
      <c r="P9" s="94"/>
      <c r="Q9" s="94">
        <v>8655487</v>
      </c>
      <c r="R9" s="94"/>
      <c r="S9" s="46">
        <f>U9-E9-G9-K9-M9-O9-Q9-I9</f>
        <v>23184038</v>
      </c>
      <c r="T9" s="94"/>
      <c r="U9" s="94">
        <v>155476908</v>
      </c>
      <c r="V9" s="64"/>
      <c r="W9" s="46">
        <v>0</v>
      </c>
    </row>
    <row r="10" spans="1:23" s="44" customFormat="1" ht="12.75" customHeight="1">
      <c r="A10" s="44" t="s">
        <v>14</v>
      </c>
      <c r="C10" s="44" t="s">
        <v>15</v>
      </c>
      <c r="D10" s="35"/>
      <c r="E10" s="45">
        <v>1034469</v>
      </c>
      <c r="F10" s="45"/>
      <c r="G10" s="45">
        <v>7691408</v>
      </c>
      <c r="H10" s="45"/>
      <c r="I10" s="45">
        <v>0</v>
      </c>
      <c r="J10" s="45"/>
      <c r="K10" s="45">
        <v>210692</v>
      </c>
      <c r="L10" s="45"/>
      <c r="M10" s="45">
        <v>1309107</v>
      </c>
      <c r="N10" s="45"/>
      <c r="O10" s="45">
        <v>0</v>
      </c>
      <c r="P10" s="45"/>
      <c r="Q10" s="45">
        <v>510218</v>
      </c>
      <c r="R10" s="45"/>
      <c r="S10" s="44">
        <f t="shared" ref="S10:S41" si="0">U10-E10-G10-K10-M10-O10-Q10-I10</f>
        <v>693933</v>
      </c>
      <c r="T10" s="45"/>
      <c r="U10" s="45">
        <v>11449827</v>
      </c>
      <c r="V10" s="35"/>
      <c r="W10" s="45">
        <v>0</v>
      </c>
    </row>
    <row r="11" spans="1:23" s="49" customFormat="1" ht="12.75" customHeight="1">
      <c r="A11" s="44" t="s">
        <v>16</v>
      </c>
      <c r="C11" s="44" t="s">
        <v>17</v>
      </c>
      <c r="D11" s="35"/>
      <c r="E11" s="45">
        <v>1015532</v>
      </c>
      <c r="F11" s="45"/>
      <c r="G11" s="45">
        <v>2078570</v>
      </c>
      <c r="H11" s="45"/>
      <c r="I11" s="45">
        <v>0</v>
      </c>
      <c r="J11" s="45"/>
      <c r="K11" s="45">
        <v>103114</v>
      </c>
      <c r="L11" s="45"/>
      <c r="M11" s="45">
        <v>559159</v>
      </c>
      <c r="N11" s="45"/>
      <c r="O11" s="45">
        <v>0</v>
      </c>
      <c r="P11" s="45"/>
      <c r="Q11" s="45">
        <v>276977</v>
      </c>
      <c r="R11" s="45"/>
      <c r="S11" s="44">
        <f t="shared" si="0"/>
        <v>1372692</v>
      </c>
      <c r="T11" s="45"/>
      <c r="U11" s="45">
        <v>5406044</v>
      </c>
      <c r="V11" s="35"/>
      <c r="W11" s="45">
        <f>15544+14554</f>
        <v>30098</v>
      </c>
    </row>
    <row r="12" spans="1:23" s="49" customFormat="1" ht="12.75" customHeight="1">
      <c r="A12" s="44" t="s">
        <v>18</v>
      </c>
      <c r="C12" s="44" t="s">
        <v>18</v>
      </c>
      <c r="D12" s="35"/>
      <c r="E12" s="45">
        <v>749195</v>
      </c>
      <c r="F12" s="45"/>
      <c r="G12" s="45">
        <v>6771503</v>
      </c>
      <c r="H12" s="45"/>
      <c r="I12" s="45">
        <v>0</v>
      </c>
      <c r="J12" s="45"/>
      <c r="K12" s="45">
        <v>1542410</v>
      </c>
      <c r="L12" s="45"/>
      <c r="M12" s="45">
        <v>1419156</v>
      </c>
      <c r="N12" s="45"/>
      <c r="O12" s="45">
        <v>0</v>
      </c>
      <c r="P12" s="45"/>
      <c r="Q12" s="45">
        <f>40911+676747</f>
        <v>717658</v>
      </c>
      <c r="R12" s="45"/>
      <c r="S12" s="44">
        <f t="shared" si="0"/>
        <v>100683</v>
      </c>
      <c r="T12" s="45"/>
      <c r="U12" s="45">
        <v>11300605</v>
      </c>
      <c r="V12" s="35"/>
      <c r="W12" s="45">
        <v>25000</v>
      </c>
    </row>
    <row r="13" spans="1:23" s="49" customFormat="1" ht="12.75" customHeight="1">
      <c r="A13" s="44" t="s">
        <v>19</v>
      </c>
      <c r="C13" s="44" t="s">
        <v>19</v>
      </c>
      <c r="D13" s="35"/>
      <c r="E13" s="45">
        <v>1015198</v>
      </c>
      <c r="F13" s="45"/>
      <c r="G13" s="45">
        <v>6101497</v>
      </c>
      <c r="H13" s="45"/>
      <c r="I13" s="45">
        <v>0</v>
      </c>
      <c r="J13" s="45"/>
      <c r="K13" s="45">
        <v>165115</v>
      </c>
      <c r="L13" s="45"/>
      <c r="M13" s="45">
        <v>1591787</v>
      </c>
      <c r="N13" s="45"/>
      <c r="O13" s="45">
        <v>0</v>
      </c>
      <c r="P13" s="45"/>
      <c r="Q13" s="45">
        <f>70731+726344</f>
        <v>797075</v>
      </c>
      <c r="R13" s="45"/>
      <c r="S13" s="44">
        <f t="shared" si="0"/>
        <v>531027</v>
      </c>
      <c r="T13" s="45"/>
      <c r="U13" s="45">
        <v>10201699</v>
      </c>
      <c r="V13" s="35"/>
      <c r="W13" s="45">
        <v>800</v>
      </c>
    </row>
    <row r="14" spans="1:23" s="49" customFormat="1" ht="12.75" customHeight="1">
      <c r="A14" s="44" t="s">
        <v>20</v>
      </c>
      <c r="C14" s="44" t="s">
        <v>20</v>
      </c>
      <c r="D14" s="35"/>
      <c r="E14" s="45">
        <v>698365</v>
      </c>
      <c r="F14" s="45"/>
      <c r="G14" s="45">
        <v>5656370</v>
      </c>
      <c r="H14" s="45"/>
      <c r="I14" s="45">
        <v>0</v>
      </c>
      <c r="J14" s="45"/>
      <c r="K14" s="45">
        <v>936596</v>
      </c>
      <c r="L14" s="45"/>
      <c r="M14" s="45">
        <v>1119443</v>
      </c>
      <c r="N14" s="45"/>
      <c r="O14" s="45">
        <v>565</v>
      </c>
      <c r="P14" s="45"/>
      <c r="Q14" s="45">
        <f>1002917+621545</f>
        <v>1624462</v>
      </c>
      <c r="R14" s="45"/>
      <c r="S14" s="44">
        <f t="shared" si="0"/>
        <v>236361</v>
      </c>
      <c r="T14" s="45"/>
      <c r="U14" s="45">
        <v>10272162</v>
      </c>
      <c r="V14" s="35"/>
      <c r="W14" s="45">
        <v>1840</v>
      </c>
    </row>
    <row r="15" spans="1:23" s="49" customFormat="1" ht="12.75" customHeight="1">
      <c r="A15" s="44" t="s">
        <v>21</v>
      </c>
      <c r="C15" s="44" t="s">
        <v>22</v>
      </c>
      <c r="D15" s="35"/>
      <c r="E15" s="45">
        <v>1388151</v>
      </c>
      <c r="F15" s="45"/>
      <c r="G15" s="45">
        <v>10029517</v>
      </c>
      <c r="H15" s="45"/>
      <c r="I15" s="45">
        <v>1184588</v>
      </c>
      <c r="J15" s="45"/>
      <c r="K15" s="45">
        <v>254397</v>
      </c>
      <c r="L15" s="45"/>
      <c r="M15" s="45">
        <v>740272</v>
      </c>
      <c r="N15" s="45"/>
      <c r="O15" s="45">
        <v>0</v>
      </c>
      <c r="P15" s="45"/>
      <c r="Q15" s="45">
        <f>37272+252930</f>
        <v>290202</v>
      </c>
      <c r="R15" s="45"/>
      <c r="S15" s="44">
        <f t="shared" si="0"/>
        <v>562041</v>
      </c>
      <c r="T15" s="45"/>
      <c r="U15" s="45">
        <v>14449168</v>
      </c>
      <c r="V15" s="35"/>
      <c r="W15" s="45">
        <v>1863</v>
      </c>
    </row>
    <row r="16" spans="1:23" s="49" customFormat="1" ht="12.75" customHeight="1">
      <c r="A16" s="44" t="s">
        <v>23</v>
      </c>
      <c r="C16" s="44" t="s">
        <v>17</v>
      </c>
      <c r="D16" s="35"/>
      <c r="E16" s="45">
        <v>1512691</v>
      </c>
      <c r="F16" s="45"/>
      <c r="G16" s="45">
        <v>4361919</v>
      </c>
      <c r="H16" s="45"/>
      <c r="I16" s="45">
        <v>0</v>
      </c>
      <c r="J16" s="45"/>
      <c r="K16" s="45">
        <v>692214</v>
      </c>
      <c r="L16" s="45"/>
      <c r="M16" s="45">
        <v>859586</v>
      </c>
      <c r="N16" s="45"/>
      <c r="O16" s="45">
        <v>0</v>
      </c>
      <c r="P16" s="45"/>
      <c r="Q16" s="45">
        <v>202827</v>
      </c>
      <c r="R16" s="45"/>
      <c r="S16" s="44">
        <f t="shared" si="0"/>
        <v>1907910</v>
      </c>
      <c r="T16" s="45"/>
      <c r="U16" s="45">
        <v>9537147</v>
      </c>
      <c r="V16" s="35"/>
      <c r="W16" s="45">
        <v>286675</v>
      </c>
    </row>
    <row r="17" spans="1:23" s="49" customFormat="1" ht="12.75" customHeight="1">
      <c r="A17" s="44" t="s">
        <v>24</v>
      </c>
      <c r="C17" s="44" t="s">
        <v>17</v>
      </c>
      <c r="D17" s="35"/>
      <c r="E17" s="45">
        <v>3488603</v>
      </c>
      <c r="F17" s="45"/>
      <c r="G17" s="45">
        <v>0</v>
      </c>
      <c r="H17" s="45"/>
      <c r="I17" s="45">
        <v>0</v>
      </c>
      <c r="J17" s="45"/>
      <c r="K17" s="45">
        <v>279708</v>
      </c>
      <c r="L17" s="45"/>
      <c r="M17" s="45">
        <v>1801595</v>
      </c>
      <c r="N17" s="45"/>
      <c r="O17" s="45">
        <v>0</v>
      </c>
      <c r="P17" s="45"/>
      <c r="Q17" s="45">
        <v>206686</v>
      </c>
      <c r="R17" s="45"/>
      <c r="S17" s="44">
        <f t="shared" si="0"/>
        <v>561369</v>
      </c>
      <c r="T17" s="45"/>
      <c r="U17" s="45">
        <v>6337961</v>
      </c>
      <c r="V17" s="35"/>
      <c r="W17" s="45">
        <v>5489497</v>
      </c>
    </row>
    <row r="18" spans="1:23" s="49" customFormat="1" ht="12.75" customHeight="1">
      <c r="A18" s="44" t="s">
        <v>25</v>
      </c>
      <c r="C18" s="44" t="s">
        <v>13</v>
      </c>
      <c r="D18" s="35"/>
      <c r="E18" s="45">
        <v>1302285</v>
      </c>
      <c r="F18" s="45"/>
      <c r="G18" s="45">
        <v>10296250</v>
      </c>
      <c r="H18" s="45"/>
      <c r="I18" s="45">
        <v>0</v>
      </c>
      <c r="J18" s="45"/>
      <c r="K18" s="45">
        <v>1521628</v>
      </c>
      <c r="L18" s="45"/>
      <c r="M18" s="45">
        <v>2798540</v>
      </c>
      <c r="N18" s="45"/>
      <c r="O18" s="45">
        <v>0</v>
      </c>
      <c r="P18" s="45"/>
      <c r="Q18" s="45">
        <f>140801+83720</f>
        <v>224521</v>
      </c>
      <c r="R18" s="45"/>
      <c r="S18" s="44">
        <f t="shared" si="0"/>
        <v>984864</v>
      </c>
      <c r="T18" s="45"/>
      <c r="U18" s="45">
        <v>17128088</v>
      </c>
      <c r="V18" s="35"/>
      <c r="W18" s="45">
        <v>1106</v>
      </c>
    </row>
    <row r="19" spans="1:23" s="49" customFormat="1" ht="12.75" customHeight="1">
      <c r="A19" s="44" t="s">
        <v>26</v>
      </c>
      <c r="C19" s="44" t="s">
        <v>27</v>
      </c>
      <c r="D19" s="35"/>
      <c r="E19" s="45">
        <v>3726375</v>
      </c>
      <c r="F19" s="45"/>
      <c r="G19" s="45">
        <v>4626122</v>
      </c>
      <c r="H19" s="45"/>
      <c r="I19" s="45">
        <v>0</v>
      </c>
      <c r="J19" s="45"/>
      <c r="K19" s="45">
        <v>42626</v>
      </c>
      <c r="L19" s="45"/>
      <c r="M19" s="45">
        <v>18107995</v>
      </c>
      <c r="N19" s="45"/>
      <c r="O19" s="45">
        <v>0</v>
      </c>
      <c r="P19" s="45"/>
      <c r="Q19" s="45">
        <v>476355</v>
      </c>
      <c r="R19" s="45"/>
      <c r="S19" s="44">
        <f t="shared" si="0"/>
        <v>912249</v>
      </c>
      <c r="T19" s="45"/>
      <c r="U19" s="45">
        <v>27891722</v>
      </c>
      <c r="V19" s="35"/>
      <c r="W19" s="45">
        <v>8000</v>
      </c>
    </row>
    <row r="20" spans="1:23" s="49" customFormat="1" ht="12.75" customHeight="1">
      <c r="A20" s="44" t="s">
        <v>28</v>
      </c>
      <c r="C20" s="44" t="s">
        <v>27</v>
      </c>
      <c r="D20" s="35"/>
      <c r="E20" s="45">
        <v>3738938</v>
      </c>
      <c r="F20" s="45"/>
      <c r="G20" s="45">
        <v>20277253</v>
      </c>
      <c r="H20" s="45"/>
      <c r="I20" s="45">
        <v>0</v>
      </c>
      <c r="J20" s="45"/>
      <c r="K20" s="45">
        <v>1643737</v>
      </c>
      <c r="L20" s="45"/>
      <c r="M20" s="45">
        <v>2815239</v>
      </c>
      <c r="N20" s="45"/>
      <c r="O20" s="45">
        <v>0</v>
      </c>
      <c r="P20" s="45"/>
      <c r="Q20" s="45">
        <v>969635</v>
      </c>
      <c r="R20" s="45"/>
      <c r="S20" s="44">
        <f t="shared" si="0"/>
        <v>2171350</v>
      </c>
      <c r="T20" s="45"/>
      <c r="U20" s="45">
        <v>31616152</v>
      </c>
      <c r="V20" s="35"/>
      <c r="W20" s="45">
        <v>0</v>
      </c>
    </row>
    <row r="21" spans="1:23" s="49" customFormat="1" ht="12.75" customHeight="1">
      <c r="A21" s="44" t="s">
        <v>29</v>
      </c>
      <c r="C21" s="44" t="s">
        <v>30</v>
      </c>
      <c r="D21" s="35"/>
      <c r="E21" s="45">
        <v>1211368</v>
      </c>
      <c r="F21" s="45"/>
      <c r="G21" s="45">
        <v>0</v>
      </c>
      <c r="H21" s="45"/>
      <c r="I21" s="45">
        <v>0</v>
      </c>
      <c r="J21" s="45"/>
      <c r="K21" s="45">
        <v>194320</v>
      </c>
      <c r="L21" s="45"/>
      <c r="M21" s="45">
        <v>1793635</v>
      </c>
      <c r="N21" s="45"/>
      <c r="O21" s="45">
        <v>125892</v>
      </c>
      <c r="P21" s="45"/>
      <c r="Q21" s="45">
        <v>668215</v>
      </c>
      <c r="R21" s="45"/>
      <c r="S21" s="44">
        <f t="shared" si="0"/>
        <v>380300</v>
      </c>
      <c r="T21" s="45"/>
      <c r="U21" s="45">
        <v>4373730</v>
      </c>
      <c r="V21" s="35"/>
      <c r="W21" s="45">
        <v>150</v>
      </c>
    </row>
    <row r="22" spans="1:23" s="49" customFormat="1" ht="12.75" customHeight="1">
      <c r="A22" s="44" t="s">
        <v>31</v>
      </c>
      <c r="C22" s="44" t="s">
        <v>27</v>
      </c>
      <c r="D22" s="35"/>
      <c r="E22" s="45">
        <v>2622155</v>
      </c>
      <c r="F22" s="45"/>
      <c r="G22" s="45">
        <v>9878736</v>
      </c>
      <c r="H22" s="45"/>
      <c r="I22" s="45">
        <v>0</v>
      </c>
      <c r="J22" s="45"/>
      <c r="K22" s="45">
        <v>302696</v>
      </c>
      <c r="L22" s="45"/>
      <c r="M22" s="45">
        <v>2036148</v>
      </c>
      <c r="N22" s="45"/>
      <c r="O22" s="45">
        <v>0</v>
      </c>
      <c r="P22" s="45"/>
      <c r="Q22" s="45">
        <f>280622+1415868</f>
        <v>1696490</v>
      </c>
      <c r="R22" s="45"/>
      <c r="S22" s="44">
        <f t="shared" si="0"/>
        <v>455704</v>
      </c>
      <c r="T22" s="45"/>
      <c r="U22" s="45">
        <v>16991929</v>
      </c>
      <c r="V22" s="35"/>
      <c r="W22" s="45">
        <v>25454</v>
      </c>
    </row>
    <row r="23" spans="1:23" s="49" customFormat="1" ht="12.75" customHeight="1">
      <c r="A23" s="44" t="s">
        <v>32</v>
      </c>
      <c r="C23" s="44" t="s">
        <v>27</v>
      </c>
      <c r="D23" s="35"/>
      <c r="E23" s="45">
        <v>1548544</v>
      </c>
      <c r="F23" s="45"/>
      <c r="G23" s="45">
        <v>8638315</v>
      </c>
      <c r="H23" s="45"/>
      <c r="I23" s="45">
        <v>5235</v>
      </c>
      <c r="J23" s="45"/>
      <c r="K23" s="45">
        <v>4163791</v>
      </c>
      <c r="L23" s="45"/>
      <c r="M23" s="45">
        <v>460327</v>
      </c>
      <c r="N23" s="45"/>
      <c r="O23" s="45">
        <v>0</v>
      </c>
      <c r="P23" s="45"/>
      <c r="Q23" s="45">
        <f>240075+158684</f>
        <v>398759</v>
      </c>
      <c r="R23" s="45"/>
      <c r="S23" s="44">
        <f t="shared" si="0"/>
        <v>850617</v>
      </c>
      <c r="T23" s="45"/>
      <c r="U23" s="45">
        <v>16065588</v>
      </c>
      <c r="V23" s="35"/>
      <c r="W23" s="45">
        <v>0</v>
      </c>
    </row>
    <row r="24" spans="1:23" s="130" customFormat="1" ht="12.75" hidden="1" customHeight="1">
      <c r="A24" s="128" t="s">
        <v>34</v>
      </c>
      <c r="B24" s="128"/>
      <c r="C24" s="128" t="s">
        <v>30</v>
      </c>
      <c r="D24" s="129"/>
      <c r="E24" s="125">
        <v>0</v>
      </c>
      <c r="F24" s="125"/>
      <c r="G24" s="125">
        <v>0</v>
      </c>
      <c r="H24" s="125"/>
      <c r="I24" s="125">
        <v>0</v>
      </c>
      <c r="J24" s="125"/>
      <c r="K24" s="125">
        <v>0</v>
      </c>
      <c r="L24" s="125"/>
      <c r="M24" s="125">
        <v>0</v>
      </c>
      <c r="N24" s="125"/>
      <c r="O24" s="125">
        <v>0</v>
      </c>
      <c r="P24" s="125"/>
      <c r="Q24" s="125">
        <v>0</v>
      </c>
      <c r="R24" s="125"/>
      <c r="S24" s="122">
        <f t="shared" si="0"/>
        <v>0</v>
      </c>
      <c r="T24" s="125"/>
      <c r="U24" s="125">
        <v>0</v>
      </c>
      <c r="V24" s="121"/>
      <c r="W24" s="125">
        <v>0</v>
      </c>
    </row>
    <row r="25" spans="1:23" s="49" customFormat="1" ht="12.75" customHeight="1">
      <c r="A25" s="44" t="s">
        <v>35</v>
      </c>
      <c r="C25" s="44" t="s">
        <v>36</v>
      </c>
      <c r="D25" s="35"/>
      <c r="E25" s="45">
        <v>551325</v>
      </c>
      <c r="F25" s="45"/>
      <c r="G25" s="45">
        <v>5677238</v>
      </c>
      <c r="H25" s="45"/>
      <c r="I25" s="45">
        <v>28835</v>
      </c>
      <c r="J25" s="45"/>
      <c r="K25" s="45">
        <v>32000</v>
      </c>
      <c r="L25" s="45"/>
      <c r="M25" s="45">
        <v>593908</v>
      </c>
      <c r="N25" s="45"/>
      <c r="O25" s="45">
        <v>0</v>
      </c>
      <c r="P25" s="45"/>
      <c r="Q25" s="45">
        <f>578742+105293</f>
        <v>684035</v>
      </c>
      <c r="R25" s="45"/>
      <c r="S25" s="44">
        <f t="shared" si="0"/>
        <v>412955</v>
      </c>
      <c r="T25" s="45"/>
      <c r="U25" s="45">
        <v>7980296</v>
      </c>
      <c r="V25" s="35"/>
      <c r="W25" s="45">
        <v>0</v>
      </c>
    </row>
    <row r="26" spans="1:23" s="49" customFormat="1" ht="12.75" customHeight="1">
      <c r="A26" s="44" t="s">
        <v>37</v>
      </c>
      <c r="C26" s="44" t="s">
        <v>38</v>
      </c>
      <c r="D26" s="35"/>
      <c r="E26" s="45">
        <v>316973</v>
      </c>
      <c r="F26" s="45"/>
      <c r="G26" s="45">
        <v>3340489</v>
      </c>
      <c r="H26" s="45"/>
      <c r="I26" s="45">
        <v>0</v>
      </c>
      <c r="J26" s="45"/>
      <c r="K26" s="45">
        <v>2739</v>
      </c>
      <c r="L26" s="45"/>
      <c r="M26" s="45">
        <v>536813</v>
      </c>
      <c r="N26" s="45"/>
      <c r="O26" s="45">
        <v>0</v>
      </c>
      <c r="P26" s="45"/>
      <c r="Q26" s="45">
        <f>52273+108369</f>
        <v>160642</v>
      </c>
      <c r="R26" s="45"/>
      <c r="S26" s="44">
        <f t="shared" si="0"/>
        <v>377197</v>
      </c>
      <c r="T26" s="45"/>
      <c r="U26" s="45">
        <v>4734853</v>
      </c>
      <c r="V26" s="35"/>
      <c r="W26" s="45">
        <v>0</v>
      </c>
    </row>
    <row r="27" spans="1:23" s="49" customFormat="1" ht="12.75" customHeight="1">
      <c r="A27" s="46" t="s">
        <v>39</v>
      </c>
      <c r="B27" s="46"/>
      <c r="C27" s="46" t="s">
        <v>40</v>
      </c>
      <c r="D27" s="64"/>
      <c r="E27" s="45">
        <v>314074</v>
      </c>
      <c r="F27" s="45"/>
      <c r="G27" s="45">
        <v>1065340</v>
      </c>
      <c r="H27" s="45"/>
      <c r="I27" s="45">
        <v>664</v>
      </c>
      <c r="J27" s="45"/>
      <c r="K27" s="45">
        <v>193401</v>
      </c>
      <c r="L27" s="45"/>
      <c r="M27" s="45">
        <v>480027</v>
      </c>
      <c r="N27" s="45"/>
      <c r="O27" s="45">
        <v>0</v>
      </c>
      <c r="P27" s="45"/>
      <c r="Q27" s="45">
        <v>252210</v>
      </c>
      <c r="R27" s="45"/>
      <c r="S27" s="44">
        <f t="shared" si="0"/>
        <v>124169</v>
      </c>
      <c r="T27" s="45"/>
      <c r="U27" s="45">
        <v>2429885</v>
      </c>
      <c r="V27" s="35"/>
      <c r="W27" s="45">
        <f>400+50000</f>
        <v>50400</v>
      </c>
    </row>
    <row r="28" spans="1:23" s="49" customFormat="1" ht="12.75" customHeight="1">
      <c r="A28" s="44" t="s">
        <v>41</v>
      </c>
      <c r="C28" s="44" t="s">
        <v>27</v>
      </c>
      <c r="D28" s="35"/>
      <c r="E28" s="45">
        <v>3326627</v>
      </c>
      <c r="F28" s="45"/>
      <c r="G28" s="45">
        <v>6320416</v>
      </c>
      <c r="H28" s="45"/>
      <c r="I28" s="45">
        <v>7615</v>
      </c>
      <c r="J28" s="45"/>
      <c r="K28" s="45">
        <v>717956</v>
      </c>
      <c r="L28" s="45"/>
      <c r="M28" s="45">
        <v>1621545</v>
      </c>
      <c r="N28" s="45"/>
      <c r="O28" s="45">
        <v>0</v>
      </c>
      <c r="P28" s="45"/>
      <c r="Q28" s="45">
        <f>570760+1533353</f>
        <v>2104113</v>
      </c>
      <c r="R28" s="45"/>
      <c r="S28" s="44">
        <f t="shared" si="0"/>
        <v>300733</v>
      </c>
      <c r="T28" s="45"/>
      <c r="U28" s="45">
        <v>14399005</v>
      </c>
      <c r="V28" s="35"/>
      <c r="W28" s="45">
        <v>91578</v>
      </c>
    </row>
    <row r="29" spans="1:23" s="49" customFormat="1" ht="12.75" customHeight="1">
      <c r="A29" s="44" t="s">
        <v>42</v>
      </c>
      <c r="C29" s="44" t="s">
        <v>43</v>
      </c>
      <c r="D29" s="35"/>
      <c r="E29" s="45">
        <v>621042</v>
      </c>
      <c r="F29" s="45"/>
      <c r="G29" s="45">
        <v>5882230</v>
      </c>
      <c r="H29" s="45"/>
      <c r="I29" s="45">
        <v>54332</v>
      </c>
      <c r="J29" s="45"/>
      <c r="K29" s="45">
        <v>0</v>
      </c>
      <c r="L29" s="45"/>
      <c r="M29" s="45">
        <v>3091543</v>
      </c>
      <c r="N29" s="45"/>
      <c r="O29" s="45">
        <v>0</v>
      </c>
      <c r="P29" s="45"/>
      <c r="Q29" s="45">
        <v>584769</v>
      </c>
      <c r="R29" s="45"/>
      <c r="S29" s="44">
        <f t="shared" si="0"/>
        <v>410535</v>
      </c>
      <c r="T29" s="45"/>
      <c r="U29" s="45">
        <v>10644451</v>
      </c>
      <c r="V29" s="35"/>
      <c r="W29" s="45">
        <v>58888</v>
      </c>
    </row>
    <row r="30" spans="1:23" s="49" customFormat="1" ht="12.75" customHeight="1">
      <c r="A30" s="44" t="s">
        <v>44</v>
      </c>
      <c r="C30" s="44" t="s">
        <v>45</v>
      </c>
      <c r="D30" s="35"/>
      <c r="E30" s="45">
        <v>2170820</v>
      </c>
      <c r="F30" s="45"/>
      <c r="G30" s="45">
        <v>27037678</v>
      </c>
      <c r="H30" s="45"/>
      <c r="I30" s="45">
        <v>902725</v>
      </c>
      <c r="J30" s="45"/>
      <c r="K30" s="45">
        <v>712409</v>
      </c>
      <c r="L30" s="45"/>
      <c r="M30" s="45">
        <v>3212096</v>
      </c>
      <c r="N30" s="45"/>
      <c r="O30" s="45">
        <v>0</v>
      </c>
      <c r="P30" s="45"/>
      <c r="Q30" s="45">
        <f>430499+128005</f>
        <v>558504</v>
      </c>
      <c r="R30" s="45"/>
      <c r="S30" s="44">
        <f t="shared" si="0"/>
        <v>756248</v>
      </c>
      <c r="T30" s="45"/>
      <c r="U30" s="45">
        <v>35350480</v>
      </c>
      <c r="V30" s="35"/>
      <c r="W30" s="45">
        <v>261920</v>
      </c>
    </row>
    <row r="31" spans="1:23" s="49" customFormat="1" ht="12.75" customHeight="1">
      <c r="A31" s="44" t="s">
        <v>46</v>
      </c>
      <c r="C31" s="44" t="s">
        <v>47</v>
      </c>
      <c r="D31" s="35"/>
      <c r="E31" s="45">
        <v>1703119</v>
      </c>
      <c r="F31" s="45"/>
      <c r="G31" s="45">
        <v>6046850</v>
      </c>
      <c r="H31" s="45"/>
      <c r="I31" s="45">
        <v>2424423</v>
      </c>
      <c r="J31" s="45"/>
      <c r="K31" s="45">
        <v>1126465</v>
      </c>
      <c r="L31" s="45"/>
      <c r="M31" s="45">
        <v>2396507</v>
      </c>
      <c r="N31" s="45"/>
      <c r="O31" s="45">
        <v>0</v>
      </c>
      <c r="P31" s="45"/>
      <c r="Q31" s="45">
        <f>42405+542780</f>
        <v>585185</v>
      </c>
      <c r="R31" s="45"/>
      <c r="S31" s="44">
        <f t="shared" si="0"/>
        <v>1115053</v>
      </c>
      <c r="T31" s="45"/>
      <c r="U31" s="45">
        <v>15397602</v>
      </c>
      <c r="V31" s="35"/>
      <c r="W31" s="45">
        <v>0</v>
      </c>
    </row>
    <row r="32" spans="1:23" s="49" customFormat="1" ht="12.75" customHeight="1">
      <c r="A32" s="44" t="s">
        <v>48</v>
      </c>
      <c r="C32" s="44" t="s">
        <v>27</v>
      </c>
      <c r="D32" s="35"/>
      <c r="E32" s="45">
        <v>1972216</v>
      </c>
      <c r="F32" s="45"/>
      <c r="G32" s="45">
        <v>12252747</v>
      </c>
      <c r="H32" s="45"/>
      <c r="I32" s="45">
        <v>0</v>
      </c>
      <c r="J32" s="45"/>
      <c r="K32" s="45">
        <v>99018</v>
      </c>
      <c r="L32" s="45"/>
      <c r="M32" s="45">
        <v>1258843</v>
      </c>
      <c r="N32" s="45"/>
      <c r="O32" s="45">
        <v>0</v>
      </c>
      <c r="P32" s="45"/>
      <c r="Q32" s="45">
        <f>288448+272731</f>
        <v>561179</v>
      </c>
      <c r="R32" s="45"/>
      <c r="S32" s="44">
        <f t="shared" si="0"/>
        <v>889831</v>
      </c>
      <c r="T32" s="45"/>
      <c r="U32" s="45">
        <v>17033834</v>
      </c>
      <c r="V32" s="35"/>
      <c r="W32" s="45">
        <v>35038</v>
      </c>
    </row>
    <row r="33" spans="1:23" s="49" customFormat="1" ht="12.75" customHeight="1">
      <c r="A33" s="44" t="s">
        <v>49</v>
      </c>
      <c r="C33" s="44" t="s">
        <v>27</v>
      </c>
      <c r="D33" s="35"/>
      <c r="E33" s="45">
        <v>8474580</v>
      </c>
      <c r="F33" s="45"/>
      <c r="G33" s="45">
        <v>0</v>
      </c>
      <c r="H33" s="45"/>
      <c r="I33" s="45">
        <v>0</v>
      </c>
      <c r="J33" s="45"/>
      <c r="K33" s="45">
        <v>436672</v>
      </c>
      <c r="L33" s="45"/>
      <c r="M33" s="45">
        <v>906844</v>
      </c>
      <c r="N33" s="45"/>
      <c r="O33" s="45">
        <v>0</v>
      </c>
      <c r="P33" s="45"/>
      <c r="Q33" s="45">
        <v>968241</v>
      </c>
      <c r="R33" s="45"/>
      <c r="S33" s="44">
        <f t="shared" si="0"/>
        <v>326673</v>
      </c>
      <c r="T33" s="45"/>
      <c r="U33" s="45">
        <v>11113010</v>
      </c>
      <c r="V33" s="35"/>
      <c r="W33" s="45">
        <v>0</v>
      </c>
    </row>
    <row r="34" spans="1:23" s="49" customFormat="1" ht="12.75" customHeight="1">
      <c r="A34" s="44" t="s">
        <v>50</v>
      </c>
      <c r="C34" s="44" t="s">
        <v>27</v>
      </c>
      <c r="D34" s="35"/>
      <c r="E34" s="45">
        <v>2130938</v>
      </c>
      <c r="F34" s="45"/>
      <c r="G34" s="45">
        <v>16178994</v>
      </c>
      <c r="H34" s="45"/>
      <c r="I34" s="45">
        <v>359472</v>
      </c>
      <c r="J34" s="45"/>
      <c r="K34" s="45">
        <v>871236</v>
      </c>
      <c r="L34" s="45"/>
      <c r="M34" s="45">
        <v>1502429</v>
      </c>
      <c r="N34" s="45"/>
      <c r="O34" s="45">
        <v>0</v>
      </c>
      <c r="P34" s="45"/>
      <c r="Q34" s="45">
        <f>433795+361485</f>
        <v>795280</v>
      </c>
      <c r="R34" s="45"/>
      <c r="S34" s="44">
        <f t="shared" si="0"/>
        <v>1160908</v>
      </c>
      <c r="T34" s="45"/>
      <c r="U34" s="45">
        <v>22999257</v>
      </c>
      <c r="V34" s="35"/>
      <c r="W34" s="45">
        <f>631381+12911</f>
        <v>644292</v>
      </c>
    </row>
    <row r="35" spans="1:23" s="49" customFormat="1" ht="12.75" customHeight="1">
      <c r="A35" s="44" t="s">
        <v>51</v>
      </c>
      <c r="C35" s="44" t="s">
        <v>27</v>
      </c>
      <c r="D35" s="35"/>
      <c r="E35" s="45">
        <v>1092857</v>
      </c>
      <c r="F35" s="45"/>
      <c r="G35" s="45">
        <v>1092857</v>
      </c>
      <c r="H35" s="45"/>
      <c r="I35" s="45">
        <v>0</v>
      </c>
      <c r="J35" s="45"/>
      <c r="K35" s="45">
        <v>771638</v>
      </c>
      <c r="L35" s="45"/>
      <c r="M35" s="45">
        <v>1412515</v>
      </c>
      <c r="N35" s="45"/>
      <c r="O35" s="45">
        <v>0</v>
      </c>
      <c r="P35" s="45"/>
      <c r="Q35" s="45">
        <v>593006</v>
      </c>
      <c r="R35" s="45"/>
      <c r="S35" s="44">
        <f t="shared" si="0"/>
        <v>10171339</v>
      </c>
      <c r="T35" s="45"/>
      <c r="U35" s="45">
        <v>15134212</v>
      </c>
      <c r="V35" s="35"/>
      <c r="W35" s="45">
        <v>11350</v>
      </c>
    </row>
    <row r="36" spans="1:23" s="49" customFormat="1" ht="12.75" customHeight="1">
      <c r="A36" s="44" t="s">
        <v>463</v>
      </c>
      <c r="C36" s="44" t="s">
        <v>66</v>
      </c>
      <c r="D36" s="35"/>
      <c r="E36" s="45">
        <v>141140</v>
      </c>
      <c r="F36" s="45"/>
      <c r="G36" s="45">
        <v>2252026</v>
      </c>
      <c r="H36" s="45"/>
      <c r="I36" s="45">
        <v>0</v>
      </c>
      <c r="J36" s="45"/>
      <c r="K36" s="45">
        <v>616013</v>
      </c>
      <c r="L36" s="45"/>
      <c r="M36" s="45">
        <v>321668</v>
      </c>
      <c r="N36" s="45"/>
      <c r="O36" s="45">
        <v>0</v>
      </c>
      <c r="P36" s="45"/>
      <c r="Q36" s="45">
        <v>107659</v>
      </c>
      <c r="R36" s="45"/>
      <c r="S36" s="44">
        <f t="shared" si="0"/>
        <v>121530</v>
      </c>
      <c r="T36" s="45"/>
      <c r="U36" s="45">
        <v>3560036</v>
      </c>
      <c r="V36" s="35"/>
      <c r="W36" s="45">
        <v>242824</v>
      </c>
    </row>
    <row r="37" spans="1:23" s="49" customFormat="1" ht="12.75" customHeight="1">
      <c r="A37" s="44" t="s">
        <v>52</v>
      </c>
      <c r="C37" s="44" t="s">
        <v>53</v>
      </c>
      <c r="D37" s="35"/>
      <c r="E37" s="45">
        <v>1662983</v>
      </c>
      <c r="F37" s="45"/>
      <c r="G37" s="45">
        <v>3571510</v>
      </c>
      <c r="H37" s="45"/>
      <c r="I37" s="45">
        <v>0</v>
      </c>
      <c r="J37" s="45"/>
      <c r="K37" s="45">
        <v>216502</v>
      </c>
      <c r="L37" s="45"/>
      <c r="M37" s="45">
        <v>1455188</v>
      </c>
      <c r="N37" s="45"/>
      <c r="O37" s="45">
        <v>0</v>
      </c>
      <c r="P37" s="45"/>
      <c r="Q37" s="45">
        <v>502297</v>
      </c>
      <c r="R37" s="45"/>
      <c r="S37" s="44">
        <f t="shared" si="0"/>
        <v>1456149</v>
      </c>
      <c r="T37" s="45"/>
      <c r="U37" s="45">
        <v>8864629</v>
      </c>
      <c r="V37" s="35"/>
      <c r="W37" s="45">
        <v>0</v>
      </c>
    </row>
    <row r="38" spans="1:23" s="49" customFormat="1" ht="12.75" customHeight="1">
      <c r="A38" s="44" t="s">
        <v>54</v>
      </c>
      <c r="C38" s="44" t="s">
        <v>55</v>
      </c>
      <c r="D38" s="35"/>
      <c r="E38" s="45">
        <v>1328084</v>
      </c>
      <c r="F38" s="45"/>
      <c r="G38" s="45">
        <v>0</v>
      </c>
      <c r="H38" s="45"/>
      <c r="I38" s="45">
        <v>0</v>
      </c>
      <c r="J38" s="45"/>
      <c r="K38" s="45">
        <v>164963</v>
      </c>
      <c r="L38" s="45"/>
      <c r="M38" s="45">
        <v>836193</v>
      </c>
      <c r="N38" s="45"/>
      <c r="O38" s="45">
        <v>0</v>
      </c>
      <c r="P38" s="45"/>
      <c r="Q38" s="45">
        <f>580546+21042</f>
        <v>601588</v>
      </c>
      <c r="R38" s="45"/>
      <c r="S38" s="44">
        <f t="shared" si="0"/>
        <v>754948</v>
      </c>
      <c r="T38" s="45"/>
      <c r="U38" s="45">
        <v>3685776</v>
      </c>
      <c r="V38" s="35"/>
      <c r="W38" s="45">
        <f>2172+1500000</f>
        <v>1502172</v>
      </c>
    </row>
    <row r="39" spans="1:23" s="49" customFormat="1" ht="12.75" customHeight="1">
      <c r="A39" s="44" t="s">
        <v>56</v>
      </c>
      <c r="C39" s="44" t="s">
        <v>57</v>
      </c>
      <c r="D39" s="35"/>
      <c r="E39" s="45">
        <v>622974</v>
      </c>
      <c r="F39" s="45"/>
      <c r="G39" s="45">
        <v>2950940</v>
      </c>
      <c r="H39" s="45"/>
      <c r="I39" s="45">
        <v>33637</v>
      </c>
      <c r="J39" s="45"/>
      <c r="K39" s="45">
        <v>351463</v>
      </c>
      <c r="L39" s="45"/>
      <c r="M39" s="45">
        <v>704634</v>
      </c>
      <c r="N39" s="45"/>
      <c r="O39" s="45">
        <v>0</v>
      </c>
      <c r="P39" s="45"/>
      <c r="Q39" s="45">
        <f>40100+23710</f>
        <v>63810</v>
      </c>
      <c r="R39" s="45"/>
      <c r="S39" s="44">
        <f t="shared" si="0"/>
        <v>424537</v>
      </c>
      <c r="T39" s="45"/>
      <c r="U39" s="45">
        <v>5151995</v>
      </c>
      <c r="V39" s="35"/>
      <c r="W39" s="45">
        <f>3510+39432</f>
        <v>42942</v>
      </c>
    </row>
    <row r="40" spans="1:23" s="49" customFormat="1" ht="12.75" customHeight="1">
      <c r="A40" s="44" t="s">
        <v>58</v>
      </c>
      <c r="C40" s="44" t="s">
        <v>59</v>
      </c>
      <c r="D40" s="35"/>
      <c r="E40" s="45">
        <v>340693</v>
      </c>
      <c r="F40" s="45"/>
      <c r="G40" s="45">
        <v>3053786</v>
      </c>
      <c r="H40" s="45"/>
      <c r="I40" s="45">
        <v>0</v>
      </c>
      <c r="J40" s="45"/>
      <c r="K40" s="45">
        <v>0</v>
      </c>
      <c r="L40" s="45"/>
      <c r="M40" s="45">
        <v>965746</v>
      </c>
      <c r="N40" s="45"/>
      <c r="O40" s="45">
        <v>0</v>
      </c>
      <c r="P40" s="45"/>
      <c r="Q40" s="45">
        <f>167841+697227</f>
        <v>865068</v>
      </c>
      <c r="R40" s="45"/>
      <c r="S40" s="44">
        <f t="shared" si="0"/>
        <v>530675</v>
      </c>
      <c r="T40" s="45"/>
      <c r="U40" s="45">
        <v>5755968</v>
      </c>
      <c r="V40" s="35"/>
      <c r="W40" s="45">
        <v>0</v>
      </c>
    </row>
    <row r="41" spans="1:23" s="146" customFormat="1" ht="12.75" hidden="1" customHeight="1">
      <c r="A41" s="139" t="s">
        <v>477</v>
      </c>
      <c r="B41" s="139"/>
      <c r="C41" s="139" t="s">
        <v>15</v>
      </c>
      <c r="D41" s="145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37">
        <f t="shared" si="0"/>
        <v>0</v>
      </c>
      <c r="T41" s="143"/>
      <c r="U41" s="143"/>
      <c r="V41" s="142"/>
      <c r="W41" s="143"/>
    </row>
    <row r="42" spans="1:23" s="146" customFormat="1" ht="12.75" hidden="1" customHeight="1">
      <c r="A42" s="137" t="s">
        <v>60</v>
      </c>
      <c r="C42" s="137" t="s">
        <v>61</v>
      </c>
      <c r="D42" s="142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37">
        <f t="shared" ref="S42:S70" si="1">U42-E42-G42-K42-M42-O42-Q42-I42</f>
        <v>0</v>
      </c>
      <c r="T42" s="143"/>
      <c r="U42" s="143"/>
      <c r="V42" s="142"/>
      <c r="W42" s="143"/>
    </row>
    <row r="43" spans="1:23" s="49" customFormat="1" ht="12.75" customHeight="1">
      <c r="A43" s="46" t="s">
        <v>62</v>
      </c>
      <c r="B43" s="46"/>
      <c r="C43" s="46" t="s">
        <v>15</v>
      </c>
      <c r="D43" s="64"/>
      <c r="E43" s="45">
        <v>4010683</v>
      </c>
      <c r="F43" s="45"/>
      <c r="G43" s="45">
        <v>34238286</v>
      </c>
      <c r="H43" s="45"/>
      <c r="I43" s="45">
        <v>0</v>
      </c>
      <c r="J43" s="45"/>
      <c r="K43" s="45">
        <v>9687442</v>
      </c>
      <c r="L43" s="45"/>
      <c r="M43" s="45">
        <v>7155089</v>
      </c>
      <c r="N43" s="45"/>
      <c r="O43" s="45">
        <v>0</v>
      </c>
      <c r="P43" s="45"/>
      <c r="Q43" s="45">
        <v>905167</v>
      </c>
      <c r="R43" s="45"/>
      <c r="S43" s="44">
        <f t="shared" si="1"/>
        <v>3927678</v>
      </c>
      <c r="T43" s="45"/>
      <c r="U43" s="45">
        <v>59924345</v>
      </c>
      <c r="V43" s="35"/>
      <c r="W43" s="45">
        <v>4</v>
      </c>
    </row>
    <row r="44" spans="1:23" s="146" customFormat="1" ht="12.75" hidden="1" customHeight="1">
      <c r="A44" s="137" t="s">
        <v>486</v>
      </c>
      <c r="C44" s="137" t="s">
        <v>111</v>
      </c>
      <c r="D44" s="142"/>
      <c r="E44" s="143">
        <v>0</v>
      </c>
      <c r="F44" s="143"/>
      <c r="G44" s="143">
        <v>0</v>
      </c>
      <c r="H44" s="143"/>
      <c r="I44" s="143">
        <v>0</v>
      </c>
      <c r="J44" s="143"/>
      <c r="K44" s="143">
        <v>0</v>
      </c>
      <c r="L44" s="143"/>
      <c r="M44" s="143">
        <v>0</v>
      </c>
      <c r="N44" s="143"/>
      <c r="O44" s="143">
        <v>0</v>
      </c>
      <c r="P44" s="143"/>
      <c r="Q44" s="143">
        <v>0</v>
      </c>
      <c r="R44" s="143"/>
      <c r="S44" s="137">
        <f>U44-E44-G44-K44-M44-O44-Q44-I44</f>
        <v>0</v>
      </c>
      <c r="T44" s="143"/>
      <c r="U44" s="143">
        <v>0</v>
      </c>
      <c r="V44" s="142"/>
      <c r="W44" s="143">
        <v>0</v>
      </c>
    </row>
    <row r="45" spans="1:23" s="49" customFormat="1" ht="12.75" customHeight="1">
      <c r="A45" s="44" t="s">
        <v>63</v>
      </c>
      <c r="C45" s="44" t="s">
        <v>64</v>
      </c>
      <c r="D45" s="35"/>
      <c r="E45" s="45">
        <v>319858</v>
      </c>
      <c r="F45" s="45"/>
      <c r="G45" s="45">
        <v>2708150</v>
      </c>
      <c r="H45" s="45"/>
      <c r="I45" s="45">
        <v>572172</v>
      </c>
      <c r="J45" s="45"/>
      <c r="K45" s="45">
        <v>207638</v>
      </c>
      <c r="L45" s="45"/>
      <c r="M45" s="45">
        <v>938082</v>
      </c>
      <c r="N45" s="45"/>
      <c r="O45" s="45">
        <v>0</v>
      </c>
      <c r="P45" s="45"/>
      <c r="Q45" s="45">
        <v>414408</v>
      </c>
      <c r="R45" s="45"/>
      <c r="S45" s="44">
        <f t="shared" si="1"/>
        <v>593630</v>
      </c>
      <c r="T45" s="45"/>
      <c r="U45" s="45">
        <v>5753938</v>
      </c>
      <c r="V45" s="35"/>
      <c r="W45" s="45">
        <v>0</v>
      </c>
    </row>
    <row r="46" spans="1:23" s="49" customFormat="1" ht="12.75" customHeight="1">
      <c r="A46" s="44" t="s">
        <v>65</v>
      </c>
      <c r="C46" s="44" t="s">
        <v>66</v>
      </c>
      <c r="D46" s="35"/>
      <c r="E46" s="45">
        <v>11805299</v>
      </c>
      <c r="F46" s="45"/>
      <c r="G46" s="45">
        <v>0</v>
      </c>
      <c r="H46" s="45"/>
      <c r="I46" s="45">
        <v>0</v>
      </c>
      <c r="J46" s="45"/>
      <c r="K46" s="45">
        <v>48869</v>
      </c>
      <c r="L46" s="45"/>
      <c r="M46" s="45">
        <v>2513369</v>
      </c>
      <c r="N46" s="45"/>
      <c r="O46" s="45">
        <v>5652</v>
      </c>
      <c r="P46" s="45"/>
      <c r="Q46" s="45">
        <v>282222</v>
      </c>
      <c r="R46" s="45"/>
      <c r="S46" s="44">
        <f t="shared" si="1"/>
        <v>616057</v>
      </c>
      <c r="T46" s="45"/>
      <c r="U46" s="45">
        <v>15271468</v>
      </c>
      <c r="V46" s="35"/>
      <c r="W46" s="45">
        <v>0</v>
      </c>
    </row>
    <row r="47" spans="1:23" s="49" customFormat="1" ht="12.75" customHeight="1">
      <c r="A47" s="44" t="s">
        <v>67</v>
      </c>
      <c r="C47" s="44" t="s">
        <v>375</v>
      </c>
      <c r="D47" s="35"/>
      <c r="E47" s="45">
        <v>453310</v>
      </c>
      <c r="F47" s="45"/>
      <c r="G47" s="45">
        <v>5104240</v>
      </c>
      <c r="H47" s="45"/>
      <c r="I47" s="45">
        <v>909</v>
      </c>
      <c r="J47" s="45"/>
      <c r="K47" s="45">
        <v>873836</v>
      </c>
      <c r="L47" s="45"/>
      <c r="M47" s="45">
        <v>331662</v>
      </c>
      <c r="N47" s="45"/>
      <c r="O47" s="45">
        <v>324</v>
      </c>
      <c r="P47" s="45"/>
      <c r="Q47" s="45">
        <f>69472+162990</f>
        <v>232462</v>
      </c>
      <c r="R47" s="45"/>
      <c r="S47" s="44">
        <f t="shared" si="1"/>
        <v>627649</v>
      </c>
      <c r="T47" s="45"/>
      <c r="U47" s="45">
        <v>7624392</v>
      </c>
      <c r="V47" s="35"/>
      <c r="W47" s="45">
        <v>37730</v>
      </c>
    </row>
    <row r="48" spans="1:23" s="49" customFormat="1" ht="12.75" customHeight="1">
      <c r="A48" s="44" t="s">
        <v>68</v>
      </c>
      <c r="C48" s="44" t="s">
        <v>45</v>
      </c>
      <c r="D48" s="35"/>
      <c r="E48" s="45">
        <v>1350079</v>
      </c>
      <c r="F48" s="45"/>
      <c r="G48" s="45">
        <v>1706956</v>
      </c>
      <c r="H48" s="45"/>
      <c r="I48" s="45">
        <v>0</v>
      </c>
      <c r="J48" s="45"/>
      <c r="K48" s="45">
        <v>136840</v>
      </c>
      <c r="L48" s="45"/>
      <c r="M48" s="45">
        <v>421972</v>
      </c>
      <c r="N48" s="45"/>
      <c r="O48" s="45">
        <v>0</v>
      </c>
      <c r="P48" s="45"/>
      <c r="Q48" s="45">
        <f>39599+100556</f>
        <v>140155</v>
      </c>
      <c r="R48" s="45"/>
      <c r="S48" s="44">
        <f t="shared" si="1"/>
        <v>111169</v>
      </c>
      <c r="T48" s="45"/>
      <c r="U48" s="45">
        <v>3867171</v>
      </c>
      <c r="V48" s="35"/>
      <c r="W48" s="45">
        <v>0</v>
      </c>
    </row>
    <row r="49" spans="1:23" s="49" customFormat="1" ht="12.75" customHeight="1">
      <c r="A49" s="44" t="s">
        <v>69</v>
      </c>
      <c r="C49" s="44" t="s">
        <v>70</v>
      </c>
      <c r="D49" s="35"/>
      <c r="E49" s="45">
        <v>1070864</v>
      </c>
      <c r="F49" s="45"/>
      <c r="G49" s="45">
        <v>8106618</v>
      </c>
      <c r="H49" s="45"/>
      <c r="I49" s="45">
        <v>249109</v>
      </c>
      <c r="J49" s="45"/>
      <c r="K49" s="45">
        <v>2136461</v>
      </c>
      <c r="L49" s="45"/>
      <c r="M49" s="45">
        <v>1746766</v>
      </c>
      <c r="N49" s="45"/>
      <c r="O49" s="45">
        <v>19934</v>
      </c>
      <c r="P49" s="45"/>
      <c r="Q49" s="45">
        <v>1513147</v>
      </c>
      <c r="R49" s="45"/>
      <c r="S49" s="44">
        <f t="shared" si="1"/>
        <v>902595</v>
      </c>
      <c r="T49" s="45"/>
      <c r="U49" s="45">
        <v>15745494</v>
      </c>
      <c r="V49" s="35"/>
      <c r="W49" s="45">
        <f>71885+25019+136386</f>
        <v>233290</v>
      </c>
    </row>
    <row r="50" spans="1:23" s="49" customFormat="1" ht="12.75" customHeight="1">
      <c r="A50" s="46" t="s">
        <v>71</v>
      </c>
      <c r="B50" s="46"/>
      <c r="C50" s="46" t="s">
        <v>45</v>
      </c>
      <c r="D50" s="64"/>
      <c r="E50" s="45">
        <v>257356000</v>
      </c>
      <c r="F50" s="45"/>
      <c r="G50" s="45">
        <v>0</v>
      </c>
      <c r="H50" s="45"/>
      <c r="I50" s="45">
        <v>0</v>
      </c>
      <c r="J50" s="45"/>
      <c r="K50" s="45">
        <v>19565000</v>
      </c>
      <c r="L50" s="45"/>
      <c r="M50" s="45">
        <v>46951000</v>
      </c>
      <c r="N50" s="45"/>
      <c r="O50" s="45">
        <v>0</v>
      </c>
      <c r="P50" s="45"/>
      <c r="Q50" s="45">
        <v>7622000</v>
      </c>
      <c r="R50" s="45"/>
      <c r="S50" s="44">
        <f t="shared" si="1"/>
        <v>23003000</v>
      </c>
      <c r="T50" s="45"/>
      <c r="U50" s="45">
        <v>354497000</v>
      </c>
      <c r="V50" s="35"/>
      <c r="W50" s="45">
        <v>5638000</v>
      </c>
    </row>
    <row r="51" spans="1:23" s="49" customFormat="1" ht="12.75" customHeight="1">
      <c r="A51" s="44" t="s">
        <v>464</v>
      </c>
      <c r="C51" s="44" t="s">
        <v>465</v>
      </c>
      <c r="D51" s="35"/>
      <c r="E51" s="45">
        <v>779151</v>
      </c>
      <c r="F51" s="45"/>
      <c r="G51" s="45">
        <v>1295379</v>
      </c>
      <c r="H51" s="45"/>
      <c r="I51" s="45">
        <v>195816</v>
      </c>
      <c r="J51" s="45"/>
      <c r="K51" s="45">
        <v>204059</v>
      </c>
      <c r="L51" s="45"/>
      <c r="M51" s="45">
        <v>1316065</v>
      </c>
      <c r="N51" s="45"/>
      <c r="O51" s="45">
        <v>0</v>
      </c>
      <c r="P51" s="45"/>
      <c r="Q51" s="45">
        <f>360908+481214</f>
        <v>842122</v>
      </c>
      <c r="R51" s="45"/>
      <c r="S51" s="44">
        <f t="shared" si="1"/>
        <v>654735</v>
      </c>
      <c r="T51" s="45"/>
      <c r="U51" s="45">
        <v>5287327</v>
      </c>
      <c r="V51" s="35"/>
      <c r="W51" s="45">
        <v>6471</v>
      </c>
    </row>
    <row r="52" spans="1:23" s="49" customFormat="1" ht="12.75" customHeight="1">
      <c r="A52" s="44" t="s">
        <v>72</v>
      </c>
      <c r="C52" s="44" t="s">
        <v>66</v>
      </c>
      <c r="D52" s="35"/>
      <c r="E52" s="45">
        <v>375592</v>
      </c>
      <c r="F52" s="45"/>
      <c r="G52" s="45">
        <v>1365022</v>
      </c>
      <c r="H52" s="45"/>
      <c r="I52" s="45">
        <v>103338</v>
      </c>
      <c r="J52" s="45"/>
      <c r="K52" s="45">
        <v>73072</v>
      </c>
      <c r="L52" s="45"/>
      <c r="M52" s="45">
        <v>621220</v>
      </c>
      <c r="N52" s="45"/>
      <c r="O52" s="45">
        <v>0</v>
      </c>
      <c r="P52" s="45"/>
      <c r="Q52" s="45">
        <v>8819</v>
      </c>
      <c r="R52" s="45"/>
      <c r="S52" s="44">
        <f t="shared" si="1"/>
        <v>227230</v>
      </c>
      <c r="T52" s="45"/>
      <c r="U52" s="45">
        <v>2774293</v>
      </c>
      <c r="V52" s="35"/>
      <c r="W52" s="45">
        <v>0</v>
      </c>
    </row>
    <row r="53" spans="1:23" s="49" customFormat="1" ht="12.75" customHeight="1">
      <c r="A53" s="44" t="s">
        <v>73</v>
      </c>
      <c r="C53" s="44" t="s">
        <v>27</v>
      </c>
      <c r="D53" s="35"/>
      <c r="E53" s="45">
        <v>45533000</v>
      </c>
      <c r="F53" s="45"/>
      <c r="G53" s="45">
        <v>277141000</v>
      </c>
      <c r="H53" s="45"/>
      <c r="I53" s="45">
        <v>45334000</v>
      </c>
      <c r="J53" s="45"/>
      <c r="K53" s="45">
        <v>20651000</v>
      </c>
      <c r="L53" s="45"/>
      <c r="M53" s="45">
        <v>53506000</v>
      </c>
      <c r="N53" s="45"/>
      <c r="O53" s="45">
        <v>0</v>
      </c>
      <c r="P53" s="45"/>
      <c r="Q53" s="45">
        <f>25291000+11688000</f>
        <v>36979000</v>
      </c>
      <c r="R53" s="45"/>
      <c r="S53" s="44">
        <f t="shared" si="1"/>
        <v>15329000</v>
      </c>
      <c r="T53" s="45"/>
      <c r="U53" s="45">
        <v>494473000</v>
      </c>
      <c r="V53" s="35"/>
      <c r="W53" s="45">
        <f>6758000+177000</f>
        <v>6935000</v>
      </c>
    </row>
    <row r="54" spans="1:23" s="49" customFormat="1" ht="12.75" customHeight="1">
      <c r="A54" s="44" t="s">
        <v>74</v>
      </c>
      <c r="C54" s="44" t="s">
        <v>27</v>
      </c>
      <c r="D54" s="35"/>
      <c r="E54" s="45">
        <v>6550249</v>
      </c>
      <c r="F54" s="45"/>
      <c r="G54" s="45">
        <v>22022446</v>
      </c>
      <c r="H54" s="45"/>
      <c r="I54" s="45">
        <v>0</v>
      </c>
      <c r="J54" s="45"/>
      <c r="K54" s="45">
        <v>2663614</v>
      </c>
      <c r="L54" s="45"/>
      <c r="M54" s="45">
        <v>5426501</v>
      </c>
      <c r="N54" s="45"/>
      <c r="O54" s="45">
        <v>0</v>
      </c>
      <c r="P54" s="45"/>
      <c r="Q54" s="45">
        <f>1240023+2023351</f>
        <v>3263374</v>
      </c>
      <c r="R54" s="45"/>
      <c r="S54" s="44">
        <f t="shared" si="1"/>
        <v>1798855</v>
      </c>
      <c r="T54" s="45"/>
      <c r="U54" s="45">
        <v>41725039</v>
      </c>
      <c r="V54" s="35"/>
      <c r="W54" s="45">
        <f>14531+4532</f>
        <v>19063</v>
      </c>
    </row>
    <row r="55" spans="1:23" s="49" customFormat="1" ht="12.75" customHeight="1">
      <c r="A55" s="44" t="s">
        <v>75</v>
      </c>
      <c r="C55" s="44" t="s">
        <v>76</v>
      </c>
      <c r="D55" s="35"/>
      <c r="E55" s="45">
        <v>847955</v>
      </c>
      <c r="F55" s="45"/>
      <c r="G55" s="45">
        <v>2842828</v>
      </c>
      <c r="H55" s="45"/>
      <c r="I55" s="45">
        <v>0</v>
      </c>
      <c r="J55" s="45"/>
      <c r="K55" s="45">
        <v>169717</v>
      </c>
      <c r="L55" s="45"/>
      <c r="M55" s="45">
        <v>319097</v>
      </c>
      <c r="N55" s="45"/>
      <c r="O55" s="45">
        <v>19958</v>
      </c>
      <c r="P55" s="45"/>
      <c r="Q55" s="45">
        <f>16959+6500</f>
        <v>23459</v>
      </c>
      <c r="R55" s="45"/>
      <c r="S55" s="44">
        <f t="shared" si="1"/>
        <v>635188</v>
      </c>
      <c r="T55" s="45"/>
      <c r="U55" s="45">
        <v>4858202</v>
      </c>
      <c r="V55" s="35"/>
      <c r="W55" s="45">
        <v>400000</v>
      </c>
    </row>
    <row r="56" spans="1:23" s="49" customFormat="1" ht="12.75" customHeight="1">
      <c r="A56" s="44" t="s">
        <v>77</v>
      </c>
      <c r="C56" s="44" t="s">
        <v>43</v>
      </c>
      <c r="D56" s="35"/>
      <c r="E56" s="45">
        <v>51852000</v>
      </c>
      <c r="F56" s="45"/>
      <c r="G56" s="45">
        <v>391575000</v>
      </c>
      <c r="H56" s="45"/>
      <c r="I56" s="45">
        <v>0</v>
      </c>
      <c r="J56" s="45"/>
      <c r="K56" s="45">
        <v>46359000</v>
      </c>
      <c r="L56" s="45"/>
      <c r="M56" s="45">
        <v>53025000</v>
      </c>
      <c r="N56" s="45"/>
      <c r="O56" s="45">
        <v>0</v>
      </c>
      <c r="P56" s="45"/>
      <c r="Q56" s="45">
        <f>21311000+8379000</f>
        <v>29690000</v>
      </c>
      <c r="R56" s="45"/>
      <c r="S56" s="44">
        <f t="shared" si="1"/>
        <v>44510000</v>
      </c>
      <c r="T56" s="45"/>
      <c r="U56" s="45">
        <v>617011000</v>
      </c>
      <c r="V56" s="35"/>
      <c r="W56" s="45">
        <v>21321000</v>
      </c>
    </row>
    <row r="57" spans="1:23" s="49" customFormat="1" ht="12.75" customHeight="1">
      <c r="A57" s="44" t="s">
        <v>94</v>
      </c>
      <c r="C57" s="44" t="s">
        <v>94</v>
      </c>
      <c r="D57" s="35"/>
      <c r="E57" s="45">
        <v>297111</v>
      </c>
      <c r="F57" s="45"/>
      <c r="G57" s="45">
        <v>0</v>
      </c>
      <c r="H57" s="45"/>
      <c r="I57" s="45">
        <v>0</v>
      </c>
      <c r="J57" s="45"/>
      <c r="K57" s="45">
        <v>50107</v>
      </c>
      <c r="L57" s="45"/>
      <c r="M57" s="45">
        <v>653082</v>
      </c>
      <c r="N57" s="45"/>
      <c r="O57" s="45">
        <v>0</v>
      </c>
      <c r="P57" s="45"/>
      <c r="Q57" s="45">
        <v>15325</v>
      </c>
      <c r="R57" s="45"/>
      <c r="S57" s="44">
        <f>U57-E57-G57-K57-M57-O57-Q57-I57</f>
        <v>469742</v>
      </c>
      <c r="T57" s="45"/>
      <c r="U57" s="45">
        <v>1485367</v>
      </c>
      <c r="V57" s="35"/>
      <c r="W57" s="45">
        <v>806000</v>
      </c>
    </row>
    <row r="58" spans="1:23" s="46" customFormat="1" ht="12.75" customHeight="1">
      <c r="A58" s="44" t="s">
        <v>78</v>
      </c>
      <c r="B58" s="49"/>
      <c r="C58" s="44" t="s">
        <v>19</v>
      </c>
      <c r="D58" s="35"/>
      <c r="E58" s="45">
        <v>397928</v>
      </c>
      <c r="F58" s="45"/>
      <c r="G58" s="45">
        <v>2039599</v>
      </c>
      <c r="H58" s="45"/>
      <c r="I58" s="45">
        <v>0</v>
      </c>
      <c r="J58" s="45"/>
      <c r="K58" s="45">
        <v>0</v>
      </c>
      <c r="L58" s="45"/>
      <c r="M58" s="45">
        <v>972703</v>
      </c>
      <c r="N58" s="45"/>
      <c r="O58" s="45">
        <v>0</v>
      </c>
      <c r="P58" s="45"/>
      <c r="Q58" s="45">
        <v>279631</v>
      </c>
      <c r="R58" s="45"/>
      <c r="S58" s="44">
        <f t="shared" si="1"/>
        <v>345143</v>
      </c>
      <c r="T58" s="45"/>
      <c r="U58" s="45">
        <v>4035004</v>
      </c>
      <c r="V58" s="35"/>
      <c r="W58" s="45">
        <f>7303+7500+74568</f>
        <v>89371</v>
      </c>
    </row>
    <row r="59" spans="1:23" s="49" customFormat="1" ht="12.75" customHeight="1">
      <c r="A59" s="44" t="s">
        <v>79</v>
      </c>
      <c r="C59" s="44" t="s">
        <v>80</v>
      </c>
      <c r="D59" s="35"/>
      <c r="E59" s="45">
        <v>510822</v>
      </c>
      <c r="F59" s="45"/>
      <c r="G59" s="45">
        <v>0</v>
      </c>
      <c r="H59" s="45"/>
      <c r="I59" s="45">
        <v>0</v>
      </c>
      <c r="J59" s="45"/>
      <c r="K59" s="45">
        <v>11419</v>
      </c>
      <c r="L59" s="45"/>
      <c r="M59" s="45">
        <v>328313</v>
      </c>
      <c r="N59" s="45"/>
      <c r="O59" s="45">
        <v>0</v>
      </c>
      <c r="P59" s="45"/>
      <c r="Q59" s="45">
        <f>5541+114203</f>
        <v>119744</v>
      </c>
      <c r="R59" s="45"/>
      <c r="S59" s="44">
        <f t="shared" si="1"/>
        <v>99961</v>
      </c>
      <c r="T59" s="45"/>
      <c r="U59" s="45">
        <v>1070259</v>
      </c>
      <c r="V59" s="35"/>
      <c r="W59" s="45">
        <v>0</v>
      </c>
    </row>
    <row r="60" spans="1:23" s="49" customFormat="1" ht="12.75" customHeight="1">
      <c r="A60" s="44" t="s">
        <v>81</v>
      </c>
      <c r="C60" s="44" t="s">
        <v>81</v>
      </c>
      <c r="D60" s="35"/>
      <c r="E60" s="45">
        <v>621572</v>
      </c>
      <c r="F60" s="45"/>
      <c r="G60" s="45">
        <v>2490748</v>
      </c>
      <c r="H60" s="45"/>
      <c r="I60" s="45">
        <v>0</v>
      </c>
      <c r="J60" s="45"/>
      <c r="K60" s="45">
        <v>524938</v>
      </c>
      <c r="L60" s="45"/>
      <c r="M60" s="45">
        <v>759226</v>
      </c>
      <c r="N60" s="45"/>
      <c r="O60" s="45">
        <v>0</v>
      </c>
      <c r="P60" s="45"/>
      <c r="Q60" s="45">
        <f>7614+16451</f>
        <v>24065</v>
      </c>
      <c r="R60" s="45"/>
      <c r="S60" s="44">
        <f t="shared" si="1"/>
        <v>417095</v>
      </c>
      <c r="T60" s="45"/>
      <c r="U60" s="45">
        <v>4837644</v>
      </c>
      <c r="V60" s="35"/>
      <c r="W60" s="45">
        <f>2600+97695</f>
        <v>100295</v>
      </c>
    </row>
    <row r="61" spans="1:23" s="46" customFormat="1" ht="12.75" customHeight="1">
      <c r="A61" s="47" t="s">
        <v>466</v>
      </c>
      <c r="B61" s="47"/>
      <c r="C61" s="47" t="s">
        <v>57</v>
      </c>
      <c r="D61" s="35"/>
      <c r="E61" s="45">
        <v>169546</v>
      </c>
      <c r="F61" s="45"/>
      <c r="G61" s="45">
        <v>797148</v>
      </c>
      <c r="H61" s="45"/>
      <c r="I61" s="45">
        <v>0</v>
      </c>
      <c r="J61" s="45"/>
      <c r="K61" s="45">
        <v>108034</v>
      </c>
      <c r="L61" s="45"/>
      <c r="M61" s="45">
        <v>283661</v>
      </c>
      <c r="N61" s="45"/>
      <c r="O61" s="45">
        <v>0</v>
      </c>
      <c r="P61" s="45"/>
      <c r="Q61" s="45">
        <f>88345+4891</f>
        <v>93236</v>
      </c>
      <c r="R61" s="45"/>
      <c r="S61" s="44">
        <f t="shared" si="1"/>
        <v>202091</v>
      </c>
      <c r="T61" s="45"/>
      <c r="U61" s="45">
        <v>1653716</v>
      </c>
      <c r="V61" s="35"/>
      <c r="W61" s="45">
        <v>0</v>
      </c>
    </row>
    <row r="62" spans="1:23" s="49" customFormat="1" ht="12.75" customHeight="1">
      <c r="A62" s="44" t="s">
        <v>82</v>
      </c>
      <c r="C62" s="44" t="s">
        <v>13</v>
      </c>
      <c r="D62" s="35"/>
      <c r="E62" s="45">
        <v>10286329</v>
      </c>
      <c r="F62" s="45"/>
      <c r="G62" s="45">
        <v>0</v>
      </c>
      <c r="H62" s="45"/>
      <c r="I62" s="45">
        <f>151669+4906529</f>
        <v>5058198</v>
      </c>
      <c r="J62" s="45"/>
      <c r="K62" s="45">
        <v>5661374</v>
      </c>
      <c r="L62" s="45"/>
      <c r="M62" s="45">
        <v>19000</v>
      </c>
      <c r="N62" s="45"/>
      <c r="O62" s="45">
        <v>355</v>
      </c>
      <c r="P62" s="45"/>
      <c r="Q62" s="45">
        <f>619159+331131</f>
        <v>950290</v>
      </c>
      <c r="R62" s="45"/>
      <c r="S62" s="44">
        <f t="shared" si="1"/>
        <v>409417</v>
      </c>
      <c r="T62" s="45"/>
      <c r="U62" s="45">
        <v>22384963</v>
      </c>
      <c r="V62" s="35"/>
      <c r="W62" s="45">
        <v>12944822</v>
      </c>
    </row>
    <row r="63" spans="1:23" s="49" customFormat="1" ht="12.75" customHeight="1">
      <c r="A63" s="44" t="s">
        <v>83</v>
      </c>
      <c r="C63" s="44" t="s">
        <v>66</v>
      </c>
      <c r="D63" s="35"/>
      <c r="E63" s="45">
        <v>11095223</v>
      </c>
      <c r="F63" s="45"/>
      <c r="G63" s="45">
        <v>113156087</v>
      </c>
      <c r="H63" s="45"/>
      <c r="I63" s="45">
        <v>0</v>
      </c>
      <c r="J63" s="45"/>
      <c r="K63" s="45">
        <v>22023549</v>
      </c>
      <c r="L63" s="45"/>
      <c r="M63" s="45">
        <v>1176699</v>
      </c>
      <c r="N63" s="45"/>
      <c r="O63" s="45">
        <v>2640</v>
      </c>
      <c r="P63" s="45"/>
      <c r="Q63" s="45">
        <f>1824105+1428558</f>
        <v>3252663</v>
      </c>
      <c r="R63" s="45"/>
      <c r="S63" s="44">
        <f t="shared" si="1"/>
        <v>26761456</v>
      </c>
      <c r="T63" s="45"/>
      <c r="U63" s="45">
        <v>177468317</v>
      </c>
      <c r="V63" s="35"/>
      <c r="W63" s="45">
        <v>0</v>
      </c>
    </row>
    <row r="64" spans="1:23" s="139" customFormat="1" ht="12.75" hidden="1" customHeight="1">
      <c r="A64" s="137" t="s">
        <v>84</v>
      </c>
      <c r="B64" s="146"/>
      <c r="C64" s="137" t="s">
        <v>45</v>
      </c>
      <c r="D64" s="142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37">
        <f t="shared" si="1"/>
        <v>0</v>
      </c>
      <c r="T64" s="143"/>
      <c r="U64" s="143"/>
      <c r="V64" s="142"/>
      <c r="W64" s="143"/>
    </row>
    <row r="65" spans="1:23" s="49" customFormat="1" ht="12.75" customHeight="1">
      <c r="A65" s="44" t="s">
        <v>85</v>
      </c>
      <c r="C65" s="44" t="s">
        <v>85</v>
      </c>
      <c r="D65" s="35"/>
      <c r="E65" s="45">
        <v>626588</v>
      </c>
      <c r="F65" s="45"/>
      <c r="G65" s="45">
        <v>6484161</v>
      </c>
      <c r="H65" s="45"/>
      <c r="I65" s="45">
        <v>0</v>
      </c>
      <c r="J65" s="45"/>
      <c r="K65" s="45">
        <v>610120</v>
      </c>
      <c r="L65" s="45"/>
      <c r="M65" s="45">
        <v>858984</v>
      </c>
      <c r="N65" s="45"/>
      <c r="O65" s="45">
        <v>0</v>
      </c>
      <c r="P65" s="45"/>
      <c r="Q65" s="45">
        <f>200697+645114</f>
        <v>845811</v>
      </c>
      <c r="R65" s="45"/>
      <c r="S65" s="44">
        <f t="shared" si="1"/>
        <v>486898</v>
      </c>
      <c r="T65" s="45"/>
      <c r="U65" s="45">
        <v>9912562</v>
      </c>
      <c r="V65" s="35"/>
      <c r="W65" s="45">
        <v>4471</v>
      </c>
    </row>
    <row r="66" spans="1:23" s="49" customFormat="1" ht="12.75" customHeight="1">
      <c r="A66" s="44" t="s">
        <v>86</v>
      </c>
      <c r="C66" s="44" t="s">
        <v>86</v>
      </c>
      <c r="D66" s="35"/>
      <c r="E66" s="45">
        <v>1386189</v>
      </c>
      <c r="F66" s="45"/>
      <c r="G66" s="45">
        <v>9576251</v>
      </c>
      <c r="H66" s="45"/>
      <c r="I66" s="45">
        <v>57116</v>
      </c>
      <c r="J66" s="45"/>
      <c r="K66" s="45">
        <v>1773537</v>
      </c>
      <c r="L66" s="45"/>
      <c r="M66" s="45">
        <v>1951379</v>
      </c>
      <c r="N66" s="45"/>
      <c r="O66" s="45">
        <v>0</v>
      </c>
      <c r="P66" s="45"/>
      <c r="Q66" s="45">
        <f>658822+146857</f>
        <v>805679</v>
      </c>
      <c r="R66" s="45"/>
      <c r="S66" s="44">
        <f t="shared" si="1"/>
        <v>1087001</v>
      </c>
      <c r="T66" s="45"/>
      <c r="U66" s="45">
        <v>16637152</v>
      </c>
      <c r="V66" s="35"/>
      <c r="W66" s="45">
        <v>59791</v>
      </c>
    </row>
    <row r="67" spans="1:23" s="49" customFormat="1" ht="12.75" customHeight="1">
      <c r="A67" s="46" t="s">
        <v>87</v>
      </c>
      <c r="B67" s="46"/>
      <c r="C67" s="46" t="s">
        <v>88</v>
      </c>
      <c r="D67" s="64"/>
      <c r="E67" s="45">
        <v>497388</v>
      </c>
      <c r="F67" s="45"/>
      <c r="G67" s="45">
        <v>1572668</v>
      </c>
      <c r="H67" s="45"/>
      <c r="I67" s="45">
        <v>0</v>
      </c>
      <c r="J67" s="45"/>
      <c r="K67" s="45">
        <v>379918</v>
      </c>
      <c r="L67" s="45"/>
      <c r="M67" s="45">
        <v>284738</v>
      </c>
      <c r="N67" s="45"/>
      <c r="O67" s="45">
        <v>0</v>
      </c>
      <c r="P67" s="45"/>
      <c r="Q67" s="45">
        <v>135530</v>
      </c>
      <c r="R67" s="45"/>
      <c r="S67" s="44">
        <f t="shared" si="1"/>
        <v>259828</v>
      </c>
      <c r="T67" s="45"/>
      <c r="U67" s="45">
        <v>3130070</v>
      </c>
      <c r="V67" s="35"/>
      <c r="W67" s="45">
        <v>0</v>
      </c>
    </row>
    <row r="68" spans="1:23" s="49" customFormat="1" ht="12.75" customHeight="1">
      <c r="A68" s="44" t="s">
        <v>394</v>
      </c>
      <c r="C68" s="44" t="s">
        <v>89</v>
      </c>
      <c r="D68" s="35"/>
      <c r="E68" s="45">
        <v>1031244</v>
      </c>
      <c r="F68" s="45"/>
      <c r="G68" s="45">
        <v>2428013</v>
      </c>
      <c r="H68" s="45"/>
      <c r="I68" s="45">
        <v>0</v>
      </c>
      <c r="J68" s="45"/>
      <c r="K68" s="45">
        <v>641472</v>
      </c>
      <c r="L68" s="45"/>
      <c r="M68" s="45">
        <v>1946297</v>
      </c>
      <c r="N68" s="45"/>
      <c r="O68" s="45">
        <v>0</v>
      </c>
      <c r="P68" s="45"/>
      <c r="Q68" s="45">
        <v>52453</v>
      </c>
      <c r="R68" s="45"/>
      <c r="S68" s="44">
        <f t="shared" si="1"/>
        <v>346203</v>
      </c>
      <c r="T68" s="45"/>
      <c r="U68" s="45">
        <v>6445682</v>
      </c>
      <c r="V68" s="35"/>
      <c r="W68" s="45">
        <v>0</v>
      </c>
    </row>
    <row r="69" spans="1:23" s="49" customFormat="1" ht="12.75" customHeight="1">
      <c r="A69" s="44" t="s">
        <v>90</v>
      </c>
      <c r="C69" s="44" t="s">
        <v>43</v>
      </c>
      <c r="D69" s="35"/>
      <c r="E69" s="45">
        <v>146</v>
      </c>
      <c r="F69" s="45"/>
      <c r="G69" s="45">
        <v>48604780</v>
      </c>
      <c r="H69" s="45"/>
      <c r="I69" s="45">
        <v>0</v>
      </c>
      <c r="J69" s="45"/>
      <c r="K69" s="45">
        <v>909056</v>
      </c>
      <c r="L69" s="45"/>
      <c r="M69" s="45">
        <v>1952243</v>
      </c>
      <c r="N69" s="45"/>
      <c r="O69" s="45">
        <v>0</v>
      </c>
      <c r="P69" s="45"/>
      <c r="Q69" s="45">
        <v>2475720</v>
      </c>
      <c r="R69" s="45"/>
      <c r="S69" s="44">
        <f t="shared" si="1"/>
        <v>2501472</v>
      </c>
      <c r="T69" s="45"/>
      <c r="U69" s="45">
        <v>56443417</v>
      </c>
      <c r="V69" s="35"/>
      <c r="W69" s="45">
        <v>0</v>
      </c>
    </row>
    <row r="70" spans="1:23" s="49" customFormat="1" ht="12.75" customHeight="1">
      <c r="A70" s="44" t="s">
        <v>93</v>
      </c>
      <c r="C70" s="44" t="s">
        <v>94</v>
      </c>
      <c r="D70" s="35"/>
      <c r="E70" s="45">
        <v>225086</v>
      </c>
      <c r="F70" s="45"/>
      <c r="G70" s="45">
        <v>2659407</v>
      </c>
      <c r="H70" s="45"/>
      <c r="I70" s="45">
        <v>0</v>
      </c>
      <c r="J70" s="45"/>
      <c r="K70" s="45">
        <v>0</v>
      </c>
      <c r="L70" s="45"/>
      <c r="M70" s="45">
        <v>479495</v>
      </c>
      <c r="N70" s="45"/>
      <c r="O70" s="45">
        <v>0</v>
      </c>
      <c r="P70" s="45"/>
      <c r="Q70" s="45">
        <v>568530</v>
      </c>
      <c r="R70" s="45"/>
      <c r="S70" s="44">
        <f t="shared" si="1"/>
        <v>124581</v>
      </c>
      <c r="T70" s="45"/>
      <c r="U70" s="45">
        <v>4057099</v>
      </c>
      <c r="V70" s="35"/>
      <c r="W70" s="45">
        <v>0</v>
      </c>
    </row>
    <row r="71" spans="1:23" s="49" customFormat="1" ht="12.75" customHeight="1">
      <c r="A71" s="44" t="s">
        <v>492</v>
      </c>
      <c r="C71" s="44" t="s">
        <v>27</v>
      </c>
      <c r="D71" s="35"/>
      <c r="E71" s="45">
        <v>1951683</v>
      </c>
      <c r="F71" s="45"/>
      <c r="G71" s="45">
        <v>6203464</v>
      </c>
      <c r="H71" s="45"/>
      <c r="I71" s="45">
        <v>0</v>
      </c>
      <c r="J71" s="45"/>
      <c r="K71" s="45">
        <v>663954</v>
      </c>
      <c r="L71" s="45"/>
      <c r="M71" s="45">
        <v>4378980</v>
      </c>
      <c r="N71" s="45"/>
      <c r="O71" s="45">
        <v>350489</v>
      </c>
      <c r="P71" s="45"/>
      <c r="Q71" s="45">
        <f>3660329+255147</f>
        <v>3915476</v>
      </c>
      <c r="R71" s="45"/>
      <c r="S71" s="44">
        <f>U71-E71-G71-K71-M71-O71-Q71-I71</f>
        <v>1019870</v>
      </c>
      <c r="T71" s="45"/>
      <c r="U71" s="45">
        <v>18483916</v>
      </c>
      <c r="V71" s="35"/>
      <c r="W71" s="45">
        <v>11769</v>
      </c>
    </row>
    <row r="72" spans="1:23" s="49" customFormat="1" ht="12.75" customHeight="1">
      <c r="A72" s="44" t="s">
        <v>472</v>
      </c>
      <c r="C72" s="44"/>
      <c r="D72" s="3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4"/>
      <c r="T72" s="45"/>
      <c r="U72" s="45"/>
      <c r="V72" s="35"/>
      <c r="W72" s="48" t="s">
        <v>485</v>
      </c>
    </row>
    <row r="73" spans="1:23" s="46" customFormat="1" ht="12.75" customHeight="1">
      <c r="A73" s="46" t="s">
        <v>95</v>
      </c>
      <c r="C73" s="46" t="s">
        <v>94</v>
      </c>
      <c r="D73" s="64"/>
      <c r="E73" s="94">
        <v>1115509</v>
      </c>
      <c r="F73" s="94"/>
      <c r="G73" s="94">
        <v>0</v>
      </c>
      <c r="H73" s="94"/>
      <c r="I73" s="94">
        <v>0</v>
      </c>
      <c r="J73" s="94"/>
      <c r="K73" s="94">
        <v>246444</v>
      </c>
      <c r="L73" s="94"/>
      <c r="M73" s="94">
        <v>184056</v>
      </c>
      <c r="N73" s="94"/>
      <c r="O73" s="94">
        <v>0</v>
      </c>
      <c r="P73" s="94"/>
      <c r="Q73" s="94">
        <v>8248</v>
      </c>
      <c r="R73" s="94"/>
      <c r="S73" s="46">
        <f t="shared" ref="S73:S79" si="2">U73-E73-G73-K73-M73-O73-Q73-I73</f>
        <v>124733</v>
      </c>
      <c r="T73" s="94"/>
      <c r="U73" s="94">
        <v>1678990</v>
      </c>
      <c r="V73" s="64"/>
      <c r="W73" s="94">
        <f>300+146000</f>
        <v>146300</v>
      </c>
    </row>
    <row r="74" spans="1:23" s="49" customFormat="1" ht="12.75" customHeight="1">
      <c r="A74" s="44" t="s">
        <v>91</v>
      </c>
      <c r="C74" s="44" t="s">
        <v>92</v>
      </c>
      <c r="D74" s="35"/>
      <c r="E74" s="45">
        <v>1509320</v>
      </c>
      <c r="F74" s="45"/>
      <c r="G74" s="45">
        <v>7336872</v>
      </c>
      <c r="H74" s="45"/>
      <c r="I74" s="45">
        <f>2415389+373085</f>
        <v>2788474</v>
      </c>
      <c r="J74" s="45"/>
      <c r="K74" s="45">
        <v>1093850</v>
      </c>
      <c r="L74" s="45"/>
      <c r="M74" s="45">
        <v>593945</v>
      </c>
      <c r="N74" s="45"/>
      <c r="O74" s="45">
        <v>0</v>
      </c>
      <c r="P74" s="45"/>
      <c r="Q74" s="45">
        <v>264312</v>
      </c>
      <c r="R74" s="45"/>
      <c r="S74" s="44">
        <f t="shared" si="2"/>
        <v>998856</v>
      </c>
      <c r="T74" s="45"/>
      <c r="U74" s="45">
        <v>14585629</v>
      </c>
      <c r="V74" s="35"/>
      <c r="W74" s="45">
        <f>2000+10605+9131</f>
        <v>21736</v>
      </c>
    </row>
    <row r="75" spans="1:23" s="49" customFormat="1" ht="12.75" customHeight="1">
      <c r="A75" s="44" t="s">
        <v>96</v>
      </c>
      <c r="C75" s="44" t="s">
        <v>97</v>
      </c>
      <c r="D75" s="35"/>
      <c r="E75" s="45">
        <v>591086</v>
      </c>
      <c r="F75" s="45"/>
      <c r="G75" s="45">
        <v>1041479</v>
      </c>
      <c r="H75" s="45"/>
      <c r="I75" s="45">
        <v>0</v>
      </c>
      <c r="J75" s="45"/>
      <c r="K75" s="45">
        <v>28417</v>
      </c>
      <c r="L75" s="45"/>
      <c r="M75" s="45">
        <v>568513</v>
      </c>
      <c r="N75" s="45"/>
      <c r="O75" s="45">
        <v>0</v>
      </c>
      <c r="P75" s="45"/>
      <c r="Q75" s="45">
        <f>740422+159219</f>
        <v>899641</v>
      </c>
      <c r="R75" s="45"/>
      <c r="S75" s="44">
        <f t="shared" si="2"/>
        <v>491859</v>
      </c>
      <c r="T75" s="45"/>
      <c r="U75" s="45">
        <v>3620995</v>
      </c>
      <c r="V75" s="35"/>
      <c r="W75" s="45">
        <v>318</v>
      </c>
    </row>
    <row r="76" spans="1:23" s="49" customFormat="1" ht="12.75" customHeight="1">
      <c r="A76" s="44" t="s">
        <v>98</v>
      </c>
      <c r="C76" s="44" t="s">
        <v>17</v>
      </c>
      <c r="D76" s="35"/>
      <c r="E76" s="45">
        <f>1711494</f>
        <v>1711494</v>
      </c>
      <c r="F76" s="45"/>
      <c r="G76" s="45">
        <v>18367087</v>
      </c>
      <c r="H76" s="45"/>
      <c r="I76" s="45">
        <v>508796</v>
      </c>
      <c r="J76" s="45"/>
      <c r="K76" s="45">
        <v>2083255</v>
      </c>
      <c r="L76" s="45"/>
      <c r="M76" s="45">
        <v>4154309</v>
      </c>
      <c r="N76" s="45"/>
      <c r="O76" s="45">
        <v>14053</v>
      </c>
      <c r="P76" s="45"/>
      <c r="Q76" s="45">
        <v>610677</v>
      </c>
      <c r="R76" s="45"/>
      <c r="S76" s="44">
        <f t="shared" si="2"/>
        <v>1132949</v>
      </c>
      <c r="T76" s="45"/>
      <c r="U76" s="45">
        <v>28582620</v>
      </c>
      <c r="V76" s="35"/>
      <c r="W76" s="45">
        <v>325000</v>
      </c>
    </row>
    <row r="77" spans="1:23" s="49" customFormat="1" ht="12.75" customHeight="1">
      <c r="A77" s="44" t="s">
        <v>99</v>
      </c>
      <c r="C77" s="44" t="s">
        <v>66</v>
      </c>
      <c r="D77" s="35"/>
      <c r="E77" s="45">
        <v>848243</v>
      </c>
      <c r="F77" s="45"/>
      <c r="G77" s="45">
        <v>5889439</v>
      </c>
      <c r="H77" s="45"/>
      <c r="I77" s="45">
        <v>0</v>
      </c>
      <c r="J77" s="45"/>
      <c r="K77" s="45">
        <v>175941</v>
      </c>
      <c r="L77" s="45"/>
      <c r="M77" s="45">
        <v>1127703</v>
      </c>
      <c r="N77" s="45"/>
      <c r="O77" s="45">
        <v>0</v>
      </c>
      <c r="P77" s="45"/>
      <c r="Q77" s="45">
        <f>88284+4448</f>
        <v>92732</v>
      </c>
      <c r="R77" s="45"/>
      <c r="S77" s="44">
        <f t="shared" si="2"/>
        <v>812619</v>
      </c>
      <c r="T77" s="45"/>
      <c r="U77" s="45">
        <v>8946677</v>
      </c>
      <c r="V77" s="35"/>
      <c r="W77" s="45">
        <v>2009</v>
      </c>
    </row>
    <row r="78" spans="1:23" s="49" customFormat="1" ht="12.75" customHeight="1">
      <c r="A78" s="44" t="s">
        <v>100</v>
      </c>
      <c r="C78" s="44" t="s">
        <v>27</v>
      </c>
      <c r="D78" s="35"/>
      <c r="E78" s="45">
        <v>2277243</v>
      </c>
      <c r="F78" s="45"/>
      <c r="G78" s="45">
        <v>25508186</v>
      </c>
      <c r="H78" s="45"/>
      <c r="I78" s="45">
        <v>0</v>
      </c>
      <c r="J78" s="45"/>
      <c r="K78" s="45">
        <v>3850572</v>
      </c>
      <c r="L78" s="45"/>
      <c r="M78" s="45">
        <v>4864631</v>
      </c>
      <c r="N78" s="45"/>
      <c r="O78" s="45">
        <v>0</v>
      </c>
      <c r="P78" s="45"/>
      <c r="Q78" s="45">
        <v>1655238</v>
      </c>
      <c r="R78" s="45"/>
      <c r="S78" s="44">
        <f t="shared" si="2"/>
        <v>1295874</v>
      </c>
      <c r="T78" s="45"/>
      <c r="U78" s="45">
        <v>39451744</v>
      </c>
      <c r="V78" s="35"/>
      <c r="W78" s="45">
        <v>286456</v>
      </c>
    </row>
    <row r="79" spans="1:23" s="49" customFormat="1" ht="12.75" customHeight="1">
      <c r="A79" s="44" t="s">
        <v>101</v>
      </c>
      <c r="C79" s="44" t="s">
        <v>30</v>
      </c>
      <c r="D79" s="35"/>
      <c r="E79" s="45">
        <v>9691574</v>
      </c>
      <c r="F79" s="45"/>
      <c r="G79" s="45">
        <v>0</v>
      </c>
      <c r="H79" s="45"/>
      <c r="I79" s="45">
        <v>0</v>
      </c>
      <c r="J79" s="45"/>
      <c r="K79" s="45">
        <v>2657504</v>
      </c>
      <c r="L79" s="45"/>
      <c r="M79" s="45">
        <v>681893</v>
      </c>
      <c r="N79" s="45"/>
      <c r="O79" s="45">
        <v>0</v>
      </c>
      <c r="P79" s="45"/>
      <c r="Q79" s="45">
        <v>1470950</v>
      </c>
      <c r="R79" s="45"/>
      <c r="S79" s="44">
        <f t="shared" si="2"/>
        <v>2217493</v>
      </c>
      <c r="T79" s="45"/>
      <c r="U79" s="45">
        <v>16719414</v>
      </c>
      <c r="V79" s="35"/>
      <c r="W79" s="45">
        <f>228+10880</f>
        <v>11108</v>
      </c>
    </row>
    <row r="80" spans="1:23" s="49" customFormat="1" ht="12.75" customHeight="1">
      <c r="A80" s="44" t="s">
        <v>102</v>
      </c>
      <c r="C80" s="44" t="s">
        <v>103</v>
      </c>
      <c r="D80" s="35"/>
      <c r="E80" s="45">
        <v>18610288</v>
      </c>
      <c r="F80" s="45"/>
      <c r="G80" s="45">
        <v>0</v>
      </c>
      <c r="H80" s="45"/>
      <c r="I80" s="45">
        <v>0</v>
      </c>
      <c r="J80" s="45"/>
      <c r="K80" s="45">
        <v>1026391</v>
      </c>
      <c r="L80" s="45"/>
      <c r="M80" s="45">
        <v>3417475</v>
      </c>
      <c r="N80" s="45"/>
      <c r="O80" s="45">
        <v>35121</v>
      </c>
      <c r="P80" s="45"/>
      <c r="Q80" s="45">
        <v>1393124</v>
      </c>
      <c r="R80" s="45"/>
      <c r="S80" s="44">
        <f t="shared" ref="S80:S108" si="3">U80-E80-G80-K80-M80-O80-Q80-I80</f>
        <v>938759</v>
      </c>
      <c r="T80" s="45"/>
      <c r="U80" s="45">
        <v>25421158</v>
      </c>
      <c r="V80" s="35"/>
      <c r="W80" s="45">
        <v>0</v>
      </c>
    </row>
    <row r="81" spans="1:23" s="49" customFormat="1" ht="12.75" customHeight="1">
      <c r="A81" s="44" t="s">
        <v>104</v>
      </c>
      <c r="C81" s="44" t="s">
        <v>13</v>
      </c>
      <c r="D81" s="35"/>
      <c r="E81" s="45">
        <v>694037</v>
      </c>
      <c r="F81" s="45"/>
      <c r="G81" s="45">
        <v>5692431</v>
      </c>
      <c r="H81" s="45"/>
      <c r="I81" s="45">
        <v>0</v>
      </c>
      <c r="J81" s="45"/>
      <c r="K81" s="45">
        <v>49082</v>
      </c>
      <c r="L81" s="45"/>
      <c r="M81" s="45">
        <v>1447590</v>
      </c>
      <c r="N81" s="45"/>
      <c r="O81" s="45">
        <v>0</v>
      </c>
      <c r="P81" s="45"/>
      <c r="Q81" s="45">
        <v>162927</v>
      </c>
      <c r="R81" s="45"/>
      <c r="S81" s="44">
        <f t="shared" si="3"/>
        <v>2811512</v>
      </c>
      <c r="T81" s="45"/>
      <c r="U81" s="45">
        <v>10857579</v>
      </c>
      <c r="V81" s="35"/>
      <c r="W81" s="45">
        <v>5726</v>
      </c>
    </row>
    <row r="82" spans="1:23" s="49" customFormat="1" ht="12.75" customHeight="1">
      <c r="A82" s="44" t="s">
        <v>105</v>
      </c>
      <c r="C82" s="44" t="s">
        <v>27</v>
      </c>
      <c r="D82" s="35"/>
      <c r="E82" s="45">
        <v>3369014</v>
      </c>
      <c r="F82" s="45"/>
      <c r="G82" s="45">
        <v>4148168</v>
      </c>
      <c r="H82" s="45"/>
      <c r="I82" s="45">
        <v>0</v>
      </c>
      <c r="J82" s="45"/>
      <c r="K82" s="45">
        <v>65979</v>
      </c>
      <c r="L82" s="45"/>
      <c r="M82" s="45">
        <v>1008608</v>
      </c>
      <c r="N82" s="45"/>
      <c r="O82" s="45">
        <v>0</v>
      </c>
      <c r="P82" s="45"/>
      <c r="Q82" s="45">
        <f>209573+90276</f>
        <v>299849</v>
      </c>
      <c r="R82" s="45"/>
      <c r="S82" s="44">
        <f t="shared" si="3"/>
        <v>394999</v>
      </c>
      <c r="T82" s="45"/>
      <c r="U82" s="45">
        <v>9286617</v>
      </c>
      <c r="V82" s="35"/>
      <c r="W82" s="45">
        <v>0</v>
      </c>
    </row>
    <row r="83" spans="1:23" s="49" customFormat="1" ht="12.75" customHeight="1">
      <c r="A83" s="44" t="s">
        <v>106</v>
      </c>
      <c r="C83" s="44" t="s">
        <v>107</v>
      </c>
      <c r="D83" s="35"/>
      <c r="E83" s="45">
        <v>1879613</v>
      </c>
      <c r="F83" s="45"/>
      <c r="G83" s="45">
        <v>2645547</v>
      </c>
      <c r="H83" s="45"/>
      <c r="I83" s="45">
        <v>0</v>
      </c>
      <c r="J83" s="45"/>
      <c r="K83" s="45">
        <v>348671</v>
      </c>
      <c r="L83" s="45"/>
      <c r="M83" s="45">
        <v>2713734</v>
      </c>
      <c r="N83" s="45"/>
      <c r="O83" s="45">
        <v>0</v>
      </c>
      <c r="P83" s="45"/>
      <c r="Q83" s="45">
        <f>348671+1115732</f>
        <v>1464403</v>
      </c>
      <c r="R83" s="45"/>
      <c r="S83" s="44">
        <f t="shared" si="3"/>
        <v>1871220</v>
      </c>
      <c r="T83" s="45"/>
      <c r="U83" s="45">
        <v>10923188</v>
      </c>
      <c r="V83" s="35"/>
      <c r="W83" s="45">
        <f>36378+18441637</f>
        <v>18478015</v>
      </c>
    </row>
    <row r="84" spans="1:23" s="49" customFormat="1" ht="12.75" customHeight="1">
      <c r="A84" s="44" t="s">
        <v>108</v>
      </c>
      <c r="C84" s="44" t="s">
        <v>45</v>
      </c>
      <c r="D84" s="35"/>
      <c r="E84" s="45">
        <v>8597703</v>
      </c>
      <c r="F84" s="45"/>
      <c r="G84" s="45">
        <v>0</v>
      </c>
      <c r="H84" s="45"/>
      <c r="I84" s="45">
        <v>0</v>
      </c>
      <c r="J84" s="45"/>
      <c r="K84" s="45">
        <v>73597</v>
      </c>
      <c r="L84" s="45"/>
      <c r="M84" s="45">
        <v>567107</v>
      </c>
      <c r="N84" s="45"/>
      <c r="O84" s="45">
        <v>10201</v>
      </c>
      <c r="P84" s="45"/>
      <c r="Q84" s="45">
        <v>290177</v>
      </c>
      <c r="R84" s="45"/>
      <c r="S84" s="44">
        <f t="shared" si="3"/>
        <v>284282</v>
      </c>
      <c r="T84" s="45"/>
      <c r="U84" s="45">
        <v>9823067</v>
      </c>
      <c r="V84" s="35"/>
      <c r="W84" s="45">
        <f>12276+810000</f>
        <v>822276</v>
      </c>
    </row>
    <row r="85" spans="1:23" s="44" customFormat="1" ht="12.75" customHeight="1">
      <c r="A85" s="44" t="s">
        <v>109</v>
      </c>
      <c r="C85" s="44" t="s">
        <v>110</v>
      </c>
      <c r="D85" s="35"/>
      <c r="E85" s="45">
        <v>843745</v>
      </c>
      <c r="F85" s="45"/>
      <c r="G85" s="45">
        <v>6056168</v>
      </c>
      <c r="H85" s="45"/>
      <c r="I85" s="45">
        <v>33802</v>
      </c>
      <c r="J85" s="45"/>
      <c r="K85" s="45">
        <v>636778</v>
      </c>
      <c r="L85" s="45"/>
      <c r="M85" s="45">
        <v>518968</v>
      </c>
      <c r="N85" s="45"/>
      <c r="O85" s="45">
        <v>0</v>
      </c>
      <c r="P85" s="45"/>
      <c r="Q85" s="45">
        <v>12596</v>
      </c>
      <c r="R85" s="45"/>
      <c r="S85" s="44">
        <f t="shared" si="3"/>
        <v>329319</v>
      </c>
      <c r="T85" s="45"/>
      <c r="U85" s="45">
        <v>8431376</v>
      </c>
      <c r="V85" s="35"/>
      <c r="W85" s="45">
        <v>29859</v>
      </c>
    </row>
    <row r="86" spans="1:23" s="49" customFormat="1" ht="12.75" customHeight="1">
      <c r="A86" s="44" t="s">
        <v>43</v>
      </c>
      <c r="C86" s="44" t="s">
        <v>111</v>
      </c>
      <c r="D86" s="35"/>
      <c r="E86" s="45">
        <v>655742</v>
      </c>
      <c r="F86" s="45"/>
      <c r="G86" s="45">
        <v>5398222</v>
      </c>
      <c r="H86" s="45"/>
      <c r="I86" s="45">
        <v>0</v>
      </c>
      <c r="J86" s="45"/>
      <c r="K86" s="45">
        <v>121157</v>
      </c>
      <c r="L86" s="45"/>
      <c r="M86" s="45">
        <v>683754</v>
      </c>
      <c r="N86" s="45"/>
      <c r="O86" s="45">
        <v>0</v>
      </c>
      <c r="P86" s="45"/>
      <c r="Q86" s="45">
        <v>457179</v>
      </c>
      <c r="R86" s="45"/>
      <c r="S86" s="44">
        <f t="shared" si="3"/>
        <v>753743</v>
      </c>
      <c r="T86" s="45"/>
      <c r="U86" s="45">
        <v>8069797</v>
      </c>
      <c r="V86" s="35"/>
      <c r="W86" s="45">
        <v>4780</v>
      </c>
    </row>
    <row r="87" spans="1:23" s="49" customFormat="1" ht="12.75" customHeight="1">
      <c r="A87" s="44" t="s">
        <v>112</v>
      </c>
      <c r="C87" s="44" t="s">
        <v>76</v>
      </c>
      <c r="D87" s="35"/>
      <c r="E87" s="45">
        <v>975166</v>
      </c>
      <c r="F87" s="45"/>
      <c r="G87" s="45">
        <v>0</v>
      </c>
      <c r="H87" s="45"/>
      <c r="I87" s="45">
        <v>0</v>
      </c>
      <c r="J87" s="45"/>
      <c r="K87" s="45">
        <v>49284</v>
      </c>
      <c r="L87" s="45"/>
      <c r="M87" s="45">
        <v>1348734</v>
      </c>
      <c r="N87" s="45"/>
      <c r="O87" s="45">
        <v>0</v>
      </c>
      <c r="P87" s="45"/>
      <c r="Q87" s="45">
        <f>244922+8868</f>
        <v>253790</v>
      </c>
      <c r="R87" s="45"/>
      <c r="S87" s="44">
        <f t="shared" si="3"/>
        <v>927333</v>
      </c>
      <c r="T87" s="45"/>
      <c r="U87" s="45">
        <v>3554307</v>
      </c>
      <c r="V87" s="35"/>
      <c r="W87" s="45">
        <f>4760000+19473</f>
        <v>4779473</v>
      </c>
    </row>
    <row r="88" spans="1:23" s="49" customFormat="1" ht="12.75" customHeight="1">
      <c r="A88" s="44" t="s">
        <v>113</v>
      </c>
      <c r="C88" s="44" t="s">
        <v>43</v>
      </c>
      <c r="D88" s="35"/>
      <c r="E88" s="45">
        <v>1514519</v>
      </c>
      <c r="F88" s="45"/>
      <c r="G88" s="45">
        <v>14448528</v>
      </c>
      <c r="H88" s="45"/>
      <c r="I88" s="45">
        <v>865751</v>
      </c>
      <c r="J88" s="45"/>
      <c r="K88" s="45">
        <v>3433226</v>
      </c>
      <c r="L88" s="45"/>
      <c r="M88" s="45">
        <v>5019985</v>
      </c>
      <c r="N88" s="45"/>
      <c r="O88" s="45">
        <v>0</v>
      </c>
      <c r="P88" s="45"/>
      <c r="Q88" s="45">
        <v>923875</v>
      </c>
      <c r="R88" s="45"/>
      <c r="S88" s="44">
        <f t="shared" si="3"/>
        <v>3976768</v>
      </c>
      <c r="T88" s="45"/>
      <c r="U88" s="45">
        <v>30182652</v>
      </c>
      <c r="V88" s="35"/>
      <c r="W88" s="45">
        <v>4710427</v>
      </c>
    </row>
    <row r="89" spans="1:23" s="49" customFormat="1" ht="12.75" customHeight="1">
      <c r="A89" s="44" t="s">
        <v>493</v>
      </c>
      <c r="C89" s="44" t="s">
        <v>57</v>
      </c>
      <c r="D89" s="35"/>
      <c r="E89" s="45">
        <v>425636</v>
      </c>
      <c r="F89" s="45"/>
      <c r="G89" s="45">
        <v>1957498</v>
      </c>
      <c r="H89" s="45"/>
      <c r="I89" s="45">
        <v>457085</v>
      </c>
      <c r="J89" s="45"/>
      <c r="K89" s="45">
        <v>1013289</v>
      </c>
      <c r="L89" s="45"/>
      <c r="M89" s="45">
        <v>700181</v>
      </c>
      <c r="N89" s="45"/>
      <c r="O89" s="45">
        <v>0</v>
      </c>
      <c r="P89" s="45"/>
      <c r="Q89" s="45">
        <f>54517+27830</f>
        <v>82347</v>
      </c>
      <c r="R89" s="45"/>
      <c r="S89" s="44">
        <f>U89-E89-G89-K89-M89-O89-Q89-I89</f>
        <v>339704</v>
      </c>
      <c r="T89" s="45"/>
      <c r="U89" s="45">
        <v>4975740</v>
      </c>
      <c r="V89" s="35"/>
      <c r="W89" s="45">
        <v>62295</v>
      </c>
    </row>
    <row r="90" spans="1:23" s="49" customFormat="1" ht="12.75" customHeight="1">
      <c r="A90" s="44" t="s">
        <v>114</v>
      </c>
      <c r="C90" s="44" t="s">
        <v>27</v>
      </c>
      <c r="D90" s="35"/>
      <c r="E90" s="45">
        <v>6918171</v>
      </c>
      <c r="F90" s="45"/>
      <c r="G90" s="45">
        <v>8141026</v>
      </c>
      <c r="H90" s="45"/>
      <c r="I90" s="45">
        <v>0</v>
      </c>
      <c r="J90" s="45"/>
      <c r="K90" s="45">
        <v>2160055</v>
      </c>
      <c r="L90" s="45"/>
      <c r="M90" s="45">
        <v>3458491</v>
      </c>
      <c r="N90" s="45"/>
      <c r="O90" s="45">
        <v>0</v>
      </c>
      <c r="P90" s="45"/>
      <c r="Q90" s="45">
        <f>249111+481191</f>
        <v>730302</v>
      </c>
      <c r="R90" s="45"/>
      <c r="S90" s="44">
        <f>U90-E90-G90-K90-M90-O90-Q90-I90</f>
        <v>523061</v>
      </c>
      <c r="T90" s="45"/>
      <c r="U90" s="45">
        <v>21931106</v>
      </c>
      <c r="V90" s="35"/>
      <c r="W90" s="45">
        <v>93589</v>
      </c>
    </row>
    <row r="91" spans="1:23" s="49" customFormat="1" ht="12.75" customHeight="1">
      <c r="A91" s="44" t="s">
        <v>115</v>
      </c>
      <c r="C91" s="44" t="s">
        <v>19</v>
      </c>
      <c r="D91" s="35"/>
      <c r="E91" s="45">
        <v>514214</v>
      </c>
      <c r="F91" s="45"/>
      <c r="G91" s="45">
        <v>2346587</v>
      </c>
      <c r="H91" s="45"/>
      <c r="I91" s="45">
        <v>0</v>
      </c>
      <c r="J91" s="45"/>
      <c r="K91" s="45">
        <v>299362</v>
      </c>
      <c r="L91" s="45"/>
      <c r="M91" s="45">
        <v>357883</v>
      </c>
      <c r="N91" s="45"/>
      <c r="O91" s="45">
        <v>0</v>
      </c>
      <c r="P91" s="45"/>
      <c r="Q91" s="45">
        <v>212056</v>
      </c>
      <c r="R91" s="45"/>
      <c r="S91" s="44">
        <f t="shared" si="3"/>
        <v>115631</v>
      </c>
      <c r="T91" s="45"/>
      <c r="U91" s="45">
        <v>3845733</v>
      </c>
      <c r="V91" s="35"/>
      <c r="W91" s="45">
        <v>0</v>
      </c>
    </row>
    <row r="92" spans="1:23" s="49" customFormat="1" ht="12.75" customHeight="1">
      <c r="A92" s="44" t="s">
        <v>116</v>
      </c>
      <c r="C92" s="44" t="s">
        <v>80</v>
      </c>
      <c r="D92" s="35"/>
      <c r="E92" s="45">
        <v>290474</v>
      </c>
      <c r="F92" s="45"/>
      <c r="G92" s="45">
        <v>3137565</v>
      </c>
      <c r="H92" s="45"/>
      <c r="I92" s="45">
        <v>0</v>
      </c>
      <c r="J92" s="45"/>
      <c r="K92" s="45">
        <v>0</v>
      </c>
      <c r="L92" s="45"/>
      <c r="M92" s="45">
        <v>419874</v>
      </c>
      <c r="N92" s="45"/>
      <c r="O92" s="45">
        <v>0</v>
      </c>
      <c r="P92" s="45"/>
      <c r="Q92" s="45">
        <v>860999</v>
      </c>
      <c r="R92" s="45"/>
      <c r="S92" s="44">
        <f>U92-E92-G92-K92-M92-O92-Q92-I92</f>
        <v>321846</v>
      </c>
      <c r="T92" s="45"/>
      <c r="U92" s="45">
        <v>5030758</v>
      </c>
      <c r="V92" s="35"/>
      <c r="W92" s="45">
        <v>0</v>
      </c>
    </row>
    <row r="93" spans="1:23" s="49" customFormat="1" ht="12.75" customHeight="1">
      <c r="A93" s="44" t="s">
        <v>117</v>
      </c>
      <c r="C93" s="44" t="s">
        <v>43</v>
      </c>
      <c r="D93" s="35"/>
      <c r="E93" s="45">
        <v>1482920</v>
      </c>
      <c r="F93" s="45"/>
      <c r="G93" s="45">
        <v>5559384</v>
      </c>
      <c r="H93" s="45"/>
      <c r="I93" s="45">
        <v>0</v>
      </c>
      <c r="J93" s="45"/>
      <c r="K93" s="45">
        <v>854592</v>
      </c>
      <c r="L93" s="45"/>
      <c r="M93" s="45">
        <v>1008013</v>
      </c>
      <c r="N93" s="45"/>
      <c r="O93" s="45">
        <v>0</v>
      </c>
      <c r="P93" s="45"/>
      <c r="Q93" s="45">
        <f>99004+119014</f>
        <v>218018</v>
      </c>
      <c r="R93" s="45"/>
      <c r="S93" s="44">
        <f>U93-E93-G93-K93-M93-O93-Q93-I93</f>
        <v>159109</v>
      </c>
      <c r="T93" s="45"/>
      <c r="U93" s="45">
        <v>9282036</v>
      </c>
      <c r="V93" s="35"/>
      <c r="W93" s="45">
        <v>9675</v>
      </c>
    </row>
    <row r="94" spans="1:23" s="49" customFormat="1" ht="12.75" customHeight="1">
      <c r="A94" s="44" t="s">
        <v>118</v>
      </c>
      <c r="C94" s="44" t="s">
        <v>13</v>
      </c>
      <c r="D94" s="35"/>
      <c r="E94" s="45">
        <v>1720214</v>
      </c>
      <c r="F94" s="45"/>
      <c r="G94" s="45">
        <v>15235239</v>
      </c>
      <c r="H94" s="45"/>
      <c r="I94" s="45">
        <v>0</v>
      </c>
      <c r="J94" s="45"/>
      <c r="K94" s="45">
        <v>0</v>
      </c>
      <c r="L94" s="45"/>
      <c r="M94" s="45">
        <v>1923266</v>
      </c>
      <c r="N94" s="45"/>
      <c r="O94" s="45">
        <v>0</v>
      </c>
      <c r="P94" s="45"/>
      <c r="Q94" s="45">
        <v>163179</v>
      </c>
      <c r="R94" s="45"/>
      <c r="S94" s="44">
        <f t="shared" si="3"/>
        <v>1607584</v>
      </c>
      <c r="T94" s="45"/>
      <c r="U94" s="45">
        <v>20649482</v>
      </c>
      <c r="V94" s="35"/>
      <c r="W94" s="45">
        <v>0</v>
      </c>
    </row>
    <row r="95" spans="1:23" s="49" customFormat="1" ht="12.75" customHeight="1">
      <c r="A95" s="44" t="s">
        <v>120</v>
      </c>
      <c r="C95" s="44" t="s">
        <v>121</v>
      </c>
      <c r="D95" s="35"/>
      <c r="E95" s="45">
        <v>1400311</v>
      </c>
      <c r="F95" s="45"/>
      <c r="G95" s="45">
        <v>5873385</v>
      </c>
      <c r="H95" s="45"/>
      <c r="I95" s="45">
        <v>0</v>
      </c>
      <c r="J95" s="45"/>
      <c r="K95" s="45">
        <v>182689</v>
      </c>
      <c r="L95" s="45"/>
      <c r="M95" s="45">
        <v>884706</v>
      </c>
      <c r="N95" s="45"/>
      <c r="O95" s="45">
        <v>4716</v>
      </c>
      <c r="P95" s="45"/>
      <c r="Q95" s="45">
        <v>228791</v>
      </c>
      <c r="R95" s="45"/>
      <c r="S95" s="44">
        <f t="shared" si="3"/>
        <v>250691</v>
      </c>
      <c r="T95" s="45"/>
      <c r="U95" s="45">
        <v>8825289</v>
      </c>
      <c r="V95" s="35"/>
      <c r="W95" s="45">
        <v>0</v>
      </c>
    </row>
    <row r="96" spans="1:23" s="49" customFormat="1" ht="12.75" customHeight="1">
      <c r="A96" s="44" t="s">
        <v>122</v>
      </c>
      <c r="C96" s="44" t="s">
        <v>43</v>
      </c>
      <c r="D96" s="35"/>
      <c r="E96" s="45">
        <v>1152763</v>
      </c>
      <c r="F96" s="45"/>
      <c r="G96" s="45">
        <v>17339360</v>
      </c>
      <c r="H96" s="45"/>
      <c r="I96" s="45">
        <v>780900</v>
      </c>
      <c r="J96" s="45"/>
      <c r="K96" s="45">
        <v>134834</v>
      </c>
      <c r="L96" s="45"/>
      <c r="M96" s="45">
        <v>2082100</v>
      </c>
      <c r="N96" s="45"/>
      <c r="O96" s="45">
        <v>44228</v>
      </c>
      <c r="P96" s="45"/>
      <c r="Q96" s="45">
        <v>874895</v>
      </c>
      <c r="R96" s="45"/>
      <c r="S96" s="44">
        <f t="shared" si="3"/>
        <v>1952626</v>
      </c>
      <c r="T96" s="45"/>
      <c r="U96" s="45">
        <v>24361706</v>
      </c>
      <c r="V96" s="35"/>
      <c r="W96" s="45">
        <v>379836</v>
      </c>
    </row>
    <row r="97" spans="1:23" s="49" customFormat="1" ht="12.75" customHeight="1">
      <c r="A97" s="44" t="s">
        <v>45</v>
      </c>
      <c r="C97" s="44" t="s">
        <v>103</v>
      </c>
      <c r="D97" s="35"/>
      <c r="E97" s="45">
        <v>5556784</v>
      </c>
      <c r="F97" s="45"/>
      <c r="G97" s="45">
        <v>17754683</v>
      </c>
      <c r="H97" s="45"/>
      <c r="I97" s="45">
        <v>0</v>
      </c>
      <c r="J97" s="45"/>
      <c r="K97" s="45">
        <v>2708118</v>
      </c>
      <c r="L97" s="45"/>
      <c r="M97" s="45">
        <v>4351537</v>
      </c>
      <c r="N97" s="45"/>
      <c r="O97" s="45">
        <v>0</v>
      </c>
      <c r="P97" s="45"/>
      <c r="Q97" s="45">
        <v>2188647</v>
      </c>
      <c r="R97" s="45"/>
      <c r="S97" s="44">
        <f t="shared" si="3"/>
        <v>1425285</v>
      </c>
      <c r="T97" s="45"/>
      <c r="U97" s="45">
        <v>33985054</v>
      </c>
      <c r="V97" s="35"/>
      <c r="W97" s="45">
        <v>0</v>
      </c>
    </row>
    <row r="98" spans="1:23" s="49" customFormat="1" ht="12.75" customHeight="1">
      <c r="A98" s="44" t="s">
        <v>123</v>
      </c>
      <c r="C98" s="44" t="s">
        <v>45</v>
      </c>
      <c r="D98" s="35"/>
      <c r="E98" s="45">
        <v>1178835</v>
      </c>
      <c r="F98" s="45"/>
      <c r="G98" s="45">
        <v>2886028</v>
      </c>
      <c r="H98" s="45"/>
      <c r="I98" s="45">
        <v>0</v>
      </c>
      <c r="J98" s="45"/>
      <c r="K98" s="45">
        <v>0</v>
      </c>
      <c r="L98" s="45"/>
      <c r="M98" s="45">
        <v>517119</v>
      </c>
      <c r="N98" s="45"/>
      <c r="O98" s="45">
        <v>0</v>
      </c>
      <c r="P98" s="45"/>
      <c r="Q98" s="45">
        <v>353686</v>
      </c>
      <c r="R98" s="45"/>
      <c r="S98" s="44">
        <f t="shared" si="3"/>
        <v>338538</v>
      </c>
      <c r="T98" s="45"/>
      <c r="U98" s="45">
        <v>5274206</v>
      </c>
      <c r="V98" s="35"/>
      <c r="W98" s="45">
        <v>0</v>
      </c>
    </row>
    <row r="99" spans="1:23" s="49" customFormat="1" ht="12.75" customHeight="1">
      <c r="A99" s="44" t="s">
        <v>124</v>
      </c>
      <c r="C99" s="44" t="s">
        <v>125</v>
      </c>
      <c r="D99" s="35"/>
      <c r="E99" s="45">
        <v>5108653</v>
      </c>
      <c r="F99" s="45"/>
      <c r="G99" s="45">
        <v>0</v>
      </c>
      <c r="H99" s="45"/>
      <c r="I99" s="45">
        <v>0</v>
      </c>
      <c r="J99" s="45"/>
      <c r="K99" s="45">
        <v>419408</v>
      </c>
      <c r="L99" s="45"/>
      <c r="M99" s="45">
        <v>681786</v>
      </c>
      <c r="N99" s="45"/>
      <c r="O99" s="45">
        <v>0</v>
      </c>
      <c r="P99" s="45"/>
      <c r="Q99" s="45">
        <v>80556</v>
      </c>
      <c r="R99" s="45"/>
      <c r="S99" s="44">
        <f t="shared" si="3"/>
        <v>627346</v>
      </c>
      <c r="T99" s="45"/>
      <c r="U99" s="45">
        <v>6917749</v>
      </c>
      <c r="V99" s="35"/>
      <c r="W99" s="45">
        <v>0</v>
      </c>
    </row>
    <row r="100" spans="1:23" s="49" customFormat="1" ht="12.75" customHeight="1">
      <c r="A100" s="44" t="s">
        <v>126</v>
      </c>
      <c r="C100" s="44" t="s">
        <v>27</v>
      </c>
      <c r="D100" s="35"/>
      <c r="E100" s="45">
        <v>830443</v>
      </c>
      <c r="F100" s="45"/>
      <c r="G100" s="45">
        <v>9059881</v>
      </c>
      <c r="H100" s="45"/>
      <c r="I100" s="45">
        <v>17374</v>
      </c>
      <c r="J100" s="45"/>
      <c r="K100" s="45">
        <v>333151</v>
      </c>
      <c r="L100" s="45"/>
      <c r="M100" s="45">
        <v>402076</v>
      </c>
      <c r="N100" s="45"/>
      <c r="O100" s="45">
        <v>11538</v>
      </c>
      <c r="P100" s="45"/>
      <c r="Q100" s="45">
        <v>423694</v>
      </c>
      <c r="R100" s="45"/>
      <c r="S100" s="44">
        <f t="shared" si="3"/>
        <v>206537</v>
      </c>
      <c r="T100" s="45"/>
      <c r="U100" s="45">
        <v>11284694</v>
      </c>
      <c r="V100" s="35"/>
      <c r="W100" s="45">
        <v>0</v>
      </c>
    </row>
    <row r="101" spans="1:23" s="49" customFormat="1" ht="12.75" customHeight="1">
      <c r="A101" s="44" t="s">
        <v>127</v>
      </c>
      <c r="C101" s="44" t="s">
        <v>43</v>
      </c>
      <c r="D101" s="35"/>
      <c r="E101" s="45">
        <v>1905010</v>
      </c>
      <c r="F101" s="45"/>
      <c r="G101" s="45">
        <v>9862568</v>
      </c>
      <c r="H101" s="45"/>
      <c r="I101" s="45">
        <v>0</v>
      </c>
      <c r="J101" s="45"/>
      <c r="K101" s="45">
        <v>1824479</v>
      </c>
      <c r="L101" s="45"/>
      <c r="M101" s="45">
        <v>1048604</v>
      </c>
      <c r="N101" s="45"/>
      <c r="O101" s="45">
        <v>0</v>
      </c>
      <c r="P101" s="45"/>
      <c r="Q101" s="45">
        <v>911973</v>
      </c>
      <c r="R101" s="45"/>
      <c r="S101" s="44">
        <f t="shared" si="3"/>
        <v>869181</v>
      </c>
      <c r="T101" s="45"/>
      <c r="U101" s="45">
        <v>16421815</v>
      </c>
      <c r="V101" s="35"/>
      <c r="W101" s="45">
        <v>326962</v>
      </c>
    </row>
    <row r="102" spans="1:23" s="49" customFormat="1" ht="12.75" customHeight="1">
      <c r="A102" s="44" t="s">
        <v>128</v>
      </c>
      <c r="C102" s="44" t="s">
        <v>119</v>
      </c>
      <c r="D102" s="35"/>
      <c r="E102" s="45">
        <v>3800630</v>
      </c>
      <c r="F102" s="45"/>
      <c r="G102" s="45">
        <v>0</v>
      </c>
      <c r="H102" s="45"/>
      <c r="I102" s="45">
        <v>0</v>
      </c>
      <c r="J102" s="45"/>
      <c r="K102" s="45">
        <v>497262</v>
      </c>
      <c r="L102" s="45"/>
      <c r="M102" s="45">
        <v>455215</v>
      </c>
      <c r="N102" s="45"/>
      <c r="O102" s="45">
        <v>0</v>
      </c>
      <c r="P102" s="45"/>
      <c r="Q102" s="45">
        <f>44662+229209</f>
        <v>273871</v>
      </c>
      <c r="R102" s="45"/>
      <c r="S102" s="44">
        <f t="shared" si="3"/>
        <v>270370</v>
      </c>
      <c r="T102" s="45"/>
      <c r="U102" s="45">
        <v>5297348</v>
      </c>
      <c r="V102" s="35"/>
      <c r="W102" s="45">
        <f>35269+300357</f>
        <v>335626</v>
      </c>
    </row>
    <row r="103" spans="1:23" s="49" customFormat="1" ht="12.75" customHeight="1">
      <c r="A103" s="44" t="s">
        <v>129</v>
      </c>
      <c r="C103" s="44" t="s">
        <v>80</v>
      </c>
      <c r="D103" s="35"/>
      <c r="E103" s="45">
        <v>275289</v>
      </c>
      <c r="F103" s="45"/>
      <c r="G103" s="45">
        <v>2066829</v>
      </c>
      <c r="H103" s="45"/>
      <c r="I103" s="45">
        <v>0</v>
      </c>
      <c r="J103" s="45"/>
      <c r="K103" s="45">
        <v>1014</v>
      </c>
      <c r="L103" s="45"/>
      <c r="M103" s="45">
        <v>292023</v>
      </c>
      <c r="N103" s="45"/>
      <c r="O103" s="45">
        <v>0</v>
      </c>
      <c r="P103" s="45"/>
      <c r="Q103" s="45">
        <v>110196</v>
      </c>
      <c r="R103" s="45"/>
      <c r="S103" s="44">
        <f t="shared" si="3"/>
        <v>352990</v>
      </c>
      <c r="T103" s="45"/>
      <c r="U103" s="45">
        <v>3098341</v>
      </c>
      <c r="V103" s="35"/>
      <c r="W103" s="45">
        <v>0</v>
      </c>
    </row>
    <row r="104" spans="1:23" s="49" customFormat="1" ht="12.75" customHeight="1">
      <c r="A104" s="44" t="s">
        <v>130</v>
      </c>
      <c r="C104" s="44" t="s">
        <v>66</v>
      </c>
      <c r="D104" s="35"/>
      <c r="E104" s="45">
        <v>1416356</v>
      </c>
      <c r="F104" s="45"/>
      <c r="G104" s="45">
        <v>7089287</v>
      </c>
      <c r="H104" s="45"/>
      <c r="I104" s="45">
        <v>0</v>
      </c>
      <c r="J104" s="45"/>
      <c r="K104" s="45">
        <v>920561</v>
      </c>
      <c r="L104" s="45"/>
      <c r="M104" s="45">
        <v>1316046</v>
      </c>
      <c r="N104" s="45"/>
      <c r="O104" s="45">
        <v>0</v>
      </c>
      <c r="P104" s="45"/>
      <c r="Q104" s="45">
        <v>187608</v>
      </c>
      <c r="R104" s="45"/>
      <c r="S104" s="44">
        <f t="shared" si="3"/>
        <v>1425682</v>
      </c>
      <c r="T104" s="45"/>
      <c r="U104" s="45">
        <v>12355540</v>
      </c>
      <c r="V104" s="35"/>
      <c r="W104" s="45">
        <v>0</v>
      </c>
    </row>
    <row r="105" spans="1:23" s="46" customFormat="1" ht="12.75" customHeight="1">
      <c r="A105" s="44" t="s">
        <v>131</v>
      </c>
      <c r="B105" s="49"/>
      <c r="C105" s="44" t="s">
        <v>13</v>
      </c>
      <c r="D105" s="35"/>
      <c r="E105" s="45">
        <v>2452285</v>
      </c>
      <c r="F105" s="45"/>
      <c r="G105" s="45">
        <v>13297990</v>
      </c>
      <c r="H105" s="45"/>
      <c r="I105" s="45">
        <v>0</v>
      </c>
      <c r="J105" s="45"/>
      <c r="K105" s="45">
        <v>593023</v>
      </c>
      <c r="L105" s="45"/>
      <c r="M105" s="45">
        <v>4022159</v>
      </c>
      <c r="N105" s="45"/>
      <c r="O105" s="45">
        <v>0</v>
      </c>
      <c r="P105" s="45"/>
      <c r="Q105" s="45">
        <v>94125</v>
      </c>
      <c r="R105" s="45"/>
      <c r="S105" s="44">
        <f t="shared" si="3"/>
        <v>2154832</v>
      </c>
      <c r="T105" s="45"/>
      <c r="U105" s="45">
        <v>22614414</v>
      </c>
      <c r="V105" s="35"/>
      <c r="W105" s="45">
        <v>0</v>
      </c>
    </row>
    <row r="106" spans="1:23" s="46" customFormat="1" ht="12.75" customHeight="1">
      <c r="A106" s="44" t="s">
        <v>38</v>
      </c>
      <c r="B106" s="49"/>
      <c r="C106" s="44" t="s">
        <v>132</v>
      </c>
      <c r="D106" s="35"/>
      <c r="E106" s="45">
        <v>262869</v>
      </c>
      <c r="F106" s="45"/>
      <c r="G106" s="45">
        <v>2216878</v>
      </c>
      <c r="H106" s="45"/>
      <c r="I106" s="45">
        <v>0</v>
      </c>
      <c r="J106" s="45"/>
      <c r="K106" s="45">
        <v>575894</v>
      </c>
      <c r="L106" s="45"/>
      <c r="M106" s="45">
        <v>451207</v>
      </c>
      <c r="N106" s="45"/>
      <c r="O106" s="45">
        <v>0</v>
      </c>
      <c r="P106" s="45"/>
      <c r="Q106" s="45">
        <v>393055</v>
      </c>
      <c r="R106" s="45"/>
      <c r="S106" s="44">
        <f t="shared" si="3"/>
        <v>235562</v>
      </c>
      <c r="T106" s="45"/>
      <c r="U106" s="45">
        <v>4135465</v>
      </c>
      <c r="V106" s="35"/>
      <c r="W106" s="45">
        <v>0</v>
      </c>
    </row>
    <row r="107" spans="1:23" s="49" customFormat="1" ht="12.75" customHeight="1">
      <c r="A107" s="44" t="s">
        <v>133</v>
      </c>
      <c r="C107" s="44" t="s">
        <v>27</v>
      </c>
      <c r="D107" s="35"/>
      <c r="E107" s="45">
        <v>2102712</v>
      </c>
      <c r="F107" s="45"/>
      <c r="G107" s="45">
        <v>23163526</v>
      </c>
      <c r="H107" s="45"/>
      <c r="I107" s="45">
        <v>0</v>
      </c>
      <c r="J107" s="45"/>
      <c r="K107" s="45">
        <v>0</v>
      </c>
      <c r="L107" s="45"/>
      <c r="M107" s="45">
        <v>694531</v>
      </c>
      <c r="N107" s="45"/>
      <c r="O107" s="45">
        <v>0</v>
      </c>
      <c r="P107" s="45"/>
      <c r="Q107" s="45">
        <v>588214</v>
      </c>
      <c r="R107" s="45"/>
      <c r="S107" s="44">
        <f t="shared" si="3"/>
        <v>824792</v>
      </c>
      <c r="T107" s="45"/>
      <c r="U107" s="45">
        <v>27373775</v>
      </c>
      <c r="V107" s="35"/>
      <c r="W107" s="45">
        <v>0</v>
      </c>
    </row>
    <row r="108" spans="1:23" s="49" customFormat="1" ht="12.75" customHeight="1">
      <c r="A108" s="44" t="s">
        <v>483</v>
      </c>
      <c r="C108" s="44" t="s">
        <v>45</v>
      </c>
      <c r="D108" s="35"/>
      <c r="E108" s="45">
        <v>807244</v>
      </c>
      <c r="F108" s="45"/>
      <c r="G108" s="45">
        <v>0</v>
      </c>
      <c r="H108" s="45"/>
      <c r="I108" s="45">
        <v>0</v>
      </c>
      <c r="J108" s="45"/>
      <c r="K108" s="45">
        <v>369879</v>
      </c>
      <c r="L108" s="45"/>
      <c r="M108" s="45">
        <v>9372353</v>
      </c>
      <c r="N108" s="45"/>
      <c r="O108" s="45">
        <v>0</v>
      </c>
      <c r="P108" s="45"/>
      <c r="Q108" s="45">
        <v>644553</v>
      </c>
      <c r="R108" s="45"/>
      <c r="S108" s="44">
        <f t="shared" si="3"/>
        <v>69324</v>
      </c>
      <c r="T108" s="45"/>
      <c r="U108" s="45">
        <v>11263353</v>
      </c>
      <c r="V108" s="35"/>
      <c r="W108" s="45">
        <v>0</v>
      </c>
    </row>
    <row r="109" spans="1:23" s="49" customFormat="1" ht="12.75" customHeight="1">
      <c r="A109" s="44" t="s">
        <v>134</v>
      </c>
      <c r="C109" s="44" t="s">
        <v>135</v>
      </c>
      <c r="D109" s="35"/>
      <c r="E109" s="45">
        <v>2058747</v>
      </c>
      <c r="F109" s="45"/>
      <c r="G109" s="45">
        <v>0</v>
      </c>
      <c r="H109" s="45"/>
      <c r="I109" s="45">
        <v>0</v>
      </c>
      <c r="J109" s="45"/>
      <c r="K109" s="45">
        <v>799606</v>
      </c>
      <c r="L109" s="45"/>
      <c r="M109" s="45">
        <v>805031</v>
      </c>
      <c r="N109" s="45"/>
      <c r="O109" s="45">
        <v>3480</v>
      </c>
      <c r="P109" s="45"/>
      <c r="Q109" s="45">
        <v>355582</v>
      </c>
      <c r="R109" s="45"/>
      <c r="S109" s="44">
        <f t="shared" ref="S109:S143" si="4">U109-E109-G109-K109-M109-O109-Q109-I109</f>
        <v>277027</v>
      </c>
      <c r="T109" s="45"/>
      <c r="U109" s="45">
        <v>4299473</v>
      </c>
      <c r="V109" s="35"/>
      <c r="W109" s="45">
        <v>205169</v>
      </c>
    </row>
    <row r="110" spans="1:23" s="49" customFormat="1" ht="12.75" customHeight="1">
      <c r="A110" s="44" t="s">
        <v>136</v>
      </c>
      <c r="C110" s="44" t="s">
        <v>136</v>
      </c>
      <c r="D110" s="35"/>
      <c r="E110" s="45">
        <v>317146</v>
      </c>
      <c r="F110" s="45"/>
      <c r="G110" s="45">
        <v>0</v>
      </c>
      <c r="H110" s="45"/>
      <c r="I110" s="45">
        <v>708938</v>
      </c>
      <c r="J110" s="45"/>
      <c r="K110" s="45">
        <v>1220176</v>
      </c>
      <c r="L110" s="45"/>
      <c r="M110" s="45">
        <v>436567</v>
      </c>
      <c r="N110" s="45"/>
      <c r="O110" s="45">
        <v>0</v>
      </c>
      <c r="P110" s="45"/>
      <c r="Q110" s="45">
        <v>157016</v>
      </c>
      <c r="R110" s="45"/>
      <c r="S110" s="44">
        <f>U110-E110-G110-K110-M110-O110-Q110-I110</f>
        <v>1010352</v>
      </c>
      <c r="T110" s="45"/>
      <c r="U110" s="45">
        <v>3850195</v>
      </c>
      <c r="V110" s="35"/>
      <c r="W110" s="45">
        <v>0</v>
      </c>
    </row>
    <row r="111" spans="1:23" s="49" customFormat="1" ht="12.75" customHeight="1">
      <c r="A111" s="44" t="s">
        <v>137</v>
      </c>
      <c r="C111" s="44" t="s">
        <v>22</v>
      </c>
      <c r="D111" s="35"/>
      <c r="E111" s="45">
        <v>1678902</v>
      </c>
      <c r="F111" s="45"/>
      <c r="G111" s="45">
        <v>0</v>
      </c>
      <c r="H111" s="45"/>
      <c r="I111" s="45">
        <v>0</v>
      </c>
      <c r="J111" s="45"/>
      <c r="K111" s="45">
        <v>1248268</v>
      </c>
      <c r="L111" s="45"/>
      <c r="M111" s="45">
        <v>2367278</v>
      </c>
      <c r="N111" s="45"/>
      <c r="O111" s="45">
        <v>0</v>
      </c>
      <c r="P111" s="45"/>
      <c r="Q111" s="45">
        <v>316856</v>
      </c>
      <c r="R111" s="45"/>
      <c r="S111" s="44">
        <f t="shared" si="4"/>
        <v>997330</v>
      </c>
      <c r="T111" s="45"/>
      <c r="U111" s="45">
        <v>6608634</v>
      </c>
      <c r="V111" s="35"/>
      <c r="W111" s="45">
        <v>2536075</v>
      </c>
    </row>
    <row r="112" spans="1:23" s="49" customFormat="1" ht="12.75" hidden="1" customHeight="1">
      <c r="A112" s="44" t="s">
        <v>138</v>
      </c>
      <c r="C112" s="44" t="s">
        <v>139</v>
      </c>
      <c r="D112" s="35"/>
      <c r="E112" s="45">
        <v>2752728</v>
      </c>
      <c r="F112" s="45"/>
      <c r="G112" s="45">
        <v>0</v>
      </c>
      <c r="H112" s="45"/>
      <c r="I112" s="45">
        <v>0</v>
      </c>
      <c r="J112" s="45"/>
      <c r="K112" s="45">
        <v>66728</v>
      </c>
      <c r="L112" s="45"/>
      <c r="M112" s="45">
        <v>448236</v>
      </c>
      <c r="N112" s="45"/>
      <c r="O112" s="45">
        <v>0</v>
      </c>
      <c r="P112" s="45"/>
      <c r="Q112" s="45">
        <v>432726</v>
      </c>
      <c r="R112" s="45"/>
      <c r="S112" s="44">
        <f t="shared" si="4"/>
        <v>139355</v>
      </c>
      <c r="T112" s="45"/>
      <c r="U112" s="45">
        <v>3839773</v>
      </c>
      <c r="V112" s="35"/>
      <c r="W112" s="45"/>
    </row>
    <row r="113" spans="1:23" s="49" customFormat="1" ht="12.75" customHeight="1">
      <c r="A113" s="44" t="s">
        <v>140</v>
      </c>
      <c r="C113" s="44" t="s">
        <v>66</v>
      </c>
      <c r="D113" s="35"/>
      <c r="E113" s="45">
        <v>7549914</v>
      </c>
      <c r="F113" s="45"/>
      <c r="G113" s="45">
        <v>37128614</v>
      </c>
      <c r="H113" s="45"/>
      <c r="I113" s="45">
        <v>0</v>
      </c>
      <c r="J113" s="45"/>
      <c r="K113" s="45">
        <v>160178</v>
      </c>
      <c r="L113" s="45"/>
      <c r="M113" s="45">
        <v>2023543</v>
      </c>
      <c r="N113" s="45"/>
      <c r="O113" s="45">
        <v>402762</v>
      </c>
      <c r="P113" s="45"/>
      <c r="Q113" s="45">
        <v>2027348</v>
      </c>
      <c r="R113" s="45"/>
      <c r="S113" s="44">
        <f t="shared" si="4"/>
        <v>3071245</v>
      </c>
      <c r="T113" s="45"/>
      <c r="U113" s="45">
        <v>52363604</v>
      </c>
      <c r="V113" s="35"/>
      <c r="W113" s="45">
        <v>46284</v>
      </c>
    </row>
    <row r="114" spans="1:23" s="49" customFormat="1" ht="12.75" customHeight="1">
      <c r="A114" s="44" t="s">
        <v>479</v>
      </c>
      <c r="C114" s="44" t="s">
        <v>92</v>
      </c>
      <c r="D114" s="35"/>
      <c r="E114" s="45">
        <v>662399</v>
      </c>
      <c r="F114" s="45"/>
      <c r="G114" s="45">
        <v>2669484</v>
      </c>
      <c r="H114" s="45"/>
      <c r="I114" s="45">
        <v>0</v>
      </c>
      <c r="J114" s="45"/>
      <c r="K114" s="45">
        <v>130654</v>
      </c>
      <c r="L114" s="45"/>
      <c r="M114" s="45">
        <v>714188</v>
      </c>
      <c r="N114" s="45"/>
      <c r="O114" s="45">
        <v>0</v>
      </c>
      <c r="P114" s="45"/>
      <c r="Q114" s="45">
        <v>49598</v>
      </c>
      <c r="R114" s="45"/>
      <c r="S114" s="44">
        <f t="shared" si="4"/>
        <v>417736</v>
      </c>
      <c r="T114" s="45"/>
      <c r="U114" s="45">
        <v>4644059</v>
      </c>
      <c r="V114" s="35"/>
      <c r="W114" s="45">
        <v>0</v>
      </c>
    </row>
    <row r="115" spans="1:23" s="46" customFormat="1" ht="12.75" customHeight="1">
      <c r="A115" s="44" t="s">
        <v>141</v>
      </c>
      <c r="B115" s="49"/>
      <c r="C115" s="44" t="s">
        <v>27</v>
      </c>
      <c r="D115" s="35"/>
      <c r="E115" s="45">
        <v>7583728</v>
      </c>
      <c r="F115" s="45"/>
      <c r="G115" s="45">
        <v>18143485</v>
      </c>
      <c r="H115" s="45"/>
      <c r="I115" s="45">
        <v>0</v>
      </c>
      <c r="J115" s="45"/>
      <c r="K115" s="45">
        <v>1003970</v>
      </c>
      <c r="L115" s="45"/>
      <c r="M115" s="45">
        <v>5822363</v>
      </c>
      <c r="N115" s="45"/>
      <c r="O115" s="45">
        <v>0</v>
      </c>
      <c r="P115" s="45"/>
      <c r="Q115" s="45">
        <f>1929936+1244321</f>
        <v>3174257</v>
      </c>
      <c r="R115" s="45"/>
      <c r="S115" s="44">
        <f t="shared" si="4"/>
        <v>1051254</v>
      </c>
      <c r="T115" s="45"/>
      <c r="U115" s="45">
        <v>36779057</v>
      </c>
      <c r="V115" s="35"/>
      <c r="W115" s="45">
        <v>1375314</v>
      </c>
    </row>
    <row r="116" spans="1:23" s="49" customFormat="1" ht="12.75" customHeight="1">
      <c r="A116" s="44" t="s">
        <v>142</v>
      </c>
      <c r="C116" s="44" t="s">
        <v>102</v>
      </c>
      <c r="D116" s="35"/>
      <c r="E116" s="45">
        <v>16680031</v>
      </c>
      <c r="F116" s="45"/>
      <c r="G116" s="45">
        <v>0</v>
      </c>
      <c r="H116" s="45"/>
      <c r="I116" s="45">
        <v>0</v>
      </c>
      <c r="J116" s="45"/>
      <c r="K116" s="45">
        <v>2608724</v>
      </c>
      <c r="L116" s="45"/>
      <c r="M116" s="45">
        <v>2891129</v>
      </c>
      <c r="N116" s="45"/>
      <c r="O116" s="45">
        <v>0</v>
      </c>
      <c r="P116" s="45"/>
      <c r="Q116" s="45">
        <v>782680</v>
      </c>
      <c r="R116" s="45"/>
      <c r="S116" s="44">
        <f>U116-E116-G116-K116-M116-O116-Q116-I116</f>
        <v>1812274</v>
      </c>
      <c r="T116" s="45"/>
      <c r="U116" s="45">
        <v>24774838</v>
      </c>
      <c r="V116" s="35"/>
      <c r="W116" s="45">
        <v>0</v>
      </c>
    </row>
    <row r="117" spans="1:23" s="49" customFormat="1" ht="12.75" customHeight="1">
      <c r="A117" s="44" t="s">
        <v>143</v>
      </c>
      <c r="C117" s="44" t="s">
        <v>111</v>
      </c>
      <c r="D117" s="35"/>
      <c r="E117" s="45">
        <v>1273964</v>
      </c>
      <c r="F117" s="45"/>
      <c r="G117" s="45">
        <v>2884370</v>
      </c>
      <c r="H117" s="45"/>
      <c r="I117" s="45">
        <v>1186751</v>
      </c>
      <c r="J117" s="45"/>
      <c r="K117" s="45">
        <v>1829911</v>
      </c>
      <c r="L117" s="45"/>
      <c r="M117" s="45">
        <v>1124271</v>
      </c>
      <c r="N117" s="45"/>
      <c r="O117" s="45">
        <v>0</v>
      </c>
      <c r="P117" s="45"/>
      <c r="Q117" s="45">
        <v>831771</v>
      </c>
      <c r="R117" s="45"/>
      <c r="S117" s="44">
        <f>U117-E117-G117-K117-M117-O117-Q117-I117</f>
        <v>830636</v>
      </c>
      <c r="T117" s="45"/>
      <c r="U117" s="45">
        <v>9961674</v>
      </c>
      <c r="V117" s="35"/>
      <c r="W117" s="45">
        <v>0</v>
      </c>
    </row>
    <row r="118" spans="1:23" s="49" customFormat="1" ht="12.75" customHeight="1">
      <c r="A118" s="44" t="s">
        <v>144</v>
      </c>
      <c r="C118" s="44" t="s">
        <v>88</v>
      </c>
      <c r="D118" s="35"/>
      <c r="E118" s="45">
        <v>1438142</v>
      </c>
      <c r="F118" s="45"/>
      <c r="G118" s="45">
        <v>15749585</v>
      </c>
      <c r="H118" s="45"/>
      <c r="I118" s="45">
        <v>0</v>
      </c>
      <c r="J118" s="45"/>
      <c r="K118" s="45">
        <v>3554425</v>
      </c>
      <c r="L118" s="45"/>
      <c r="M118" s="45">
        <v>2747126</v>
      </c>
      <c r="N118" s="45"/>
      <c r="O118" s="45">
        <v>0</v>
      </c>
      <c r="P118" s="45"/>
      <c r="Q118" s="45">
        <v>1932643</v>
      </c>
      <c r="R118" s="45"/>
      <c r="S118" s="44">
        <f t="shared" si="4"/>
        <v>1506365</v>
      </c>
      <c r="T118" s="45"/>
      <c r="U118" s="45">
        <v>26928286</v>
      </c>
      <c r="V118" s="35"/>
      <c r="W118" s="45">
        <v>574625</v>
      </c>
    </row>
    <row r="119" spans="1:23" s="49" customFormat="1" ht="12.75" customHeight="1">
      <c r="A119" s="44" t="s">
        <v>36</v>
      </c>
      <c r="C119" s="44" t="s">
        <v>145</v>
      </c>
      <c r="D119" s="35"/>
      <c r="E119" s="45">
        <v>201339</v>
      </c>
      <c r="F119" s="45"/>
      <c r="G119" s="45">
        <v>2202001</v>
      </c>
      <c r="H119" s="45"/>
      <c r="I119" s="45">
        <v>0</v>
      </c>
      <c r="J119" s="45"/>
      <c r="K119" s="45">
        <v>111671</v>
      </c>
      <c r="L119" s="45"/>
      <c r="M119" s="45">
        <v>505896</v>
      </c>
      <c r="N119" s="45"/>
      <c r="O119" s="45">
        <v>0</v>
      </c>
      <c r="P119" s="45"/>
      <c r="Q119" s="45">
        <v>73322</v>
      </c>
      <c r="R119" s="45"/>
      <c r="S119" s="44">
        <f t="shared" si="4"/>
        <v>146269</v>
      </c>
      <c r="T119" s="45"/>
      <c r="U119" s="45">
        <v>3240498</v>
      </c>
      <c r="V119" s="35"/>
      <c r="W119" s="45">
        <v>0</v>
      </c>
    </row>
    <row r="120" spans="1:23" s="46" customFormat="1" ht="12.75" customHeight="1">
      <c r="A120" s="44" t="s">
        <v>146</v>
      </c>
      <c r="B120" s="49"/>
      <c r="C120" s="44" t="s">
        <v>147</v>
      </c>
      <c r="D120" s="35"/>
      <c r="E120" s="45">
        <v>2713733</v>
      </c>
      <c r="F120" s="45"/>
      <c r="G120" s="45">
        <v>0</v>
      </c>
      <c r="H120" s="45"/>
      <c r="I120" s="45">
        <v>0</v>
      </c>
      <c r="J120" s="45"/>
      <c r="K120" s="45">
        <v>112746</v>
      </c>
      <c r="L120" s="45"/>
      <c r="M120" s="45">
        <v>654833</v>
      </c>
      <c r="N120" s="45"/>
      <c r="O120" s="45">
        <v>0</v>
      </c>
      <c r="P120" s="45"/>
      <c r="Q120" s="45">
        <v>15752</v>
      </c>
      <c r="R120" s="45"/>
      <c r="S120" s="44">
        <f>U120-E120-G120-K120-M120-O120-Q120-I120</f>
        <v>325453</v>
      </c>
      <c r="T120" s="45"/>
      <c r="U120" s="45">
        <v>3822517</v>
      </c>
      <c r="V120" s="35"/>
      <c r="W120" s="45">
        <v>0</v>
      </c>
    </row>
    <row r="121" spans="1:23" s="49" customFormat="1" ht="12.75" customHeight="1">
      <c r="A121" s="44" t="s">
        <v>17</v>
      </c>
      <c r="C121" s="44" t="s">
        <v>17</v>
      </c>
      <c r="D121" s="35"/>
      <c r="E121" s="45">
        <v>3241801</v>
      </c>
      <c r="F121" s="45"/>
      <c r="G121" s="45">
        <v>16335517</v>
      </c>
      <c r="H121" s="45"/>
      <c r="I121" s="45">
        <v>0</v>
      </c>
      <c r="J121" s="45"/>
      <c r="K121" s="45">
        <v>469517</v>
      </c>
      <c r="L121" s="45"/>
      <c r="M121" s="45">
        <v>6455385</v>
      </c>
      <c r="N121" s="45"/>
      <c r="O121" s="45">
        <v>0</v>
      </c>
      <c r="P121" s="45"/>
      <c r="Q121" s="45">
        <f>984982+766736</f>
        <v>1751718</v>
      </c>
      <c r="R121" s="45"/>
      <c r="S121" s="44">
        <f t="shared" si="4"/>
        <v>763664</v>
      </c>
      <c r="T121" s="45"/>
      <c r="U121" s="45">
        <v>29017602</v>
      </c>
      <c r="V121" s="35"/>
      <c r="W121" s="45">
        <f>525000+50000+16088</f>
        <v>591088</v>
      </c>
    </row>
    <row r="122" spans="1:23" s="49" customFormat="1" ht="12.75" customHeight="1">
      <c r="A122" s="44" t="s">
        <v>148</v>
      </c>
      <c r="C122" s="44" t="s">
        <v>15</v>
      </c>
      <c r="D122" s="35"/>
      <c r="E122" s="45">
        <v>399916</v>
      </c>
      <c r="F122" s="45"/>
      <c r="G122" s="45">
        <v>2594133</v>
      </c>
      <c r="H122" s="45"/>
      <c r="I122" s="45">
        <v>0</v>
      </c>
      <c r="J122" s="45"/>
      <c r="K122" s="45">
        <v>218630</v>
      </c>
      <c r="L122" s="45"/>
      <c r="M122" s="45">
        <v>919176</v>
      </c>
      <c r="N122" s="45"/>
      <c r="O122" s="45">
        <v>0</v>
      </c>
      <c r="P122" s="45"/>
      <c r="Q122" s="45">
        <f>89171+3024</f>
        <v>92195</v>
      </c>
      <c r="R122" s="45"/>
      <c r="S122" s="44">
        <f t="shared" si="4"/>
        <v>223098</v>
      </c>
      <c r="T122" s="45"/>
      <c r="U122" s="45">
        <v>4447148</v>
      </c>
      <c r="V122" s="35"/>
      <c r="W122" s="45">
        <v>0</v>
      </c>
    </row>
    <row r="123" spans="1:23" s="49" customFormat="1" ht="12.75" customHeight="1">
      <c r="A123" s="44" t="s">
        <v>149</v>
      </c>
      <c r="C123" s="44" t="s">
        <v>45</v>
      </c>
      <c r="D123" s="35"/>
      <c r="E123" s="45">
        <v>893588</v>
      </c>
      <c r="F123" s="45"/>
      <c r="G123" s="45">
        <v>0</v>
      </c>
      <c r="H123" s="45"/>
      <c r="I123" s="45">
        <v>0</v>
      </c>
      <c r="J123" s="45"/>
      <c r="K123" s="45">
        <v>489787</v>
      </c>
      <c r="L123" s="45"/>
      <c r="M123" s="45">
        <v>702523</v>
      </c>
      <c r="N123" s="45"/>
      <c r="O123" s="45">
        <v>0</v>
      </c>
      <c r="P123" s="45"/>
      <c r="Q123" s="45">
        <f>127055+100258</f>
        <v>227313</v>
      </c>
      <c r="R123" s="45"/>
      <c r="S123" s="44">
        <f t="shared" si="4"/>
        <v>24612</v>
      </c>
      <c r="T123" s="45"/>
      <c r="U123" s="45">
        <v>2337823</v>
      </c>
      <c r="V123" s="35"/>
      <c r="W123" s="45">
        <v>1979882</v>
      </c>
    </row>
    <row r="124" spans="1:23" s="49" customFormat="1" ht="12.75" customHeight="1">
      <c r="A124" s="44" t="s">
        <v>150</v>
      </c>
      <c r="C124" s="44" t="s">
        <v>27</v>
      </c>
      <c r="D124" s="35"/>
      <c r="E124" s="45">
        <v>3160909</v>
      </c>
      <c r="F124" s="45"/>
      <c r="G124" s="45">
        <v>5904612</v>
      </c>
      <c r="H124" s="45"/>
      <c r="I124" s="45">
        <v>0</v>
      </c>
      <c r="J124" s="45"/>
      <c r="K124" s="45">
        <v>508516</v>
      </c>
      <c r="L124" s="45"/>
      <c r="M124" s="45">
        <v>1833934</v>
      </c>
      <c r="N124" s="45"/>
      <c r="O124" s="45">
        <v>0</v>
      </c>
      <c r="P124" s="45"/>
      <c r="Q124" s="45">
        <v>1464358</v>
      </c>
      <c r="R124" s="45"/>
      <c r="S124" s="44">
        <f t="shared" si="4"/>
        <v>169010</v>
      </c>
      <c r="T124" s="45"/>
      <c r="U124" s="45">
        <v>13041339</v>
      </c>
      <c r="V124" s="35"/>
      <c r="W124" s="45">
        <v>470250</v>
      </c>
    </row>
    <row r="125" spans="1:23" s="49" customFormat="1" ht="12.75" customHeight="1">
      <c r="A125" s="44" t="s">
        <v>151</v>
      </c>
      <c r="C125" s="44" t="s">
        <v>13</v>
      </c>
      <c r="D125" s="35"/>
      <c r="E125" s="45">
        <v>1856747</v>
      </c>
      <c r="F125" s="45"/>
      <c r="G125" s="45">
        <v>4735286</v>
      </c>
      <c r="H125" s="45"/>
      <c r="I125" s="45">
        <v>0</v>
      </c>
      <c r="J125" s="45"/>
      <c r="K125" s="45">
        <v>585487</v>
      </c>
      <c r="L125" s="45"/>
      <c r="M125" s="45">
        <v>936668</v>
      </c>
      <c r="N125" s="45"/>
      <c r="O125" s="45">
        <v>17876</v>
      </c>
      <c r="P125" s="45"/>
      <c r="Q125" s="45">
        <v>869047</v>
      </c>
      <c r="R125" s="45"/>
      <c r="S125" s="44">
        <f t="shared" si="4"/>
        <v>336158</v>
      </c>
      <c r="T125" s="45"/>
      <c r="U125" s="45">
        <v>9337269</v>
      </c>
      <c r="V125" s="35"/>
      <c r="W125" s="45">
        <v>0</v>
      </c>
    </row>
    <row r="126" spans="1:23" s="49" customFormat="1" ht="12.75" customHeight="1">
      <c r="A126" s="44" t="s">
        <v>482</v>
      </c>
      <c r="C126" s="44" t="s">
        <v>45</v>
      </c>
      <c r="D126" s="35"/>
      <c r="E126" s="45">
        <v>4429108</v>
      </c>
      <c r="F126" s="45"/>
      <c r="G126" s="45">
        <v>0</v>
      </c>
      <c r="H126" s="45"/>
      <c r="I126" s="45">
        <v>0</v>
      </c>
      <c r="J126" s="45"/>
      <c r="K126" s="45">
        <v>62384</v>
      </c>
      <c r="L126" s="45"/>
      <c r="M126" s="45">
        <v>1227981</v>
      </c>
      <c r="N126" s="45"/>
      <c r="O126" s="45">
        <v>0</v>
      </c>
      <c r="P126" s="45"/>
      <c r="Q126" s="45">
        <v>256284</v>
      </c>
      <c r="R126" s="45"/>
      <c r="S126" s="44">
        <f t="shared" si="4"/>
        <v>376482</v>
      </c>
      <c r="T126" s="45"/>
      <c r="U126" s="45">
        <v>6352239</v>
      </c>
      <c r="V126" s="35"/>
      <c r="W126" s="45">
        <v>0</v>
      </c>
    </row>
    <row r="127" spans="1:23" s="49" customFormat="1" ht="12.75" customHeight="1">
      <c r="A127" s="44" t="s">
        <v>152</v>
      </c>
      <c r="C127" s="44" t="s">
        <v>153</v>
      </c>
      <c r="D127" s="35"/>
      <c r="E127" s="45">
        <v>2122295</v>
      </c>
      <c r="F127" s="45"/>
      <c r="G127" s="45">
        <v>931204</v>
      </c>
      <c r="H127" s="45"/>
      <c r="I127" s="45">
        <v>0</v>
      </c>
      <c r="J127" s="45"/>
      <c r="K127" s="45">
        <v>72329</v>
      </c>
      <c r="L127" s="45"/>
      <c r="M127" s="45">
        <v>4441370</v>
      </c>
      <c r="N127" s="45"/>
      <c r="O127" s="45">
        <v>26093</v>
      </c>
      <c r="P127" s="45"/>
      <c r="Q127" s="45">
        <v>1789918</v>
      </c>
      <c r="R127" s="45"/>
      <c r="S127" s="44">
        <f t="shared" si="4"/>
        <v>1136433</v>
      </c>
      <c r="T127" s="45"/>
      <c r="U127" s="45">
        <v>10519642</v>
      </c>
      <c r="V127" s="35"/>
      <c r="W127" s="45">
        <v>0</v>
      </c>
    </row>
    <row r="128" spans="1:23" s="146" customFormat="1" ht="12" hidden="1" customHeight="1">
      <c r="A128" s="139" t="s">
        <v>154</v>
      </c>
      <c r="B128" s="139"/>
      <c r="C128" s="139" t="s">
        <v>27</v>
      </c>
      <c r="D128" s="145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37">
        <f t="shared" si="4"/>
        <v>0</v>
      </c>
      <c r="T128" s="143"/>
      <c r="U128" s="143"/>
      <c r="V128" s="142"/>
      <c r="W128" s="143"/>
    </row>
    <row r="129" spans="1:23" s="49" customFormat="1" ht="12.75" customHeight="1">
      <c r="A129" s="44" t="s">
        <v>155</v>
      </c>
      <c r="C129" s="44" t="s">
        <v>40</v>
      </c>
      <c r="D129" s="35"/>
      <c r="E129" s="45">
        <v>541558</v>
      </c>
      <c r="F129" s="45"/>
      <c r="G129" s="45">
        <v>5919268</v>
      </c>
      <c r="H129" s="45"/>
      <c r="I129" s="45">
        <v>248297</v>
      </c>
      <c r="J129" s="45"/>
      <c r="K129" s="45">
        <v>674551</v>
      </c>
      <c r="L129" s="45"/>
      <c r="M129" s="45">
        <v>1222745</v>
      </c>
      <c r="N129" s="45"/>
      <c r="O129" s="45">
        <v>0</v>
      </c>
      <c r="P129" s="45"/>
      <c r="Q129" s="45">
        <v>554468</v>
      </c>
      <c r="R129" s="45"/>
      <c r="S129" s="44">
        <f t="shared" si="4"/>
        <v>1403100</v>
      </c>
      <c r="T129" s="45"/>
      <c r="U129" s="45">
        <v>10563987</v>
      </c>
      <c r="V129" s="35"/>
      <c r="W129" s="45">
        <f>10722+8546</f>
        <v>19268</v>
      </c>
    </row>
    <row r="130" spans="1:23" s="49" customFormat="1" ht="12.75" customHeight="1">
      <c r="A130" s="44" t="s">
        <v>156</v>
      </c>
      <c r="C130" s="44" t="s">
        <v>156</v>
      </c>
      <c r="D130" s="35"/>
      <c r="E130" s="45">
        <v>1189806</v>
      </c>
      <c r="F130" s="45"/>
      <c r="G130" s="45">
        <v>12720751</v>
      </c>
      <c r="H130" s="45"/>
      <c r="I130" s="45">
        <v>0</v>
      </c>
      <c r="J130" s="45"/>
      <c r="K130" s="45">
        <v>1320780</v>
      </c>
      <c r="L130" s="45"/>
      <c r="M130" s="45">
        <v>2330484</v>
      </c>
      <c r="N130" s="45"/>
      <c r="O130" s="45">
        <v>0</v>
      </c>
      <c r="P130" s="45"/>
      <c r="Q130" s="45">
        <v>1221629</v>
      </c>
      <c r="R130" s="45"/>
      <c r="S130" s="44">
        <f t="shared" si="4"/>
        <v>907872</v>
      </c>
      <c r="T130" s="45"/>
      <c r="U130" s="45">
        <v>19691322</v>
      </c>
      <c r="V130" s="35"/>
      <c r="W130" s="45">
        <v>0</v>
      </c>
    </row>
    <row r="131" spans="1:23" s="49" customFormat="1" ht="12.75" customHeight="1">
      <c r="A131" s="44" t="s">
        <v>157</v>
      </c>
      <c r="C131" s="44" t="s">
        <v>33</v>
      </c>
      <c r="D131" s="35"/>
      <c r="E131" s="45">
        <v>210828</v>
      </c>
      <c r="F131" s="45"/>
      <c r="G131" s="45">
        <v>1212406</v>
      </c>
      <c r="H131" s="45"/>
      <c r="I131" s="45">
        <v>0</v>
      </c>
      <c r="J131" s="45"/>
      <c r="K131" s="45">
        <v>0</v>
      </c>
      <c r="L131" s="45"/>
      <c r="M131" s="45">
        <v>416026</v>
      </c>
      <c r="N131" s="45"/>
      <c r="O131" s="45">
        <v>0</v>
      </c>
      <c r="P131" s="45"/>
      <c r="Q131" s="45">
        <v>96696</v>
      </c>
      <c r="R131" s="45"/>
      <c r="S131" s="44">
        <f t="shared" si="4"/>
        <v>129771</v>
      </c>
      <c r="T131" s="45"/>
      <c r="U131" s="45">
        <v>2065727</v>
      </c>
      <c r="V131" s="35"/>
      <c r="W131" s="45">
        <v>0</v>
      </c>
    </row>
    <row r="132" spans="1:23" s="49" customFormat="1" ht="12.75" customHeight="1">
      <c r="A132" s="44" t="s">
        <v>158</v>
      </c>
      <c r="C132" s="44" t="s">
        <v>159</v>
      </c>
      <c r="D132" s="35"/>
      <c r="E132" s="45">
        <v>1651364</v>
      </c>
      <c r="F132" s="45"/>
      <c r="G132" s="45">
        <v>7788527</v>
      </c>
      <c r="H132" s="45"/>
      <c r="I132" s="45">
        <v>132238</v>
      </c>
      <c r="J132" s="45"/>
      <c r="K132" s="45">
        <v>727235</v>
      </c>
      <c r="L132" s="45"/>
      <c r="M132" s="45">
        <v>897780</v>
      </c>
      <c r="N132" s="45"/>
      <c r="O132" s="45">
        <v>0</v>
      </c>
      <c r="P132" s="45"/>
      <c r="Q132" s="45">
        <v>816964</v>
      </c>
      <c r="R132" s="45"/>
      <c r="S132" s="44">
        <f t="shared" si="4"/>
        <v>934589</v>
      </c>
      <c r="T132" s="45"/>
      <c r="U132" s="45">
        <v>12948697</v>
      </c>
      <c r="V132" s="35"/>
      <c r="W132" s="45">
        <v>0</v>
      </c>
    </row>
    <row r="133" spans="1:23" s="49" customFormat="1" ht="12.75" customHeight="1">
      <c r="A133" s="44" t="s">
        <v>472</v>
      </c>
      <c r="C133" s="44"/>
      <c r="D133" s="3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4"/>
      <c r="T133" s="45"/>
      <c r="U133" s="45"/>
      <c r="V133" s="35"/>
      <c r="W133" s="48" t="s">
        <v>485</v>
      </c>
    </row>
    <row r="134" spans="1:23" s="46" customFormat="1" ht="12.75" customHeight="1">
      <c r="A134" s="46" t="s">
        <v>160</v>
      </c>
      <c r="C134" s="46" t="s">
        <v>111</v>
      </c>
      <c r="D134" s="64"/>
      <c r="E134" s="94">
        <v>24183874</v>
      </c>
      <c r="F134" s="94"/>
      <c r="G134" s="94">
        <v>0</v>
      </c>
      <c r="H134" s="94"/>
      <c r="I134" s="94">
        <v>0</v>
      </c>
      <c r="J134" s="94"/>
      <c r="K134" s="94">
        <v>1421082</v>
      </c>
      <c r="L134" s="94"/>
      <c r="M134" s="94">
        <v>2609268</v>
      </c>
      <c r="N134" s="94"/>
      <c r="O134" s="94">
        <v>0</v>
      </c>
      <c r="P134" s="94"/>
      <c r="Q134" s="94">
        <v>1377288</v>
      </c>
      <c r="R134" s="94"/>
      <c r="S134" s="46">
        <f t="shared" si="4"/>
        <v>2612359</v>
      </c>
      <c r="T134" s="94"/>
      <c r="U134" s="94">
        <v>32203871</v>
      </c>
      <c r="V134" s="64"/>
      <c r="W134" s="94">
        <v>0</v>
      </c>
    </row>
    <row r="135" spans="1:23" s="49" customFormat="1" ht="12.75" customHeight="1">
      <c r="A135" s="44" t="s">
        <v>161</v>
      </c>
      <c r="C135" s="44" t="s">
        <v>15</v>
      </c>
      <c r="D135" s="35"/>
      <c r="E135" s="45">
        <v>1859175</v>
      </c>
      <c r="F135" s="45"/>
      <c r="G135" s="45">
        <v>10311713</v>
      </c>
      <c r="H135" s="45"/>
      <c r="I135" s="45">
        <v>0</v>
      </c>
      <c r="J135" s="45"/>
      <c r="K135" s="45">
        <v>358245</v>
      </c>
      <c r="L135" s="45"/>
      <c r="M135" s="45">
        <v>1521485</v>
      </c>
      <c r="N135" s="45"/>
      <c r="O135" s="45">
        <v>0</v>
      </c>
      <c r="P135" s="45"/>
      <c r="Q135" s="45">
        <v>1509217</v>
      </c>
      <c r="R135" s="45"/>
      <c r="S135" s="44">
        <f t="shared" si="4"/>
        <v>622420</v>
      </c>
      <c r="T135" s="45"/>
      <c r="U135" s="45">
        <v>16182255</v>
      </c>
      <c r="V135" s="35"/>
      <c r="W135" s="45">
        <v>0</v>
      </c>
    </row>
    <row r="136" spans="1:23" s="49" customFormat="1" ht="12.75" customHeight="1">
      <c r="A136" s="44" t="s">
        <v>162</v>
      </c>
      <c r="C136" s="44" t="s">
        <v>163</v>
      </c>
      <c r="D136" s="35"/>
      <c r="E136" s="45">
        <v>1881257</v>
      </c>
      <c r="F136" s="45"/>
      <c r="G136" s="45">
        <v>0</v>
      </c>
      <c r="H136" s="45"/>
      <c r="I136" s="45">
        <v>0</v>
      </c>
      <c r="J136" s="45"/>
      <c r="K136" s="45">
        <v>916600</v>
      </c>
      <c r="L136" s="45"/>
      <c r="M136" s="45">
        <v>2680561</v>
      </c>
      <c r="N136" s="45"/>
      <c r="O136" s="45">
        <v>3778</v>
      </c>
      <c r="P136" s="45"/>
      <c r="Q136" s="45">
        <v>992591</v>
      </c>
      <c r="R136" s="45"/>
      <c r="S136" s="44">
        <f t="shared" si="4"/>
        <v>2120752</v>
      </c>
      <c r="T136" s="45"/>
      <c r="U136" s="45">
        <v>8595539</v>
      </c>
      <c r="V136" s="35"/>
      <c r="W136" s="45">
        <v>8744132</v>
      </c>
    </row>
    <row r="137" spans="1:23" s="49" customFormat="1" ht="12.75" customHeight="1">
      <c r="A137" s="44" t="s">
        <v>164</v>
      </c>
      <c r="C137" s="44" t="s">
        <v>27</v>
      </c>
      <c r="D137" s="35"/>
      <c r="E137" s="45">
        <v>4025429</v>
      </c>
      <c r="F137" s="45"/>
      <c r="G137" s="45">
        <v>11390166</v>
      </c>
      <c r="H137" s="45"/>
      <c r="I137" s="45">
        <v>134349</v>
      </c>
      <c r="J137" s="45"/>
      <c r="K137" s="45">
        <v>425830</v>
      </c>
      <c r="L137" s="45"/>
      <c r="M137" s="45">
        <v>1575355</v>
      </c>
      <c r="N137" s="45"/>
      <c r="O137" s="45">
        <v>0</v>
      </c>
      <c r="P137" s="45"/>
      <c r="Q137" s="45">
        <v>691850</v>
      </c>
      <c r="R137" s="45"/>
      <c r="S137" s="44">
        <f t="shared" si="4"/>
        <v>1043122</v>
      </c>
      <c r="T137" s="45"/>
      <c r="U137" s="45">
        <v>19286101</v>
      </c>
      <c r="V137" s="35"/>
      <c r="W137" s="45">
        <v>0</v>
      </c>
    </row>
    <row r="138" spans="1:23" s="49" customFormat="1" ht="12.75" customHeight="1">
      <c r="A138" s="46" t="s">
        <v>53</v>
      </c>
      <c r="B138" s="46"/>
      <c r="C138" s="46" t="s">
        <v>53</v>
      </c>
      <c r="D138" s="64"/>
      <c r="E138" s="45">
        <v>3211793</v>
      </c>
      <c r="F138" s="45"/>
      <c r="G138" s="45">
        <v>0</v>
      </c>
      <c r="H138" s="45"/>
      <c r="I138" s="45">
        <v>0</v>
      </c>
      <c r="J138" s="45"/>
      <c r="K138" s="45">
        <v>325243</v>
      </c>
      <c r="L138" s="45"/>
      <c r="M138" s="45">
        <v>1595079</v>
      </c>
      <c r="N138" s="45"/>
      <c r="O138" s="45">
        <v>0</v>
      </c>
      <c r="P138" s="45"/>
      <c r="Q138" s="45">
        <v>1252876</v>
      </c>
      <c r="R138" s="45"/>
      <c r="S138" s="44">
        <f t="shared" si="4"/>
        <v>1476702</v>
      </c>
      <c r="T138" s="45"/>
      <c r="U138" s="45">
        <v>7861693</v>
      </c>
      <c r="V138" s="35"/>
      <c r="W138" s="45">
        <v>0</v>
      </c>
    </row>
    <row r="139" spans="1:23" s="49" customFormat="1" ht="12.75" customHeight="1">
      <c r="A139" s="44" t="s">
        <v>165</v>
      </c>
      <c r="C139" s="44" t="s">
        <v>92</v>
      </c>
      <c r="D139" s="35"/>
      <c r="E139" s="45">
        <v>1795300</v>
      </c>
      <c r="F139" s="45"/>
      <c r="G139" s="45">
        <v>31346263</v>
      </c>
      <c r="H139" s="45"/>
      <c r="I139" s="45">
        <v>0</v>
      </c>
      <c r="J139" s="45"/>
      <c r="K139" s="45">
        <v>4872367</v>
      </c>
      <c r="L139" s="45"/>
      <c r="M139" s="45">
        <v>0</v>
      </c>
      <c r="N139" s="45"/>
      <c r="O139" s="45">
        <v>0</v>
      </c>
      <c r="P139" s="45"/>
      <c r="Q139" s="45">
        <v>2715664</v>
      </c>
      <c r="R139" s="45"/>
      <c r="S139" s="44">
        <f t="shared" si="4"/>
        <v>7555549</v>
      </c>
      <c r="T139" s="45"/>
      <c r="U139" s="45">
        <v>48285143</v>
      </c>
      <c r="V139" s="35"/>
      <c r="W139" s="45">
        <v>0</v>
      </c>
    </row>
    <row r="140" spans="1:23" s="49" customFormat="1" ht="12.75" customHeight="1">
      <c r="A140" s="44" t="s">
        <v>166</v>
      </c>
      <c r="C140" s="44" t="s">
        <v>92</v>
      </c>
      <c r="D140" s="35"/>
      <c r="E140" s="45">
        <v>373286</v>
      </c>
      <c r="F140" s="45"/>
      <c r="G140" s="45">
        <v>796076</v>
      </c>
      <c r="H140" s="45"/>
      <c r="I140" s="45">
        <v>0</v>
      </c>
      <c r="J140" s="45"/>
      <c r="K140" s="45">
        <v>445858</v>
      </c>
      <c r="L140" s="45"/>
      <c r="M140" s="45">
        <v>629961</v>
      </c>
      <c r="N140" s="45"/>
      <c r="O140" s="45">
        <v>0</v>
      </c>
      <c r="P140" s="45"/>
      <c r="Q140" s="45">
        <v>43995</v>
      </c>
      <c r="R140" s="45"/>
      <c r="S140" s="44">
        <f t="shared" si="4"/>
        <v>165420</v>
      </c>
      <c r="T140" s="45"/>
      <c r="U140" s="45">
        <v>2454596</v>
      </c>
      <c r="V140" s="35"/>
      <c r="W140" s="45">
        <v>0</v>
      </c>
    </row>
    <row r="141" spans="1:23" s="49" customFormat="1" ht="12.75" customHeight="1">
      <c r="A141" s="44" t="s">
        <v>167</v>
      </c>
      <c r="C141" s="44" t="s">
        <v>66</v>
      </c>
      <c r="D141" s="35"/>
      <c r="E141" s="45">
        <v>1729352</v>
      </c>
      <c r="F141" s="45"/>
      <c r="G141" s="45">
        <v>7011342</v>
      </c>
      <c r="H141" s="45"/>
      <c r="I141" s="45">
        <v>0</v>
      </c>
      <c r="J141" s="45"/>
      <c r="K141" s="45">
        <v>1942743</v>
      </c>
      <c r="L141" s="45"/>
      <c r="M141" s="45">
        <v>1158528</v>
      </c>
      <c r="N141" s="45"/>
      <c r="O141" s="45">
        <v>0</v>
      </c>
      <c r="P141" s="45"/>
      <c r="Q141" s="45">
        <v>1073837</v>
      </c>
      <c r="R141" s="45"/>
      <c r="S141" s="44">
        <f t="shared" si="4"/>
        <v>1506707</v>
      </c>
      <c r="T141" s="45"/>
      <c r="U141" s="45">
        <v>14422509</v>
      </c>
      <c r="V141" s="35"/>
      <c r="W141" s="45">
        <v>0</v>
      </c>
    </row>
    <row r="142" spans="1:23" s="49" customFormat="1" ht="12.75" customHeight="1">
      <c r="A142" s="44" t="s">
        <v>168</v>
      </c>
      <c r="C142" s="44" t="s">
        <v>27</v>
      </c>
      <c r="D142" s="35"/>
      <c r="E142" s="45">
        <v>1541788</v>
      </c>
      <c r="F142" s="45"/>
      <c r="G142" s="45">
        <v>10302412</v>
      </c>
      <c r="H142" s="45"/>
      <c r="I142" s="45">
        <v>554088</v>
      </c>
      <c r="J142" s="45"/>
      <c r="K142" s="45">
        <v>193171</v>
      </c>
      <c r="L142" s="45"/>
      <c r="M142" s="45">
        <v>1077119</v>
      </c>
      <c r="N142" s="45"/>
      <c r="O142" s="45">
        <v>0</v>
      </c>
      <c r="P142" s="45"/>
      <c r="Q142" s="45">
        <v>1215616</v>
      </c>
      <c r="R142" s="45"/>
      <c r="S142" s="44">
        <f t="shared" si="4"/>
        <v>800610</v>
      </c>
      <c r="T142" s="45"/>
      <c r="U142" s="45">
        <v>15684804</v>
      </c>
      <c r="V142" s="35"/>
      <c r="W142" s="45">
        <v>0</v>
      </c>
    </row>
    <row r="143" spans="1:23" s="49" customFormat="1" ht="12.75" customHeight="1">
      <c r="A143" s="44" t="s">
        <v>169</v>
      </c>
      <c r="C143" s="44" t="s">
        <v>103</v>
      </c>
      <c r="D143" s="35"/>
      <c r="E143" s="45">
        <v>3981455</v>
      </c>
      <c r="F143" s="45"/>
      <c r="G143" s="45">
        <v>12259011</v>
      </c>
      <c r="H143" s="45"/>
      <c r="I143" s="45">
        <v>0</v>
      </c>
      <c r="J143" s="45"/>
      <c r="K143" s="45">
        <v>3923347</v>
      </c>
      <c r="L143" s="45"/>
      <c r="M143" s="45">
        <v>3170608</v>
      </c>
      <c r="N143" s="45"/>
      <c r="O143" s="45">
        <v>0</v>
      </c>
      <c r="P143" s="45"/>
      <c r="Q143" s="45">
        <f>451724+125650</f>
        <v>577374</v>
      </c>
      <c r="R143" s="45"/>
      <c r="S143" s="44">
        <f t="shared" si="4"/>
        <v>2135882</v>
      </c>
      <c r="T143" s="45"/>
      <c r="U143" s="45">
        <v>26047677</v>
      </c>
      <c r="V143" s="35"/>
      <c r="W143" s="45">
        <v>642431</v>
      </c>
    </row>
    <row r="144" spans="1:23" s="49" customFormat="1" ht="12.75" customHeight="1">
      <c r="A144" s="44" t="s">
        <v>170</v>
      </c>
      <c r="C144" s="44" t="s">
        <v>171</v>
      </c>
      <c r="D144" s="35"/>
      <c r="E144" s="45">
        <v>748797</v>
      </c>
      <c r="F144" s="45"/>
      <c r="G144" s="45">
        <v>1930844</v>
      </c>
      <c r="H144" s="45"/>
      <c r="I144" s="45">
        <v>0</v>
      </c>
      <c r="J144" s="45"/>
      <c r="K144" s="45">
        <v>112114</v>
      </c>
      <c r="L144" s="45"/>
      <c r="M144" s="45">
        <v>578789</v>
      </c>
      <c r="N144" s="45"/>
      <c r="O144" s="45">
        <v>0</v>
      </c>
      <c r="P144" s="45"/>
      <c r="Q144" s="45">
        <v>200324</v>
      </c>
      <c r="R144" s="45"/>
      <c r="S144" s="44">
        <f t="shared" ref="S144:S183" si="5">U144-E144-G144-K144-M144-O144-Q144-I144</f>
        <v>402420</v>
      </c>
      <c r="T144" s="45"/>
      <c r="U144" s="45">
        <v>3973288</v>
      </c>
      <c r="V144" s="35"/>
      <c r="W144" s="45">
        <v>0</v>
      </c>
    </row>
    <row r="145" spans="1:23" s="49" customFormat="1" ht="12.75" customHeight="1">
      <c r="A145" s="44" t="s">
        <v>172</v>
      </c>
      <c r="C145" s="44" t="s">
        <v>103</v>
      </c>
      <c r="D145" s="35"/>
      <c r="E145" s="45">
        <v>626162</v>
      </c>
      <c r="F145" s="45"/>
      <c r="G145" s="45">
        <v>5238256</v>
      </c>
      <c r="H145" s="45"/>
      <c r="I145" s="45">
        <v>0</v>
      </c>
      <c r="J145" s="45"/>
      <c r="K145" s="45">
        <v>212918</v>
      </c>
      <c r="L145" s="45"/>
      <c r="M145" s="45">
        <v>697354</v>
      </c>
      <c r="N145" s="45"/>
      <c r="O145" s="45">
        <v>0</v>
      </c>
      <c r="P145" s="45"/>
      <c r="Q145" s="45">
        <v>415360</v>
      </c>
      <c r="R145" s="45"/>
      <c r="S145" s="44">
        <f t="shared" si="5"/>
        <v>818289</v>
      </c>
      <c r="T145" s="45"/>
      <c r="U145" s="45">
        <v>8008339</v>
      </c>
      <c r="V145" s="35"/>
      <c r="W145" s="45">
        <v>0</v>
      </c>
    </row>
    <row r="146" spans="1:23" s="49" customFormat="1" ht="12.75" customHeight="1">
      <c r="A146" s="46" t="s">
        <v>66</v>
      </c>
      <c r="B146" s="46"/>
      <c r="C146" s="46" t="s">
        <v>45</v>
      </c>
      <c r="D146" s="64"/>
      <c r="E146" s="45">
        <v>7185647</v>
      </c>
      <c r="F146" s="45"/>
      <c r="G146" s="45">
        <v>0</v>
      </c>
      <c r="H146" s="45"/>
      <c r="I146" s="45">
        <v>0</v>
      </c>
      <c r="J146" s="45"/>
      <c r="K146" s="45">
        <v>188830</v>
      </c>
      <c r="L146" s="45"/>
      <c r="M146" s="45">
        <v>656947</v>
      </c>
      <c r="N146" s="45"/>
      <c r="O146" s="45">
        <v>0</v>
      </c>
      <c r="P146" s="45"/>
      <c r="Q146" s="45">
        <v>359658</v>
      </c>
      <c r="R146" s="45"/>
      <c r="S146" s="44">
        <f t="shared" si="5"/>
        <v>1096721</v>
      </c>
      <c r="T146" s="45"/>
      <c r="U146" s="45">
        <v>9487803</v>
      </c>
      <c r="V146" s="35"/>
      <c r="W146" s="45">
        <v>0</v>
      </c>
    </row>
    <row r="147" spans="1:23" s="49" customFormat="1" ht="12.75" customHeight="1">
      <c r="A147" s="44" t="s">
        <v>173</v>
      </c>
      <c r="C147" s="44" t="s">
        <v>66</v>
      </c>
      <c r="D147" s="35"/>
      <c r="E147" s="45">
        <v>588751</v>
      </c>
      <c r="F147" s="45"/>
      <c r="G147" s="45">
        <v>17287274</v>
      </c>
      <c r="H147" s="45"/>
      <c r="I147" s="45">
        <v>64655</v>
      </c>
      <c r="J147" s="45"/>
      <c r="K147" s="45">
        <v>30015</v>
      </c>
      <c r="L147" s="45"/>
      <c r="M147" s="45">
        <v>206130</v>
      </c>
      <c r="N147" s="45"/>
      <c r="O147" s="45">
        <v>0</v>
      </c>
      <c r="P147" s="45"/>
      <c r="Q147" s="45">
        <v>298361</v>
      </c>
      <c r="R147" s="45"/>
      <c r="S147" s="44">
        <f t="shared" si="5"/>
        <v>1781588</v>
      </c>
      <c r="T147" s="45"/>
      <c r="U147" s="45">
        <v>20256774</v>
      </c>
      <c r="V147" s="35"/>
      <c r="W147" s="45">
        <v>0</v>
      </c>
    </row>
    <row r="148" spans="1:23" s="49" customFormat="1" ht="12.75" customHeight="1">
      <c r="A148" s="44" t="s">
        <v>174</v>
      </c>
      <c r="C148" s="44" t="s">
        <v>45</v>
      </c>
      <c r="D148" s="35"/>
      <c r="E148" s="45">
        <v>388929</v>
      </c>
      <c r="F148" s="45"/>
      <c r="G148" s="45">
        <v>1375407</v>
      </c>
      <c r="H148" s="45"/>
      <c r="I148" s="45">
        <v>60150</v>
      </c>
      <c r="J148" s="45"/>
      <c r="K148" s="45">
        <v>518016</v>
      </c>
      <c r="L148" s="45"/>
      <c r="M148" s="45">
        <v>410380</v>
      </c>
      <c r="N148" s="45"/>
      <c r="O148" s="45">
        <v>0</v>
      </c>
      <c r="P148" s="45"/>
      <c r="Q148" s="45">
        <v>143581</v>
      </c>
      <c r="R148" s="45"/>
      <c r="S148" s="44">
        <f t="shared" si="5"/>
        <v>80895</v>
      </c>
      <c r="T148" s="45"/>
      <c r="U148" s="45">
        <v>2977358</v>
      </c>
      <c r="V148" s="35"/>
      <c r="W148" s="45">
        <v>0</v>
      </c>
    </row>
    <row r="149" spans="1:23" s="49" customFormat="1" ht="12.75" customHeight="1">
      <c r="A149" s="44" t="s">
        <v>175</v>
      </c>
      <c r="C149" s="44" t="s">
        <v>176</v>
      </c>
      <c r="D149" s="35"/>
      <c r="E149" s="45">
        <v>8995938</v>
      </c>
      <c r="F149" s="45"/>
      <c r="G149" s="45">
        <v>0</v>
      </c>
      <c r="H149" s="45"/>
      <c r="I149" s="45">
        <v>0</v>
      </c>
      <c r="J149" s="45"/>
      <c r="K149" s="45">
        <v>1361044</v>
      </c>
      <c r="L149" s="45"/>
      <c r="M149" s="45">
        <v>1014489</v>
      </c>
      <c r="N149" s="45"/>
      <c r="O149" s="45">
        <v>0</v>
      </c>
      <c r="P149" s="45"/>
      <c r="Q149" s="45">
        <v>657716</v>
      </c>
      <c r="R149" s="45"/>
      <c r="S149" s="44">
        <f t="shared" si="5"/>
        <v>688019</v>
      </c>
      <c r="T149" s="45"/>
      <c r="U149" s="45">
        <v>12717206</v>
      </c>
      <c r="V149" s="35"/>
      <c r="W149" s="45">
        <v>0</v>
      </c>
    </row>
    <row r="150" spans="1:23" s="49" customFormat="1" ht="12.75" customHeight="1">
      <c r="A150" s="46" t="s">
        <v>177</v>
      </c>
      <c r="B150" s="46"/>
      <c r="C150" s="46" t="s">
        <v>13</v>
      </c>
      <c r="D150" s="64"/>
      <c r="E150" s="45">
        <v>256964</v>
      </c>
      <c r="F150" s="45"/>
      <c r="G150" s="45">
        <v>954496</v>
      </c>
      <c r="H150" s="45"/>
      <c r="I150" s="45">
        <v>0</v>
      </c>
      <c r="J150" s="45"/>
      <c r="K150" s="45">
        <v>0</v>
      </c>
      <c r="L150" s="45"/>
      <c r="M150" s="45">
        <v>494455</v>
      </c>
      <c r="N150" s="45"/>
      <c r="O150" s="45">
        <v>0</v>
      </c>
      <c r="P150" s="45"/>
      <c r="Q150" s="45">
        <v>84067</v>
      </c>
      <c r="R150" s="45"/>
      <c r="S150" s="44">
        <f t="shared" si="5"/>
        <v>263487</v>
      </c>
      <c r="T150" s="45"/>
      <c r="U150" s="45">
        <v>2053469</v>
      </c>
      <c r="V150" s="35"/>
      <c r="W150" s="45">
        <v>0</v>
      </c>
    </row>
    <row r="151" spans="1:23" s="49" customFormat="1" ht="12.75" customHeight="1">
      <c r="A151" s="44" t="s">
        <v>178</v>
      </c>
      <c r="C151" s="44" t="s">
        <v>179</v>
      </c>
      <c r="D151" s="35"/>
      <c r="E151" s="45">
        <v>320584</v>
      </c>
      <c r="F151" s="45"/>
      <c r="G151" s="45">
        <v>2498645</v>
      </c>
      <c r="H151" s="45"/>
      <c r="I151" s="45">
        <v>555353</v>
      </c>
      <c r="J151" s="45"/>
      <c r="K151" s="45">
        <v>279340</v>
      </c>
      <c r="L151" s="45"/>
      <c r="M151" s="45">
        <v>486501</v>
      </c>
      <c r="N151" s="45"/>
      <c r="O151" s="45">
        <v>0</v>
      </c>
      <c r="P151" s="45"/>
      <c r="Q151" s="45">
        <v>336373</v>
      </c>
      <c r="R151" s="45"/>
      <c r="S151" s="44">
        <f t="shared" si="5"/>
        <v>816740</v>
      </c>
      <c r="T151" s="45"/>
      <c r="U151" s="45">
        <v>5293536</v>
      </c>
      <c r="V151" s="35"/>
      <c r="W151" s="45">
        <v>0</v>
      </c>
    </row>
    <row r="152" spans="1:23" s="139" customFormat="1" ht="12.75" hidden="1" customHeight="1">
      <c r="A152" s="137" t="s">
        <v>180</v>
      </c>
      <c r="B152" s="146"/>
      <c r="C152" s="137" t="s">
        <v>20</v>
      </c>
      <c r="D152" s="142"/>
      <c r="E152" s="143">
        <v>0</v>
      </c>
      <c r="F152" s="143"/>
      <c r="G152" s="143">
        <v>0</v>
      </c>
      <c r="H152" s="143"/>
      <c r="I152" s="143">
        <v>0</v>
      </c>
      <c r="J152" s="143"/>
      <c r="K152" s="143">
        <v>0</v>
      </c>
      <c r="L152" s="143"/>
      <c r="M152" s="143">
        <v>0</v>
      </c>
      <c r="N152" s="143"/>
      <c r="O152" s="143">
        <v>0</v>
      </c>
      <c r="P152" s="143"/>
      <c r="Q152" s="143">
        <v>0</v>
      </c>
      <c r="R152" s="143"/>
      <c r="S152" s="137">
        <f t="shared" si="5"/>
        <v>0</v>
      </c>
      <c r="T152" s="143"/>
      <c r="U152" s="143">
        <v>0</v>
      </c>
      <c r="V152" s="142"/>
      <c r="W152" s="143">
        <v>0</v>
      </c>
    </row>
    <row r="153" spans="1:23" s="49" customFormat="1" ht="12.75" customHeight="1">
      <c r="A153" s="44" t="s">
        <v>182</v>
      </c>
      <c r="C153" s="44" t="s">
        <v>183</v>
      </c>
      <c r="D153" s="35"/>
      <c r="E153" s="45">
        <v>161329</v>
      </c>
      <c r="F153" s="45"/>
      <c r="G153" s="45">
        <v>986779</v>
      </c>
      <c r="H153" s="45"/>
      <c r="I153" s="45">
        <v>27520</v>
      </c>
      <c r="J153" s="45"/>
      <c r="K153" s="45">
        <v>7720</v>
      </c>
      <c r="L153" s="45"/>
      <c r="M153" s="45">
        <v>181954</v>
      </c>
      <c r="N153" s="45"/>
      <c r="O153" s="45">
        <v>0</v>
      </c>
      <c r="P153" s="45"/>
      <c r="Q153" s="45">
        <v>27192</v>
      </c>
      <c r="R153" s="45"/>
      <c r="S153" s="44">
        <f t="shared" si="5"/>
        <v>38629</v>
      </c>
      <c r="T153" s="45"/>
      <c r="U153" s="45">
        <v>1431123</v>
      </c>
      <c r="V153" s="35"/>
      <c r="W153" s="45">
        <v>0</v>
      </c>
    </row>
    <row r="154" spans="1:23" s="49" customFormat="1" ht="12.75" customHeight="1">
      <c r="A154" s="44" t="s">
        <v>491</v>
      </c>
      <c r="C154" s="44" t="s">
        <v>13</v>
      </c>
      <c r="D154" s="35"/>
      <c r="E154" s="45">
        <v>1101888</v>
      </c>
      <c r="F154" s="45"/>
      <c r="G154" s="45">
        <v>0</v>
      </c>
      <c r="H154" s="45"/>
      <c r="I154" s="45">
        <v>0</v>
      </c>
      <c r="J154" s="45"/>
      <c r="K154" s="45">
        <v>217565</v>
      </c>
      <c r="L154" s="45"/>
      <c r="M154" s="45">
        <v>844348</v>
      </c>
      <c r="N154" s="45"/>
      <c r="O154" s="45">
        <v>7670</v>
      </c>
      <c r="P154" s="45"/>
      <c r="Q154" s="45">
        <v>107571</v>
      </c>
      <c r="R154" s="45"/>
      <c r="S154" s="44">
        <f>U154-E154-G154-K154-M154-O154-Q154-I154</f>
        <v>129314</v>
      </c>
      <c r="T154" s="45"/>
      <c r="U154" s="45">
        <v>2408356</v>
      </c>
      <c r="V154" s="35"/>
      <c r="W154" s="45">
        <v>0</v>
      </c>
    </row>
    <row r="155" spans="1:23" s="49" customFormat="1" ht="12.75" customHeight="1">
      <c r="A155" s="44" t="s">
        <v>184</v>
      </c>
      <c r="C155" s="44" t="s">
        <v>89</v>
      </c>
      <c r="D155" s="35"/>
      <c r="E155" s="45">
        <v>957366</v>
      </c>
      <c r="F155" s="45"/>
      <c r="G155" s="45">
        <v>2029109</v>
      </c>
      <c r="H155" s="45"/>
      <c r="I155" s="45">
        <v>0</v>
      </c>
      <c r="J155" s="45"/>
      <c r="K155" s="45">
        <v>126823</v>
      </c>
      <c r="L155" s="45"/>
      <c r="M155" s="45">
        <v>1355472</v>
      </c>
      <c r="N155" s="45"/>
      <c r="O155" s="45">
        <v>0</v>
      </c>
      <c r="P155" s="45"/>
      <c r="Q155" s="45">
        <v>365278</v>
      </c>
      <c r="R155" s="45"/>
      <c r="S155" s="44">
        <f t="shared" si="5"/>
        <v>462258</v>
      </c>
      <c r="T155" s="45"/>
      <c r="U155" s="45">
        <v>5296306</v>
      </c>
      <c r="V155" s="35"/>
      <c r="W155" s="45">
        <v>0</v>
      </c>
    </row>
    <row r="156" spans="1:23" s="49" customFormat="1" ht="12.75" customHeight="1">
      <c r="A156" s="46" t="s">
        <v>181</v>
      </c>
      <c r="B156" s="46"/>
      <c r="C156" s="46" t="s">
        <v>125</v>
      </c>
      <c r="D156" s="64"/>
      <c r="E156" s="45">
        <v>2743211</v>
      </c>
      <c r="F156" s="45"/>
      <c r="G156" s="45">
        <v>0</v>
      </c>
      <c r="H156" s="45"/>
      <c r="I156" s="45">
        <v>0</v>
      </c>
      <c r="J156" s="45"/>
      <c r="K156" s="45">
        <v>1015895</v>
      </c>
      <c r="L156" s="45"/>
      <c r="M156" s="45">
        <v>4854177</v>
      </c>
      <c r="N156" s="45"/>
      <c r="O156" s="45">
        <v>0</v>
      </c>
      <c r="P156" s="45"/>
      <c r="Q156" s="45">
        <v>3098918</v>
      </c>
      <c r="R156" s="45"/>
      <c r="S156" s="44">
        <f t="shared" si="5"/>
        <v>1135295</v>
      </c>
      <c r="T156" s="45"/>
      <c r="U156" s="45">
        <v>12847496</v>
      </c>
      <c r="V156" s="35"/>
      <c r="W156" s="45">
        <v>17771949</v>
      </c>
    </row>
    <row r="157" spans="1:23" s="49" customFormat="1" ht="12.75" customHeight="1">
      <c r="A157" s="44" t="s">
        <v>185</v>
      </c>
      <c r="C157" s="44" t="s">
        <v>80</v>
      </c>
      <c r="D157" s="35"/>
      <c r="E157" s="45">
        <v>1761160</v>
      </c>
      <c r="F157" s="45"/>
      <c r="G157" s="45">
        <v>4170052</v>
      </c>
      <c r="H157" s="45"/>
      <c r="I157" s="45">
        <v>0</v>
      </c>
      <c r="J157" s="45"/>
      <c r="K157" s="45">
        <v>737206</v>
      </c>
      <c r="L157" s="45"/>
      <c r="M157" s="45">
        <v>905955</v>
      </c>
      <c r="N157" s="45"/>
      <c r="O157" s="45">
        <v>0</v>
      </c>
      <c r="P157" s="45"/>
      <c r="Q157" s="45">
        <v>710839</v>
      </c>
      <c r="R157" s="45"/>
      <c r="S157" s="44">
        <f t="shared" si="5"/>
        <v>1818042</v>
      </c>
      <c r="T157" s="45"/>
      <c r="U157" s="45">
        <v>10103254</v>
      </c>
      <c r="V157" s="35"/>
      <c r="W157" s="45">
        <v>0</v>
      </c>
    </row>
    <row r="158" spans="1:23" s="49" customFormat="1" ht="12.75" customHeight="1">
      <c r="A158" s="44" t="s">
        <v>186</v>
      </c>
      <c r="C158" s="44" t="s">
        <v>15</v>
      </c>
      <c r="D158" s="35"/>
      <c r="E158" s="45">
        <v>834344</v>
      </c>
      <c r="F158" s="45"/>
      <c r="G158" s="45">
        <v>4610679</v>
      </c>
      <c r="H158" s="45"/>
      <c r="I158" s="45">
        <v>0</v>
      </c>
      <c r="J158" s="45"/>
      <c r="K158" s="45">
        <v>276973</v>
      </c>
      <c r="L158" s="45"/>
      <c r="M158" s="45">
        <v>2540498</v>
      </c>
      <c r="N158" s="45"/>
      <c r="O158" s="45">
        <v>0</v>
      </c>
      <c r="P158" s="45"/>
      <c r="Q158" s="45">
        <v>157810</v>
      </c>
      <c r="R158" s="45"/>
      <c r="S158" s="44">
        <f t="shared" si="5"/>
        <v>795898</v>
      </c>
      <c r="T158" s="45"/>
      <c r="U158" s="45">
        <v>9216202</v>
      </c>
      <c r="V158" s="35"/>
      <c r="W158" s="45">
        <v>0</v>
      </c>
    </row>
    <row r="159" spans="1:23" s="44" customFormat="1" ht="12.75" customHeight="1">
      <c r="A159" s="44" t="s">
        <v>187</v>
      </c>
      <c r="C159" s="44" t="s">
        <v>27</v>
      </c>
      <c r="D159" s="35"/>
      <c r="E159" s="45">
        <v>5489722</v>
      </c>
      <c r="F159" s="45"/>
      <c r="G159" s="45">
        <v>9342976</v>
      </c>
      <c r="H159" s="45"/>
      <c r="I159" s="45">
        <v>0</v>
      </c>
      <c r="J159" s="45"/>
      <c r="K159" s="45">
        <v>1195086</v>
      </c>
      <c r="L159" s="45"/>
      <c r="M159" s="45">
        <v>2964033</v>
      </c>
      <c r="N159" s="45"/>
      <c r="O159" s="45">
        <v>0</v>
      </c>
      <c r="P159" s="45"/>
      <c r="Q159" s="45">
        <v>1176201</v>
      </c>
      <c r="R159" s="45"/>
      <c r="S159" s="44">
        <f t="shared" si="5"/>
        <v>671179</v>
      </c>
      <c r="T159" s="45"/>
      <c r="U159" s="45">
        <v>20839197</v>
      </c>
      <c r="V159" s="35"/>
      <c r="W159" s="45">
        <v>0</v>
      </c>
    </row>
    <row r="160" spans="1:23" s="49" customFormat="1" ht="12.75" customHeight="1">
      <c r="A160" s="44" t="s">
        <v>189</v>
      </c>
      <c r="C160" s="44" t="s">
        <v>17</v>
      </c>
      <c r="D160" s="35"/>
      <c r="E160" s="45">
        <v>1024510</v>
      </c>
      <c r="F160" s="45"/>
      <c r="G160" s="45">
        <v>0</v>
      </c>
      <c r="H160" s="45"/>
      <c r="I160" s="45">
        <v>0</v>
      </c>
      <c r="J160" s="45"/>
      <c r="K160" s="45">
        <v>0</v>
      </c>
      <c r="L160" s="45"/>
      <c r="M160" s="45">
        <v>1418414</v>
      </c>
      <c r="N160" s="45"/>
      <c r="O160" s="45">
        <v>0</v>
      </c>
      <c r="P160" s="45"/>
      <c r="Q160" s="45">
        <v>1318445</v>
      </c>
      <c r="R160" s="45"/>
      <c r="S160" s="44">
        <f t="shared" si="5"/>
        <v>747960</v>
      </c>
      <c r="T160" s="45"/>
      <c r="U160" s="45">
        <v>4509329</v>
      </c>
      <c r="V160" s="35"/>
      <c r="W160" s="45">
        <v>5865000</v>
      </c>
    </row>
    <row r="161" spans="1:24" s="49" customFormat="1" ht="12.75" customHeight="1">
      <c r="A161" s="44" t="s">
        <v>188</v>
      </c>
      <c r="C161" s="44" t="s">
        <v>27</v>
      </c>
      <c r="D161" s="35"/>
      <c r="E161" s="45">
        <v>928373</v>
      </c>
      <c r="F161" s="45"/>
      <c r="G161" s="45">
        <v>8776120</v>
      </c>
      <c r="H161" s="45"/>
      <c r="I161" s="45">
        <v>4219</v>
      </c>
      <c r="J161" s="45"/>
      <c r="K161" s="45">
        <v>234330</v>
      </c>
      <c r="L161" s="45"/>
      <c r="M161" s="45">
        <v>1382510</v>
      </c>
      <c r="N161" s="45"/>
      <c r="O161" s="45">
        <v>0</v>
      </c>
      <c r="P161" s="45"/>
      <c r="Q161" s="45">
        <v>674293</v>
      </c>
      <c r="R161" s="45"/>
      <c r="S161" s="44">
        <f t="shared" si="5"/>
        <v>979646</v>
      </c>
      <c r="T161" s="45"/>
      <c r="U161" s="45">
        <v>12979491</v>
      </c>
      <c r="V161" s="35"/>
      <c r="W161" s="45">
        <v>0</v>
      </c>
    </row>
    <row r="162" spans="1:24" s="49" customFormat="1" ht="12.75" customHeight="1">
      <c r="A162" s="44" t="s">
        <v>190</v>
      </c>
      <c r="C162" s="44" t="s">
        <v>47</v>
      </c>
      <c r="D162" s="35"/>
      <c r="E162" s="45">
        <v>264876</v>
      </c>
      <c r="F162" s="45"/>
      <c r="G162" s="45">
        <v>3045387</v>
      </c>
      <c r="H162" s="45"/>
      <c r="I162" s="45">
        <v>41386</v>
      </c>
      <c r="J162" s="45"/>
      <c r="K162" s="45">
        <v>74094</v>
      </c>
      <c r="L162" s="45"/>
      <c r="M162" s="45">
        <v>1198047</v>
      </c>
      <c r="N162" s="45"/>
      <c r="O162" s="45">
        <v>68259</v>
      </c>
      <c r="P162" s="45"/>
      <c r="Q162" s="45">
        <v>294618</v>
      </c>
      <c r="R162" s="45"/>
      <c r="S162" s="44">
        <f t="shared" si="5"/>
        <v>276534</v>
      </c>
      <c r="T162" s="45"/>
      <c r="U162" s="45">
        <v>5263201</v>
      </c>
      <c r="V162" s="35"/>
      <c r="W162" s="45">
        <v>0</v>
      </c>
    </row>
    <row r="163" spans="1:24" s="49" customFormat="1" ht="12.75" customHeight="1">
      <c r="A163" s="44" t="s">
        <v>191</v>
      </c>
      <c r="C163" s="44" t="s">
        <v>13</v>
      </c>
      <c r="D163" s="35"/>
      <c r="E163" s="45">
        <v>407336</v>
      </c>
      <c r="F163" s="45"/>
      <c r="G163" s="45">
        <v>2881850</v>
      </c>
      <c r="H163" s="45"/>
      <c r="I163" s="45">
        <v>0</v>
      </c>
      <c r="J163" s="45"/>
      <c r="K163" s="45">
        <v>62853</v>
      </c>
      <c r="L163" s="45"/>
      <c r="M163" s="45">
        <v>876067</v>
      </c>
      <c r="N163" s="45"/>
      <c r="O163" s="45">
        <v>0</v>
      </c>
      <c r="P163" s="45"/>
      <c r="Q163" s="45">
        <v>238780</v>
      </c>
      <c r="R163" s="45"/>
      <c r="S163" s="44">
        <f t="shared" si="5"/>
        <v>282650</v>
      </c>
      <c r="T163" s="45"/>
      <c r="U163" s="45">
        <v>4749536</v>
      </c>
      <c r="V163" s="35"/>
      <c r="W163" s="45">
        <v>0</v>
      </c>
    </row>
    <row r="164" spans="1:24" s="49" customFormat="1" ht="12.75" customHeight="1">
      <c r="A164" s="44" t="s">
        <v>192</v>
      </c>
      <c r="C164" s="44" t="s">
        <v>38</v>
      </c>
      <c r="D164" s="35"/>
      <c r="E164" s="45">
        <v>915197</v>
      </c>
      <c r="F164" s="45"/>
      <c r="G164" s="45">
        <v>4287111</v>
      </c>
      <c r="H164" s="45"/>
      <c r="I164" s="45">
        <v>0</v>
      </c>
      <c r="J164" s="45"/>
      <c r="K164" s="45">
        <v>88090</v>
      </c>
      <c r="L164" s="45"/>
      <c r="M164" s="45">
        <v>900164</v>
      </c>
      <c r="N164" s="45"/>
      <c r="O164" s="45">
        <v>13530</v>
      </c>
      <c r="P164" s="45"/>
      <c r="Q164" s="45">
        <v>810554</v>
      </c>
      <c r="R164" s="45"/>
      <c r="S164" s="44">
        <f t="shared" si="5"/>
        <v>844530</v>
      </c>
      <c r="T164" s="45"/>
      <c r="U164" s="45">
        <v>7859176</v>
      </c>
      <c r="V164" s="35"/>
      <c r="W164" s="45">
        <v>0</v>
      </c>
    </row>
    <row r="165" spans="1:24" s="139" customFormat="1" ht="12.75" hidden="1" customHeight="1">
      <c r="A165" s="137" t="s">
        <v>193</v>
      </c>
      <c r="B165" s="146"/>
      <c r="C165" s="137" t="s">
        <v>45</v>
      </c>
      <c r="D165" s="142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37">
        <f t="shared" si="5"/>
        <v>0</v>
      </c>
      <c r="T165" s="143"/>
      <c r="U165" s="143"/>
      <c r="V165" s="142"/>
      <c r="W165" s="143"/>
      <c r="X165" s="141"/>
    </row>
    <row r="166" spans="1:24" s="49" customFormat="1" ht="12.75" customHeight="1">
      <c r="A166" s="44" t="s">
        <v>194</v>
      </c>
      <c r="C166" s="44" t="s">
        <v>66</v>
      </c>
      <c r="D166" s="35"/>
      <c r="E166" s="45">
        <v>1671758</v>
      </c>
      <c r="F166" s="45"/>
      <c r="G166" s="45">
        <v>5580572</v>
      </c>
      <c r="H166" s="45"/>
      <c r="I166" s="45">
        <v>1271870</v>
      </c>
      <c r="J166" s="45"/>
      <c r="K166" s="45">
        <v>316908</v>
      </c>
      <c r="L166" s="45"/>
      <c r="M166" s="45">
        <v>10494665</v>
      </c>
      <c r="N166" s="45"/>
      <c r="O166" s="45">
        <v>0</v>
      </c>
      <c r="P166" s="45"/>
      <c r="Q166" s="45">
        <v>117289</v>
      </c>
      <c r="R166" s="45"/>
      <c r="S166" s="44">
        <f t="shared" si="5"/>
        <v>232887</v>
      </c>
      <c r="T166" s="45"/>
      <c r="U166" s="45">
        <v>19685949</v>
      </c>
      <c r="V166" s="35"/>
      <c r="W166" s="45">
        <v>0</v>
      </c>
    </row>
    <row r="167" spans="1:24" s="49" customFormat="1" ht="12.75" customHeight="1">
      <c r="A167" s="44" t="s">
        <v>195</v>
      </c>
      <c r="C167" s="44" t="s">
        <v>17</v>
      </c>
      <c r="D167" s="35"/>
      <c r="E167" s="45">
        <v>466859</v>
      </c>
      <c r="F167" s="45"/>
      <c r="G167" s="45">
        <v>3504794</v>
      </c>
      <c r="H167" s="45"/>
      <c r="I167" s="45">
        <v>1231961</v>
      </c>
      <c r="J167" s="45"/>
      <c r="K167" s="45">
        <v>161566</v>
      </c>
      <c r="L167" s="45"/>
      <c r="M167" s="45">
        <v>1529416</v>
      </c>
      <c r="N167" s="45"/>
      <c r="O167" s="45">
        <v>2858</v>
      </c>
      <c r="P167" s="45"/>
      <c r="Q167" s="45">
        <v>886584</v>
      </c>
      <c r="R167" s="45"/>
      <c r="S167" s="44">
        <f t="shared" si="5"/>
        <v>718507</v>
      </c>
      <c r="T167" s="45"/>
      <c r="U167" s="45">
        <v>8502545</v>
      </c>
      <c r="V167" s="35"/>
      <c r="W167" s="45">
        <v>0</v>
      </c>
    </row>
    <row r="168" spans="1:24" s="49" customFormat="1" ht="12.75" hidden="1" customHeight="1">
      <c r="A168" s="44" t="s">
        <v>196</v>
      </c>
      <c r="C168" s="44" t="s">
        <v>27</v>
      </c>
      <c r="D168" s="35"/>
      <c r="E168" s="45">
        <v>576585</v>
      </c>
      <c r="F168" s="45"/>
      <c r="G168" s="45">
        <v>2280341</v>
      </c>
      <c r="H168" s="45"/>
      <c r="I168" s="45"/>
      <c r="J168" s="45"/>
      <c r="K168" s="45">
        <v>169377</v>
      </c>
      <c r="L168" s="45"/>
      <c r="M168" s="45">
        <v>656367</v>
      </c>
      <c r="N168" s="45"/>
      <c r="O168" s="45">
        <v>1080</v>
      </c>
      <c r="P168" s="45"/>
      <c r="Q168" s="45">
        <v>343283</v>
      </c>
      <c r="R168" s="45"/>
      <c r="S168" s="44">
        <f t="shared" si="5"/>
        <v>196837</v>
      </c>
      <c r="T168" s="45"/>
      <c r="U168" s="45">
        <v>4223870</v>
      </c>
      <c r="V168" s="35"/>
      <c r="W168" s="45">
        <v>40575</v>
      </c>
    </row>
    <row r="169" spans="1:24" s="146" customFormat="1" ht="12.75" hidden="1" customHeight="1">
      <c r="A169" s="137" t="s">
        <v>402</v>
      </c>
      <c r="C169" s="137" t="s">
        <v>153</v>
      </c>
      <c r="D169" s="142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37">
        <f t="shared" si="5"/>
        <v>0</v>
      </c>
      <c r="T169" s="143"/>
      <c r="U169" s="143"/>
      <c r="V169" s="142"/>
      <c r="W169" s="143"/>
    </row>
    <row r="170" spans="1:24" s="49" customFormat="1" ht="12.75" customHeight="1">
      <c r="A170" s="46" t="s">
        <v>197</v>
      </c>
      <c r="B170" s="46"/>
      <c r="C170" s="46" t="s">
        <v>163</v>
      </c>
      <c r="D170" s="64"/>
      <c r="E170" s="45">
        <v>1197776</v>
      </c>
      <c r="F170" s="45"/>
      <c r="G170" s="45">
        <v>14778368</v>
      </c>
      <c r="H170" s="45"/>
      <c r="I170" s="45">
        <v>1458268</v>
      </c>
      <c r="J170" s="45"/>
      <c r="K170" s="45">
        <v>255069</v>
      </c>
      <c r="L170" s="45"/>
      <c r="M170" s="45">
        <v>1379801</v>
      </c>
      <c r="N170" s="45"/>
      <c r="O170" s="45">
        <v>5114</v>
      </c>
      <c r="P170" s="45"/>
      <c r="Q170" s="45">
        <v>749938</v>
      </c>
      <c r="R170" s="45"/>
      <c r="S170" s="44">
        <f t="shared" si="5"/>
        <v>214453</v>
      </c>
      <c r="T170" s="45"/>
      <c r="U170" s="45">
        <v>20038787</v>
      </c>
      <c r="V170" s="35"/>
      <c r="W170" s="45">
        <v>0</v>
      </c>
    </row>
    <row r="171" spans="1:24" s="49" customFormat="1" ht="12.75" customHeight="1">
      <c r="A171" s="44" t="s">
        <v>198</v>
      </c>
      <c r="C171" s="44" t="s">
        <v>199</v>
      </c>
      <c r="D171" s="35"/>
      <c r="E171" s="45">
        <v>479755</v>
      </c>
      <c r="F171" s="45"/>
      <c r="G171" s="45">
        <v>3380176</v>
      </c>
      <c r="H171" s="45"/>
      <c r="I171" s="45">
        <v>971505</v>
      </c>
      <c r="J171" s="45"/>
      <c r="K171" s="45">
        <v>261596</v>
      </c>
      <c r="L171" s="45"/>
      <c r="M171" s="45">
        <v>556927</v>
      </c>
      <c r="N171" s="45"/>
      <c r="O171" s="45">
        <v>0</v>
      </c>
      <c r="P171" s="45"/>
      <c r="Q171" s="45">
        <v>35235</v>
      </c>
      <c r="R171" s="45"/>
      <c r="S171" s="44">
        <f>U171-E171-G171-K171-M171-O171-Q171-I171</f>
        <v>225628</v>
      </c>
      <c r="T171" s="45"/>
      <c r="U171" s="45">
        <v>5910822</v>
      </c>
      <c r="V171" s="35"/>
      <c r="W171" s="45">
        <v>0</v>
      </c>
    </row>
    <row r="172" spans="1:24" s="49" customFormat="1" ht="12.75" customHeight="1">
      <c r="A172" s="44" t="s">
        <v>200</v>
      </c>
      <c r="C172" s="44" t="s">
        <v>103</v>
      </c>
      <c r="D172" s="35"/>
      <c r="E172" s="45">
        <v>1159315</v>
      </c>
      <c r="F172" s="45"/>
      <c r="G172" s="45">
        <v>6190198</v>
      </c>
      <c r="H172" s="45"/>
      <c r="I172" s="45">
        <v>665115</v>
      </c>
      <c r="J172" s="45"/>
      <c r="K172" s="45">
        <v>681607</v>
      </c>
      <c r="L172" s="45"/>
      <c r="M172" s="45">
        <v>1473678</v>
      </c>
      <c r="N172" s="45"/>
      <c r="O172" s="45">
        <v>0</v>
      </c>
      <c r="P172" s="45"/>
      <c r="Q172" s="45">
        <v>627547</v>
      </c>
      <c r="R172" s="45"/>
      <c r="S172" s="44">
        <f>U172-E172-G172-K172-M172-O172-Q172-I172</f>
        <v>97889</v>
      </c>
      <c r="T172" s="45"/>
      <c r="U172" s="45">
        <v>10895349</v>
      </c>
      <c r="V172" s="35"/>
      <c r="W172" s="45">
        <v>0</v>
      </c>
    </row>
    <row r="173" spans="1:24" s="46" customFormat="1" ht="12.75" customHeight="1">
      <c r="A173" s="44" t="s">
        <v>201</v>
      </c>
      <c r="B173" s="49"/>
      <c r="C173" s="44" t="s">
        <v>92</v>
      </c>
      <c r="D173" s="35"/>
      <c r="E173" s="45">
        <v>569493</v>
      </c>
      <c r="F173" s="45"/>
      <c r="G173" s="45">
        <v>8431682</v>
      </c>
      <c r="H173" s="45"/>
      <c r="I173" s="45">
        <v>1860187</v>
      </c>
      <c r="J173" s="45"/>
      <c r="K173" s="45">
        <v>84127</v>
      </c>
      <c r="L173" s="45"/>
      <c r="M173" s="45">
        <v>1746340</v>
      </c>
      <c r="N173" s="45"/>
      <c r="O173" s="45">
        <v>0</v>
      </c>
      <c r="P173" s="45"/>
      <c r="Q173" s="45">
        <v>1272786</v>
      </c>
      <c r="R173" s="45"/>
      <c r="S173" s="44">
        <f>U173-E173-G173-K173-M173-O173-Q173-I173</f>
        <v>127914</v>
      </c>
      <c r="T173" s="45"/>
      <c r="U173" s="45">
        <v>14092529</v>
      </c>
      <c r="V173" s="35"/>
      <c r="W173" s="45">
        <v>0</v>
      </c>
    </row>
    <row r="174" spans="1:24" s="49" customFormat="1" ht="12.75" customHeight="1">
      <c r="A174" s="46" t="s">
        <v>202</v>
      </c>
      <c r="B174" s="46"/>
      <c r="C174" s="46" t="s">
        <v>27</v>
      </c>
      <c r="D174" s="64"/>
      <c r="E174" s="45">
        <v>6674980</v>
      </c>
      <c r="F174" s="45"/>
      <c r="G174" s="45">
        <v>26680919</v>
      </c>
      <c r="H174" s="45"/>
      <c r="I174" s="45">
        <v>0</v>
      </c>
      <c r="J174" s="45"/>
      <c r="K174" s="45">
        <v>567736</v>
      </c>
      <c r="L174" s="45"/>
      <c r="M174" s="45">
        <v>5988679</v>
      </c>
      <c r="N174" s="45"/>
      <c r="O174" s="45">
        <v>0</v>
      </c>
      <c r="P174" s="45"/>
      <c r="Q174" s="45">
        <v>3523827</v>
      </c>
      <c r="R174" s="45"/>
      <c r="S174" s="44">
        <f t="shared" si="5"/>
        <v>1071995</v>
      </c>
      <c r="T174" s="45"/>
      <c r="U174" s="45">
        <v>44508136</v>
      </c>
      <c r="V174" s="35"/>
      <c r="W174" s="45">
        <v>0</v>
      </c>
    </row>
    <row r="175" spans="1:24" s="49" customFormat="1" ht="12.75" customHeight="1">
      <c r="A175" s="44" t="s">
        <v>203</v>
      </c>
      <c r="C175" s="44" t="s">
        <v>27</v>
      </c>
      <c r="E175" s="45">
        <v>6674980</v>
      </c>
      <c r="F175" s="45"/>
      <c r="G175" s="35">
        <v>26680919</v>
      </c>
      <c r="H175" s="45"/>
      <c r="I175" s="45">
        <v>837733</v>
      </c>
      <c r="J175" s="45"/>
      <c r="K175" s="45">
        <v>567736</v>
      </c>
      <c r="L175" s="45"/>
      <c r="M175" s="45">
        <v>5988679</v>
      </c>
      <c r="N175" s="45"/>
      <c r="O175" s="45">
        <v>0</v>
      </c>
      <c r="P175" s="45"/>
      <c r="Q175" s="45">
        <v>3523827</v>
      </c>
      <c r="R175" s="45"/>
      <c r="S175" s="44">
        <f t="shared" si="5"/>
        <v>234262</v>
      </c>
      <c r="T175" s="45"/>
      <c r="U175" s="45">
        <v>44508136</v>
      </c>
      <c r="V175" s="35"/>
      <c r="W175" s="45">
        <v>0</v>
      </c>
    </row>
    <row r="176" spans="1:24" s="49" customFormat="1" ht="12.75" customHeight="1">
      <c r="A176" s="44" t="s">
        <v>204</v>
      </c>
      <c r="C176" s="44" t="s">
        <v>125</v>
      </c>
      <c r="D176" s="35"/>
      <c r="E176" s="45">
        <v>837380</v>
      </c>
      <c r="F176" s="45"/>
      <c r="G176" s="45">
        <v>0</v>
      </c>
      <c r="H176" s="45"/>
      <c r="I176" s="45">
        <v>0</v>
      </c>
      <c r="J176" s="45"/>
      <c r="K176" s="45">
        <v>46181</v>
      </c>
      <c r="L176" s="45"/>
      <c r="M176" s="45">
        <v>358849</v>
      </c>
      <c r="N176" s="45"/>
      <c r="O176" s="45">
        <v>0</v>
      </c>
      <c r="P176" s="45"/>
      <c r="Q176" s="45">
        <v>210730</v>
      </c>
      <c r="R176" s="45"/>
      <c r="S176" s="44">
        <f t="shared" si="5"/>
        <v>332780</v>
      </c>
      <c r="T176" s="45"/>
      <c r="U176" s="45">
        <v>1785920</v>
      </c>
      <c r="V176" s="35"/>
      <c r="W176" s="45">
        <v>113493</v>
      </c>
    </row>
    <row r="177" spans="1:23" s="49" customFormat="1" ht="12.75" customHeight="1">
      <c r="A177" s="44" t="s">
        <v>205</v>
      </c>
      <c r="C177" s="44" t="s">
        <v>27</v>
      </c>
      <c r="D177" s="35"/>
      <c r="E177" s="45">
        <v>1482144</v>
      </c>
      <c r="F177" s="45"/>
      <c r="G177" s="45">
        <v>4026993</v>
      </c>
      <c r="H177" s="45"/>
      <c r="I177" s="45">
        <v>2464586</v>
      </c>
      <c r="J177" s="45"/>
      <c r="K177" s="45">
        <v>261464</v>
      </c>
      <c r="L177" s="45"/>
      <c r="M177" s="45">
        <v>295936</v>
      </c>
      <c r="N177" s="45"/>
      <c r="O177" s="45">
        <v>0</v>
      </c>
      <c r="P177" s="45"/>
      <c r="Q177" s="45">
        <v>70102</v>
      </c>
      <c r="R177" s="45"/>
      <c r="S177" s="44">
        <f t="shared" si="5"/>
        <v>751658</v>
      </c>
      <c r="T177" s="45"/>
      <c r="U177" s="45">
        <v>9352883</v>
      </c>
      <c r="V177" s="35"/>
      <c r="W177" s="45">
        <v>0</v>
      </c>
    </row>
    <row r="178" spans="1:23" s="49" customFormat="1" ht="12.75" customHeight="1">
      <c r="A178" s="44" t="s">
        <v>206</v>
      </c>
      <c r="C178" s="44" t="s">
        <v>47</v>
      </c>
      <c r="D178" s="35"/>
      <c r="E178" s="45">
        <v>1101721</v>
      </c>
      <c r="F178" s="45"/>
      <c r="G178" s="45">
        <v>13343420</v>
      </c>
      <c r="H178" s="45"/>
      <c r="I178" s="45">
        <v>189755</v>
      </c>
      <c r="J178" s="45"/>
      <c r="K178" s="45">
        <v>500946</v>
      </c>
      <c r="L178" s="45"/>
      <c r="M178" s="45">
        <v>1444554</v>
      </c>
      <c r="N178" s="45"/>
      <c r="O178" s="45">
        <v>133061</v>
      </c>
      <c r="P178" s="45"/>
      <c r="Q178" s="45">
        <v>1025293</v>
      </c>
      <c r="R178" s="45"/>
      <c r="S178" s="44">
        <f t="shared" si="5"/>
        <v>154671</v>
      </c>
      <c r="T178" s="45"/>
      <c r="U178" s="45">
        <v>17893421</v>
      </c>
      <c r="V178" s="35"/>
      <c r="W178" s="45">
        <v>0</v>
      </c>
    </row>
    <row r="179" spans="1:23" s="49" customFormat="1" ht="12.75" customHeight="1">
      <c r="A179" s="44" t="s">
        <v>207</v>
      </c>
      <c r="C179" s="44" t="s">
        <v>102</v>
      </c>
      <c r="D179" s="35"/>
      <c r="E179" s="45">
        <v>906759</v>
      </c>
      <c r="F179" s="45"/>
      <c r="G179" s="45">
        <v>4111715</v>
      </c>
      <c r="H179" s="45"/>
      <c r="I179" s="45">
        <v>312201</v>
      </c>
      <c r="J179" s="45"/>
      <c r="K179" s="45">
        <v>131950</v>
      </c>
      <c r="L179" s="45"/>
      <c r="M179" s="45">
        <v>470609</v>
      </c>
      <c r="N179" s="45"/>
      <c r="O179" s="45">
        <v>0</v>
      </c>
      <c r="P179" s="45"/>
      <c r="Q179" s="45">
        <v>483086</v>
      </c>
      <c r="R179" s="45"/>
      <c r="S179" s="44">
        <f t="shared" si="5"/>
        <v>97054</v>
      </c>
      <c r="T179" s="45"/>
      <c r="U179" s="45">
        <v>6513374</v>
      </c>
      <c r="V179" s="35"/>
      <c r="W179" s="45">
        <v>0</v>
      </c>
    </row>
    <row r="180" spans="1:23" s="49" customFormat="1" ht="12.75" customHeight="1">
      <c r="A180" s="44" t="s">
        <v>208</v>
      </c>
      <c r="C180" s="44" t="s">
        <v>209</v>
      </c>
      <c r="D180" s="35"/>
      <c r="E180" s="45">
        <v>1143595</v>
      </c>
      <c r="F180" s="45"/>
      <c r="G180" s="45">
        <v>5808640</v>
      </c>
      <c r="H180" s="45"/>
      <c r="I180" s="45">
        <v>1661061</v>
      </c>
      <c r="J180" s="45"/>
      <c r="K180" s="45">
        <v>0</v>
      </c>
      <c r="L180" s="45"/>
      <c r="M180" s="45">
        <v>0</v>
      </c>
      <c r="N180" s="45"/>
      <c r="O180" s="45">
        <v>0</v>
      </c>
      <c r="P180" s="45"/>
      <c r="Q180" s="45">
        <v>1067820</v>
      </c>
      <c r="R180" s="45"/>
      <c r="S180" s="44">
        <f t="shared" si="5"/>
        <v>3633458</v>
      </c>
      <c r="T180" s="45"/>
      <c r="U180" s="45">
        <v>13314574</v>
      </c>
      <c r="V180" s="35"/>
      <c r="W180" s="45">
        <v>1619514</v>
      </c>
    </row>
    <row r="181" spans="1:23" s="49" customFormat="1" ht="12.75" customHeight="1">
      <c r="A181" s="44" t="s">
        <v>210</v>
      </c>
      <c r="C181" s="44" t="s">
        <v>211</v>
      </c>
      <c r="D181" s="35"/>
      <c r="E181" s="45">
        <v>591362</v>
      </c>
      <c r="F181" s="45"/>
      <c r="G181" s="45">
        <v>2184884</v>
      </c>
      <c r="H181" s="45"/>
      <c r="I181" s="45">
        <v>122536</v>
      </c>
      <c r="J181" s="45"/>
      <c r="K181" s="45">
        <v>138977</v>
      </c>
      <c r="L181" s="45"/>
      <c r="M181" s="45">
        <v>702079</v>
      </c>
      <c r="N181" s="45"/>
      <c r="O181" s="45">
        <v>0</v>
      </c>
      <c r="P181" s="45"/>
      <c r="Q181" s="45">
        <v>86948</v>
      </c>
      <c r="R181" s="45"/>
      <c r="S181" s="44">
        <f t="shared" si="5"/>
        <v>221632</v>
      </c>
      <c r="T181" s="45"/>
      <c r="U181" s="45">
        <v>4048418</v>
      </c>
      <c r="V181" s="35"/>
      <c r="W181" s="45">
        <v>0</v>
      </c>
    </row>
    <row r="182" spans="1:23" s="49" customFormat="1" ht="12.75" customHeight="1">
      <c r="A182" s="44" t="s">
        <v>212</v>
      </c>
      <c r="C182" s="44" t="s">
        <v>213</v>
      </c>
      <c r="D182" s="35"/>
      <c r="E182" s="45">
        <v>6858043</v>
      </c>
      <c r="F182" s="45"/>
      <c r="G182" s="45">
        <v>0</v>
      </c>
      <c r="H182" s="45"/>
      <c r="I182" s="45">
        <v>329427</v>
      </c>
      <c r="J182" s="45"/>
      <c r="K182" s="45">
        <v>411895</v>
      </c>
      <c r="L182" s="45"/>
      <c r="M182" s="45">
        <v>1927687</v>
      </c>
      <c r="N182" s="45"/>
      <c r="O182" s="45">
        <v>0</v>
      </c>
      <c r="P182" s="45"/>
      <c r="Q182" s="45">
        <v>941435</v>
      </c>
      <c r="R182" s="45"/>
      <c r="S182" s="44">
        <f t="shared" si="5"/>
        <v>108589</v>
      </c>
      <c r="T182" s="45"/>
      <c r="U182" s="45">
        <v>10577076</v>
      </c>
      <c r="V182" s="35"/>
      <c r="W182" s="45">
        <v>4637</v>
      </c>
    </row>
    <row r="183" spans="1:23" s="49" customFormat="1" ht="12.75" customHeight="1">
      <c r="A183" s="44" t="s">
        <v>214</v>
      </c>
      <c r="C183" s="44" t="s">
        <v>86</v>
      </c>
      <c r="D183" s="35"/>
      <c r="E183" s="45">
        <v>484702</v>
      </c>
      <c r="F183" s="45"/>
      <c r="G183" s="45">
        <v>3655321</v>
      </c>
      <c r="H183" s="45"/>
      <c r="I183" s="45">
        <v>31385</v>
      </c>
      <c r="J183" s="45"/>
      <c r="K183" s="45">
        <v>38592</v>
      </c>
      <c r="L183" s="45"/>
      <c r="M183" s="45">
        <v>371442</v>
      </c>
      <c r="N183" s="45"/>
      <c r="O183" s="45">
        <v>0</v>
      </c>
      <c r="P183" s="45"/>
      <c r="Q183" s="45">
        <v>885355</v>
      </c>
      <c r="R183" s="45"/>
      <c r="S183" s="44">
        <f t="shared" si="5"/>
        <v>543540</v>
      </c>
      <c r="T183" s="45"/>
      <c r="U183" s="45">
        <v>6010337</v>
      </c>
      <c r="V183" s="35"/>
      <c r="W183" s="45">
        <v>0</v>
      </c>
    </row>
    <row r="184" spans="1:23" s="49" customFormat="1" ht="12.75" customHeight="1">
      <c r="A184" s="46" t="s">
        <v>215</v>
      </c>
      <c r="B184" s="46"/>
      <c r="C184" s="46" t="s">
        <v>22</v>
      </c>
      <c r="D184" s="64"/>
      <c r="E184" s="45">
        <v>758049</v>
      </c>
      <c r="F184" s="45"/>
      <c r="G184" s="45">
        <v>5196810</v>
      </c>
      <c r="H184" s="45"/>
      <c r="I184" s="45">
        <v>499720</v>
      </c>
      <c r="J184" s="45"/>
      <c r="K184" s="45">
        <v>0</v>
      </c>
      <c r="L184" s="45"/>
      <c r="M184" s="45">
        <v>1224636</v>
      </c>
      <c r="N184" s="45"/>
      <c r="O184" s="45">
        <v>6577</v>
      </c>
      <c r="P184" s="45"/>
      <c r="Q184" s="45">
        <v>374795</v>
      </c>
      <c r="R184" s="45"/>
      <c r="S184" s="44">
        <f>U184-E184-G184-K184-M184-O184-Q184-I184</f>
        <v>140620</v>
      </c>
      <c r="T184" s="45"/>
      <c r="U184" s="45">
        <v>8201207</v>
      </c>
      <c r="V184" s="35"/>
      <c r="W184" s="45">
        <v>0</v>
      </c>
    </row>
    <row r="185" spans="1:23" s="49" customFormat="1" ht="12.75" customHeight="1">
      <c r="A185" s="44" t="s">
        <v>216</v>
      </c>
      <c r="C185" s="44" t="s">
        <v>45</v>
      </c>
      <c r="D185" s="35"/>
      <c r="E185" s="45">
        <v>7125650</v>
      </c>
      <c r="F185" s="45"/>
      <c r="G185" s="45">
        <v>0</v>
      </c>
      <c r="H185" s="45"/>
      <c r="I185" s="45">
        <v>198487</v>
      </c>
      <c r="J185" s="45"/>
      <c r="K185" s="45">
        <v>562647</v>
      </c>
      <c r="L185" s="45"/>
      <c r="M185" s="45">
        <v>742893</v>
      </c>
      <c r="N185" s="45"/>
      <c r="O185" s="45">
        <v>0</v>
      </c>
      <c r="P185" s="45"/>
      <c r="Q185" s="45">
        <v>349407</v>
      </c>
      <c r="R185" s="45"/>
      <c r="S185" s="44">
        <f t="shared" ref="S185:S210" si="6">U185-E185-G185-K185-M185-O185-Q185-I185</f>
        <v>209494</v>
      </c>
      <c r="T185" s="45"/>
      <c r="U185" s="45">
        <v>9188578</v>
      </c>
      <c r="V185" s="35"/>
      <c r="W185" s="45">
        <v>0</v>
      </c>
    </row>
    <row r="186" spans="1:23" s="49" customFormat="1" ht="12.75" customHeight="1">
      <c r="A186" s="44" t="s">
        <v>217</v>
      </c>
      <c r="C186" s="44" t="s">
        <v>43</v>
      </c>
      <c r="D186" s="35"/>
      <c r="E186" s="45">
        <v>8121106</v>
      </c>
      <c r="F186" s="45"/>
      <c r="G186" s="45">
        <v>0</v>
      </c>
      <c r="H186" s="45"/>
      <c r="I186" s="45">
        <v>1217054</v>
      </c>
      <c r="J186" s="45"/>
      <c r="K186" s="45">
        <v>164899</v>
      </c>
      <c r="L186" s="45"/>
      <c r="M186" s="45">
        <v>1963510</v>
      </c>
      <c r="N186" s="45"/>
      <c r="O186" s="45">
        <v>0</v>
      </c>
      <c r="P186" s="45"/>
      <c r="Q186" s="45">
        <v>788409</v>
      </c>
      <c r="R186" s="45"/>
      <c r="S186" s="44">
        <f t="shared" si="6"/>
        <v>343832</v>
      </c>
      <c r="T186" s="45"/>
      <c r="U186" s="45">
        <v>12598810</v>
      </c>
      <c r="V186" s="35"/>
      <c r="W186" s="45">
        <v>0</v>
      </c>
    </row>
    <row r="187" spans="1:23" s="49" customFormat="1" ht="12.75" hidden="1" customHeight="1">
      <c r="A187" s="44" t="s">
        <v>218</v>
      </c>
      <c r="C187" s="44" t="s">
        <v>27</v>
      </c>
      <c r="D187" s="35"/>
      <c r="E187" s="45">
        <v>1449981</v>
      </c>
      <c r="F187" s="45"/>
      <c r="G187" s="45">
        <v>4565764</v>
      </c>
      <c r="H187" s="45"/>
      <c r="I187" s="45">
        <v>231320</v>
      </c>
      <c r="J187" s="45"/>
      <c r="K187" s="45">
        <v>90609</v>
      </c>
      <c r="L187" s="45"/>
      <c r="M187" s="45">
        <v>742151</v>
      </c>
      <c r="N187" s="45"/>
      <c r="O187" s="45">
        <v>0</v>
      </c>
      <c r="P187" s="45"/>
      <c r="Q187" s="45">
        <v>440881</v>
      </c>
      <c r="R187" s="45"/>
      <c r="S187" s="44">
        <f t="shared" si="6"/>
        <v>47105</v>
      </c>
      <c r="T187" s="45"/>
      <c r="U187" s="45">
        <v>7567811</v>
      </c>
      <c r="V187" s="35"/>
      <c r="W187" s="45">
        <v>0</v>
      </c>
    </row>
    <row r="188" spans="1:23" s="49" customFormat="1" ht="12.75" customHeight="1">
      <c r="A188" s="44" t="s">
        <v>219</v>
      </c>
      <c r="C188" s="44" t="s">
        <v>199</v>
      </c>
      <c r="D188" s="35"/>
      <c r="E188" s="45">
        <v>372024</v>
      </c>
      <c r="F188" s="45"/>
      <c r="G188" s="45">
        <v>670472</v>
      </c>
      <c r="H188" s="45"/>
      <c r="I188" s="45">
        <v>193290</v>
      </c>
      <c r="J188" s="45"/>
      <c r="K188" s="45">
        <v>828359</v>
      </c>
      <c r="L188" s="45"/>
      <c r="M188" s="45">
        <v>590410</v>
      </c>
      <c r="N188" s="45"/>
      <c r="O188" s="45">
        <v>0</v>
      </c>
      <c r="P188" s="45"/>
      <c r="Q188" s="45">
        <v>90096</v>
      </c>
      <c r="R188" s="45"/>
      <c r="S188" s="44">
        <f t="shared" si="6"/>
        <v>30300</v>
      </c>
      <c r="T188" s="45"/>
      <c r="U188" s="45">
        <v>2774951</v>
      </c>
      <c r="V188" s="35"/>
      <c r="W188" s="45">
        <v>0</v>
      </c>
    </row>
    <row r="189" spans="1:23" s="49" customFormat="1" ht="12.75" customHeight="1">
      <c r="A189" s="44" t="s">
        <v>220</v>
      </c>
      <c r="C189" s="44" t="s">
        <v>66</v>
      </c>
      <c r="D189" s="35"/>
      <c r="E189" s="45">
        <v>427982</v>
      </c>
      <c r="F189" s="45"/>
      <c r="G189" s="45">
        <v>5139761</v>
      </c>
      <c r="H189" s="45"/>
      <c r="I189" s="45">
        <v>624990</v>
      </c>
      <c r="J189" s="45"/>
      <c r="K189" s="45">
        <v>1037064</v>
      </c>
      <c r="L189" s="45"/>
      <c r="M189" s="45">
        <v>975411</v>
      </c>
      <c r="N189" s="45"/>
      <c r="O189" s="45">
        <v>0</v>
      </c>
      <c r="P189" s="45"/>
      <c r="Q189" s="45">
        <v>39263</v>
      </c>
      <c r="R189" s="45"/>
      <c r="S189" s="44">
        <f t="shared" si="6"/>
        <v>18316</v>
      </c>
      <c r="T189" s="45"/>
      <c r="U189" s="45">
        <v>8262787</v>
      </c>
      <c r="V189" s="35"/>
      <c r="W189" s="45">
        <v>0</v>
      </c>
    </row>
    <row r="190" spans="1:23" s="49" customFormat="1" ht="12.75" customHeight="1">
      <c r="A190" s="44" t="s">
        <v>221</v>
      </c>
      <c r="C190" s="44" t="s">
        <v>27</v>
      </c>
      <c r="D190" s="35"/>
      <c r="E190" s="45">
        <v>4544596</v>
      </c>
      <c r="F190" s="45"/>
      <c r="G190" s="45">
        <v>8524272</v>
      </c>
      <c r="H190" s="45"/>
      <c r="I190" s="45">
        <v>837008</v>
      </c>
      <c r="J190" s="45"/>
      <c r="K190" s="45">
        <v>33029</v>
      </c>
      <c r="L190" s="45"/>
      <c r="M190" s="45">
        <v>2944791</v>
      </c>
      <c r="N190" s="45"/>
      <c r="O190" s="45">
        <v>0</v>
      </c>
      <c r="P190" s="45"/>
      <c r="Q190" s="45">
        <v>2585460</v>
      </c>
      <c r="R190" s="45"/>
      <c r="S190" s="44">
        <f t="shared" si="6"/>
        <v>191219</v>
      </c>
      <c r="T190" s="45"/>
      <c r="U190" s="45">
        <v>19660375</v>
      </c>
      <c r="V190" s="35"/>
      <c r="W190" s="45">
        <v>0</v>
      </c>
    </row>
    <row r="191" spans="1:23" s="49" customFormat="1" ht="12.75" customHeight="1">
      <c r="A191" s="44" t="s">
        <v>222</v>
      </c>
      <c r="C191" s="44" t="s">
        <v>47</v>
      </c>
      <c r="D191" s="35"/>
      <c r="E191" s="45">
        <v>697830</v>
      </c>
      <c r="F191" s="45"/>
      <c r="G191" s="45">
        <v>2831306</v>
      </c>
      <c r="H191" s="45"/>
      <c r="I191" s="45">
        <v>494790</v>
      </c>
      <c r="J191" s="45"/>
      <c r="K191" s="45">
        <v>101911</v>
      </c>
      <c r="L191" s="45"/>
      <c r="M191" s="45">
        <v>811625</v>
      </c>
      <c r="N191" s="45"/>
      <c r="O191" s="45">
        <v>27056</v>
      </c>
      <c r="P191" s="45"/>
      <c r="Q191" s="45">
        <v>90146</v>
      </c>
      <c r="R191" s="45"/>
      <c r="S191" s="44">
        <f t="shared" si="6"/>
        <v>21187</v>
      </c>
      <c r="T191" s="45"/>
      <c r="U191" s="45">
        <v>5075851</v>
      </c>
      <c r="V191" s="35"/>
      <c r="W191" s="45">
        <v>0</v>
      </c>
    </row>
    <row r="192" spans="1:23" s="49" customFormat="1" ht="12.75" customHeight="1">
      <c r="A192" s="44" t="s">
        <v>223</v>
      </c>
      <c r="C192" s="44" t="s">
        <v>94</v>
      </c>
      <c r="D192" s="35"/>
      <c r="E192" s="45">
        <v>657442</v>
      </c>
      <c r="F192" s="45"/>
      <c r="G192" s="45">
        <v>0</v>
      </c>
      <c r="H192" s="45"/>
      <c r="I192" s="45">
        <v>709459</v>
      </c>
      <c r="J192" s="45"/>
      <c r="K192" s="45">
        <v>64559</v>
      </c>
      <c r="L192" s="45"/>
      <c r="M192" s="45">
        <v>493809</v>
      </c>
      <c r="N192" s="45"/>
      <c r="O192" s="45">
        <v>1668</v>
      </c>
      <c r="P192" s="45"/>
      <c r="Q192" s="45">
        <v>155215</v>
      </c>
      <c r="R192" s="45"/>
      <c r="S192" s="44">
        <f t="shared" si="6"/>
        <v>4777</v>
      </c>
      <c r="T192" s="45"/>
      <c r="U192" s="45">
        <v>2086929</v>
      </c>
      <c r="V192" s="35"/>
      <c r="W192" s="45">
        <v>1695353</v>
      </c>
    </row>
    <row r="193" spans="1:23" s="49" customFormat="1" ht="12.75" customHeight="1">
      <c r="A193" s="44" t="s">
        <v>76</v>
      </c>
      <c r="C193" s="44" t="s">
        <v>132</v>
      </c>
      <c r="D193" s="35"/>
      <c r="E193" s="45">
        <v>1768059</v>
      </c>
      <c r="F193" s="45"/>
      <c r="G193" s="45">
        <v>6614999</v>
      </c>
      <c r="H193" s="45"/>
      <c r="I193" s="45">
        <v>3714281</v>
      </c>
      <c r="J193" s="45"/>
      <c r="K193" s="45">
        <v>378404</v>
      </c>
      <c r="L193" s="45"/>
      <c r="M193" s="45">
        <v>1929293</v>
      </c>
      <c r="N193" s="45"/>
      <c r="O193" s="45">
        <v>0</v>
      </c>
      <c r="P193" s="45"/>
      <c r="Q193" s="45">
        <v>1419969</v>
      </c>
      <c r="R193" s="45"/>
      <c r="S193" s="44">
        <f t="shared" si="6"/>
        <v>1858936</v>
      </c>
      <c r="T193" s="45"/>
      <c r="U193" s="45">
        <v>17683941</v>
      </c>
      <c r="V193" s="35"/>
      <c r="W193" s="45">
        <v>0</v>
      </c>
    </row>
    <row r="194" spans="1:23" s="49" customFormat="1" ht="12.75" customHeight="1">
      <c r="A194" s="44" t="s">
        <v>224</v>
      </c>
      <c r="C194" s="44" t="s">
        <v>27</v>
      </c>
      <c r="D194" s="35"/>
      <c r="E194" s="45">
        <v>5611612</v>
      </c>
      <c r="F194" s="45"/>
      <c r="G194" s="45">
        <v>0</v>
      </c>
      <c r="H194" s="45"/>
      <c r="I194" s="45">
        <v>0</v>
      </c>
      <c r="J194" s="45"/>
      <c r="K194" s="45">
        <v>72033</v>
      </c>
      <c r="L194" s="45"/>
      <c r="M194" s="45">
        <v>883111</v>
      </c>
      <c r="N194" s="45"/>
      <c r="O194" s="45">
        <v>0</v>
      </c>
      <c r="P194" s="45"/>
      <c r="Q194" s="45">
        <v>517960</v>
      </c>
      <c r="R194" s="45"/>
      <c r="S194" s="44">
        <f t="shared" si="6"/>
        <v>483361</v>
      </c>
      <c r="T194" s="45"/>
      <c r="U194" s="45">
        <v>7568077</v>
      </c>
      <c r="V194" s="35"/>
      <c r="W194" s="45">
        <v>0</v>
      </c>
    </row>
    <row r="195" spans="1:23" s="49" customFormat="1" ht="12.75" customHeight="1">
      <c r="A195" s="44" t="s">
        <v>225</v>
      </c>
      <c r="C195" s="44" t="s">
        <v>27</v>
      </c>
      <c r="D195" s="35"/>
      <c r="E195" s="45">
        <v>8005055</v>
      </c>
      <c r="F195" s="45"/>
      <c r="G195" s="45">
        <v>20246324</v>
      </c>
      <c r="H195" s="45"/>
      <c r="I195" s="45">
        <v>68772</v>
      </c>
      <c r="J195" s="45"/>
      <c r="K195" s="45">
        <v>4269487</v>
      </c>
      <c r="L195" s="45"/>
      <c r="M195" s="45">
        <v>2731342</v>
      </c>
      <c r="N195" s="45"/>
      <c r="O195" s="45">
        <v>0</v>
      </c>
      <c r="P195" s="45"/>
      <c r="Q195" s="45">
        <f>746352+820356</f>
        <v>1566708</v>
      </c>
      <c r="R195" s="45"/>
      <c r="S195" s="44">
        <f t="shared" si="6"/>
        <v>1861957</v>
      </c>
      <c r="T195" s="45"/>
      <c r="U195" s="45">
        <v>38749645</v>
      </c>
      <c r="V195" s="35"/>
      <c r="W195" s="45">
        <v>80000</v>
      </c>
    </row>
    <row r="196" spans="1:23" s="49" customFormat="1" ht="12.75" customHeight="1">
      <c r="A196" s="44" t="s">
        <v>226</v>
      </c>
      <c r="C196" s="44" t="s">
        <v>45</v>
      </c>
      <c r="D196" s="35"/>
      <c r="E196" s="45">
        <v>13833078</v>
      </c>
      <c r="F196" s="45"/>
      <c r="G196" s="45">
        <v>0</v>
      </c>
      <c r="H196" s="45"/>
      <c r="I196" s="45">
        <v>0</v>
      </c>
      <c r="J196" s="45"/>
      <c r="K196" s="45">
        <v>367352</v>
      </c>
      <c r="L196" s="45"/>
      <c r="M196" s="45">
        <v>1137797</v>
      </c>
      <c r="N196" s="45"/>
      <c r="O196" s="45">
        <v>0</v>
      </c>
      <c r="P196" s="45"/>
      <c r="Q196" s="45">
        <v>745742</v>
      </c>
      <c r="R196" s="45"/>
      <c r="S196" s="44">
        <f t="shared" si="6"/>
        <v>699579</v>
      </c>
      <c r="T196" s="45"/>
      <c r="U196" s="45">
        <v>16783548</v>
      </c>
      <c r="V196" s="35"/>
      <c r="W196" s="45">
        <v>0</v>
      </c>
    </row>
    <row r="197" spans="1:23" s="49" customFormat="1" ht="12.75" customHeight="1">
      <c r="A197" s="44" t="s">
        <v>472</v>
      </c>
      <c r="C197" s="44"/>
      <c r="D197" s="3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4"/>
      <c r="T197" s="45"/>
      <c r="U197" s="45"/>
      <c r="V197" s="35"/>
      <c r="W197" s="48" t="s">
        <v>485</v>
      </c>
    </row>
    <row r="198" spans="1:23" s="46" customFormat="1" ht="12.75" customHeight="1">
      <c r="A198" s="46" t="s">
        <v>227</v>
      </c>
      <c r="C198" s="46" t="s">
        <v>17</v>
      </c>
      <c r="D198" s="64"/>
      <c r="E198" s="94">
        <v>392998</v>
      </c>
      <c r="F198" s="94"/>
      <c r="G198" s="94">
        <v>1620540</v>
      </c>
      <c r="H198" s="94"/>
      <c r="I198" s="94">
        <v>0</v>
      </c>
      <c r="J198" s="94"/>
      <c r="K198" s="94">
        <v>313055</v>
      </c>
      <c r="L198" s="94"/>
      <c r="M198" s="94">
        <v>572769</v>
      </c>
      <c r="N198" s="94"/>
      <c r="O198" s="94">
        <v>0</v>
      </c>
      <c r="P198" s="94"/>
      <c r="Q198" s="94">
        <v>146264</v>
      </c>
      <c r="R198" s="94"/>
      <c r="S198" s="46">
        <f t="shared" si="6"/>
        <v>138635</v>
      </c>
      <c r="T198" s="94"/>
      <c r="U198" s="94">
        <v>3184261</v>
      </c>
      <c r="V198" s="64"/>
      <c r="W198" s="94">
        <v>0</v>
      </c>
    </row>
    <row r="199" spans="1:23" s="49" customFormat="1" ht="12.75" customHeight="1">
      <c r="A199" s="44" t="s">
        <v>228</v>
      </c>
      <c r="C199" s="44" t="s">
        <v>153</v>
      </c>
      <c r="D199" s="35"/>
      <c r="E199" s="45">
        <v>704084</v>
      </c>
      <c r="F199" s="45"/>
      <c r="G199" s="45">
        <v>1753468</v>
      </c>
      <c r="H199" s="45"/>
      <c r="I199" s="45">
        <v>0</v>
      </c>
      <c r="J199" s="45"/>
      <c r="K199" s="45">
        <v>340300</v>
      </c>
      <c r="L199" s="45"/>
      <c r="M199" s="45">
        <v>886202</v>
      </c>
      <c r="N199" s="45"/>
      <c r="O199" s="45">
        <v>0</v>
      </c>
      <c r="P199" s="45"/>
      <c r="Q199" s="45">
        <v>205583</v>
      </c>
      <c r="R199" s="45"/>
      <c r="S199" s="44">
        <f t="shared" si="6"/>
        <v>477594</v>
      </c>
      <c r="T199" s="45"/>
      <c r="U199" s="45">
        <v>4367231</v>
      </c>
      <c r="V199" s="35"/>
      <c r="W199" s="45">
        <v>0</v>
      </c>
    </row>
    <row r="200" spans="1:23" s="49" customFormat="1" ht="12.75" customHeight="1">
      <c r="A200" s="44" t="s">
        <v>229</v>
      </c>
      <c r="C200" s="44" t="s">
        <v>228</v>
      </c>
      <c r="D200" s="35"/>
      <c r="E200" s="45">
        <v>1696030</v>
      </c>
      <c r="F200" s="45"/>
      <c r="G200" s="45">
        <v>0</v>
      </c>
      <c r="H200" s="45"/>
      <c r="I200" s="45">
        <v>0</v>
      </c>
      <c r="J200" s="45"/>
      <c r="K200" s="45">
        <v>1537945</v>
      </c>
      <c r="L200" s="45"/>
      <c r="M200" s="45">
        <v>1448088</v>
      </c>
      <c r="N200" s="45"/>
      <c r="O200" s="45">
        <v>253667</v>
      </c>
      <c r="P200" s="45"/>
      <c r="Q200" s="45">
        <v>144604</v>
      </c>
      <c r="R200" s="45"/>
      <c r="S200" s="44">
        <f t="shared" si="6"/>
        <v>1312037</v>
      </c>
      <c r="T200" s="45"/>
      <c r="U200" s="45">
        <v>6392371</v>
      </c>
      <c r="V200" s="35"/>
      <c r="W200" s="45">
        <v>9542394</v>
      </c>
    </row>
    <row r="201" spans="1:23" s="46" customFormat="1" ht="12.75" customHeight="1">
      <c r="A201" s="44" t="s">
        <v>230</v>
      </c>
      <c r="B201" s="49"/>
      <c r="C201" s="44" t="s">
        <v>45</v>
      </c>
      <c r="D201" s="35"/>
      <c r="E201" s="45">
        <v>647741</v>
      </c>
      <c r="F201" s="45"/>
      <c r="G201" s="45">
        <v>1694376</v>
      </c>
      <c r="H201" s="45"/>
      <c r="I201" s="45">
        <v>0</v>
      </c>
      <c r="J201" s="45"/>
      <c r="K201" s="45">
        <v>237291</v>
      </c>
      <c r="L201" s="45"/>
      <c r="M201" s="45">
        <v>460219</v>
      </c>
      <c r="N201" s="45"/>
      <c r="O201" s="45">
        <v>0</v>
      </c>
      <c r="P201" s="45"/>
      <c r="Q201" s="45">
        <v>106493</v>
      </c>
      <c r="R201" s="45"/>
      <c r="S201" s="44">
        <f t="shared" si="6"/>
        <v>200332</v>
      </c>
      <c r="T201" s="45"/>
      <c r="U201" s="45">
        <v>3346452</v>
      </c>
      <c r="V201" s="35"/>
      <c r="W201" s="45"/>
    </row>
    <row r="202" spans="1:23" s="49" customFormat="1" ht="12.75" customHeight="1">
      <c r="A202" s="44" t="s">
        <v>231</v>
      </c>
      <c r="C202" s="44" t="s">
        <v>27</v>
      </c>
      <c r="D202" s="35"/>
      <c r="E202" s="45">
        <v>950995</v>
      </c>
      <c r="F202" s="45"/>
      <c r="G202" s="45">
        <v>29255895</v>
      </c>
      <c r="H202" s="45"/>
      <c r="I202" s="45">
        <v>0</v>
      </c>
      <c r="J202" s="45"/>
      <c r="K202" s="45">
        <v>944778</v>
      </c>
      <c r="L202" s="45"/>
      <c r="M202" s="45">
        <v>1634507</v>
      </c>
      <c r="N202" s="45"/>
      <c r="O202" s="45">
        <v>0</v>
      </c>
      <c r="P202" s="45"/>
      <c r="Q202" s="45">
        <v>993588</v>
      </c>
      <c r="R202" s="45"/>
      <c r="S202" s="44">
        <f t="shared" si="6"/>
        <v>3475464</v>
      </c>
      <c r="T202" s="45"/>
      <c r="U202" s="45">
        <v>37255227</v>
      </c>
      <c r="V202" s="35"/>
      <c r="W202" s="45">
        <v>0</v>
      </c>
    </row>
    <row r="203" spans="1:23" s="49" customFormat="1" ht="12.75" customHeight="1">
      <c r="A203" s="44" t="s">
        <v>232</v>
      </c>
      <c r="C203" s="44" t="s">
        <v>27</v>
      </c>
      <c r="D203" s="35"/>
      <c r="E203" s="45">
        <v>4263171</v>
      </c>
      <c r="F203" s="45"/>
      <c r="G203" s="45">
        <v>8674233</v>
      </c>
      <c r="H203" s="45"/>
      <c r="I203" s="45">
        <v>0</v>
      </c>
      <c r="J203" s="45"/>
      <c r="K203" s="45">
        <v>435942</v>
      </c>
      <c r="L203" s="45"/>
      <c r="M203" s="45">
        <v>2173895</v>
      </c>
      <c r="N203" s="45"/>
      <c r="O203" s="45">
        <v>0</v>
      </c>
      <c r="P203" s="45"/>
      <c r="Q203" s="45">
        <v>1001648</v>
      </c>
      <c r="R203" s="45"/>
      <c r="S203" s="44">
        <f>U203-E203-G203-K203-M203-O203-Q203-I203</f>
        <v>1768768</v>
      </c>
      <c r="T203" s="45"/>
      <c r="U203" s="45">
        <v>18317657</v>
      </c>
      <c r="V203" s="35"/>
      <c r="W203" s="45">
        <v>0</v>
      </c>
    </row>
    <row r="204" spans="1:23" s="49" customFormat="1" ht="12.75" customHeight="1">
      <c r="A204" s="44" t="s">
        <v>233</v>
      </c>
      <c r="C204" s="44" t="s">
        <v>111</v>
      </c>
      <c r="D204" s="35"/>
      <c r="E204" s="45">
        <v>727737</v>
      </c>
      <c r="F204" s="45"/>
      <c r="G204" s="45">
        <v>6471280</v>
      </c>
      <c r="H204" s="45"/>
      <c r="I204" s="45">
        <v>0</v>
      </c>
      <c r="J204" s="45"/>
      <c r="K204" s="45">
        <v>961574</v>
      </c>
      <c r="L204" s="45"/>
      <c r="M204" s="45">
        <v>520320</v>
      </c>
      <c r="N204" s="45"/>
      <c r="O204" s="45">
        <v>34267</v>
      </c>
      <c r="P204" s="45"/>
      <c r="Q204" s="45">
        <v>482908</v>
      </c>
      <c r="R204" s="45"/>
      <c r="S204" s="44">
        <f t="shared" si="6"/>
        <v>860888</v>
      </c>
      <c r="T204" s="45"/>
      <c r="U204" s="45">
        <v>10058974</v>
      </c>
      <c r="V204" s="35"/>
      <c r="W204" s="45">
        <v>0</v>
      </c>
    </row>
    <row r="205" spans="1:23" s="49" customFormat="1" ht="12.75" customHeight="1">
      <c r="A205" s="44" t="s">
        <v>234</v>
      </c>
      <c r="C205" s="44" t="s">
        <v>45</v>
      </c>
      <c r="D205" s="35"/>
      <c r="E205" s="45">
        <v>1814939</v>
      </c>
      <c r="F205" s="45"/>
      <c r="G205" s="45">
        <v>14404184</v>
      </c>
      <c r="H205" s="45"/>
      <c r="I205" s="45">
        <v>0</v>
      </c>
      <c r="J205" s="45"/>
      <c r="K205" s="45">
        <v>300654</v>
      </c>
      <c r="L205" s="45"/>
      <c r="M205" s="45">
        <v>1995416</v>
      </c>
      <c r="N205" s="45"/>
      <c r="O205" s="45">
        <v>0</v>
      </c>
      <c r="P205" s="45"/>
      <c r="Q205" s="45">
        <v>1038450</v>
      </c>
      <c r="R205" s="45"/>
      <c r="S205" s="44">
        <f t="shared" si="6"/>
        <v>559842</v>
      </c>
      <c r="T205" s="45"/>
      <c r="U205" s="45">
        <v>20113485</v>
      </c>
      <c r="V205" s="35"/>
      <c r="W205" s="45">
        <v>0</v>
      </c>
    </row>
    <row r="206" spans="1:23" s="49" customFormat="1" ht="12.75" customHeight="1">
      <c r="A206" s="44" t="s">
        <v>235</v>
      </c>
      <c r="C206" s="44" t="s">
        <v>183</v>
      </c>
      <c r="D206" s="35"/>
      <c r="E206" s="45">
        <v>0</v>
      </c>
      <c r="F206" s="45"/>
      <c r="G206" s="45">
        <v>25784006</v>
      </c>
      <c r="H206" s="45"/>
      <c r="I206" s="45">
        <v>5555292</v>
      </c>
      <c r="J206" s="45"/>
      <c r="K206" s="45">
        <v>1139136</v>
      </c>
      <c r="L206" s="45"/>
      <c r="M206" s="45">
        <v>177744</v>
      </c>
      <c r="N206" s="45"/>
      <c r="O206" s="45">
        <v>0</v>
      </c>
      <c r="P206" s="45"/>
      <c r="Q206" s="45">
        <v>4216440</v>
      </c>
      <c r="R206" s="45"/>
      <c r="S206" s="44">
        <f t="shared" si="6"/>
        <v>1443159</v>
      </c>
      <c r="T206" s="45"/>
      <c r="U206" s="45">
        <v>38315777</v>
      </c>
      <c r="V206" s="35"/>
      <c r="W206" s="45">
        <v>0</v>
      </c>
    </row>
    <row r="207" spans="1:23" s="49" customFormat="1" ht="12.75" customHeight="1">
      <c r="A207" s="44" t="s">
        <v>236</v>
      </c>
      <c r="C207" s="44" t="s">
        <v>45</v>
      </c>
      <c r="D207" s="35"/>
      <c r="E207" s="45">
        <v>10370172</v>
      </c>
      <c r="F207" s="45"/>
      <c r="G207" s="45">
        <v>0</v>
      </c>
      <c r="H207" s="45"/>
      <c r="I207" s="45">
        <v>321883</v>
      </c>
      <c r="J207" s="45"/>
      <c r="K207" s="45">
        <v>194822</v>
      </c>
      <c r="L207" s="45"/>
      <c r="M207" s="45">
        <v>847987</v>
      </c>
      <c r="N207" s="45"/>
      <c r="O207" s="45">
        <v>0</v>
      </c>
      <c r="P207" s="45"/>
      <c r="Q207" s="45">
        <v>105534</v>
      </c>
      <c r="R207" s="45"/>
      <c r="S207" s="44">
        <f t="shared" si="6"/>
        <v>194669</v>
      </c>
      <c r="T207" s="45"/>
      <c r="U207" s="45">
        <v>12035067</v>
      </c>
      <c r="V207" s="35"/>
      <c r="W207" s="45">
        <v>0</v>
      </c>
    </row>
    <row r="208" spans="1:23" s="49" customFormat="1" ht="12.75" customHeight="1">
      <c r="A208" s="44" t="s">
        <v>237</v>
      </c>
      <c r="C208" s="44" t="s">
        <v>33</v>
      </c>
      <c r="D208" s="35"/>
      <c r="E208" s="45">
        <v>430785</v>
      </c>
      <c r="F208" s="45"/>
      <c r="G208" s="45">
        <v>0</v>
      </c>
      <c r="H208" s="45"/>
      <c r="I208" s="45">
        <v>340070</v>
      </c>
      <c r="J208" s="45"/>
      <c r="K208" s="45">
        <v>0</v>
      </c>
      <c r="L208" s="45"/>
      <c r="M208" s="45">
        <v>413774</v>
      </c>
      <c r="N208" s="45"/>
      <c r="O208" s="45">
        <v>0</v>
      </c>
      <c r="P208" s="45"/>
      <c r="Q208" s="45">
        <v>300653</v>
      </c>
      <c r="R208" s="45"/>
      <c r="S208" s="44">
        <f t="shared" si="6"/>
        <v>33014</v>
      </c>
      <c r="T208" s="45"/>
      <c r="U208" s="45">
        <v>1518296</v>
      </c>
      <c r="V208" s="35"/>
      <c r="W208" s="45">
        <v>0</v>
      </c>
    </row>
    <row r="209" spans="1:23" s="49" customFormat="1" ht="12.75" customHeight="1">
      <c r="A209" s="44" t="s">
        <v>238</v>
      </c>
      <c r="C209" s="44" t="s">
        <v>239</v>
      </c>
      <c r="D209" s="35"/>
      <c r="E209" s="45">
        <v>0</v>
      </c>
      <c r="F209" s="45"/>
      <c r="G209" s="45">
        <v>2305465</v>
      </c>
      <c r="H209" s="45"/>
      <c r="I209" s="45">
        <v>1847352</v>
      </c>
      <c r="J209" s="45"/>
      <c r="K209" s="45">
        <v>383320</v>
      </c>
      <c r="L209" s="45"/>
      <c r="M209" s="45">
        <v>822800</v>
      </c>
      <c r="N209" s="45"/>
      <c r="O209" s="45">
        <v>0</v>
      </c>
      <c r="P209" s="45"/>
      <c r="Q209" s="45">
        <v>86976</v>
      </c>
      <c r="R209" s="45"/>
      <c r="S209" s="44">
        <f t="shared" si="6"/>
        <v>57105</v>
      </c>
      <c r="T209" s="45"/>
      <c r="U209" s="45">
        <v>5503018</v>
      </c>
      <c r="V209" s="35"/>
      <c r="W209" s="45">
        <v>0</v>
      </c>
    </row>
    <row r="210" spans="1:23" s="49" customFormat="1" ht="12.75" customHeight="1">
      <c r="A210" s="44" t="s">
        <v>487</v>
      </c>
      <c r="C210" s="44" t="s">
        <v>249</v>
      </c>
      <c r="D210" s="35"/>
      <c r="E210" s="45">
        <v>1320875</v>
      </c>
      <c r="F210" s="45"/>
      <c r="G210" s="45">
        <v>7834852</v>
      </c>
      <c r="H210" s="45"/>
      <c r="I210" s="45">
        <v>0</v>
      </c>
      <c r="J210" s="45"/>
      <c r="K210" s="45">
        <v>113196</v>
      </c>
      <c r="L210" s="45"/>
      <c r="M210" s="45">
        <v>3030950</v>
      </c>
      <c r="N210" s="45"/>
      <c r="O210" s="45">
        <v>0</v>
      </c>
      <c r="P210" s="45"/>
      <c r="Q210" s="45">
        <v>842723</v>
      </c>
      <c r="R210" s="45"/>
      <c r="S210" s="44">
        <f t="shared" si="6"/>
        <v>440818</v>
      </c>
      <c r="T210" s="45"/>
      <c r="U210" s="45">
        <v>13583414</v>
      </c>
      <c r="V210" s="35"/>
      <c r="W210" s="45">
        <v>38296</v>
      </c>
    </row>
    <row r="211" spans="1:23" s="49" customFormat="1" ht="12.75" customHeight="1">
      <c r="A211" s="44" t="s">
        <v>240</v>
      </c>
      <c r="C211" s="44" t="s">
        <v>13</v>
      </c>
      <c r="D211" s="35"/>
      <c r="E211" s="45">
        <v>5068843</v>
      </c>
      <c r="F211" s="45"/>
      <c r="G211" s="45">
        <v>8091798</v>
      </c>
      <c r="H211" s="45"/>
      <c r="I211" s="45">
        <v>0</v>
      </c>
      <c r="J211" s="45"/>
      <c r="K211" s="45">
        <v>318869</v>
      </c>
      <c r="L211" s="45"/>
      <c r="M211" s="45">
        <v>3122293</v>
      </c>
      <c r="N211" s="45"/>
      <c r="O211" s="45">
        <v>0</v>
      </c>
      <c r="P211" s="45"/>
      <c r="Q211" s="45">
        <v>828372</v>
      </c>
      <c r="R211" s="45"/>
      <c r="S211" s="44">
        <f t="shared" ref="S211:S242" si="7">U211-E211-G211-K211-M211-O211-Q211-I211</f>
        <v>1626506</v>
      </c>
      <c r="T211" s="45"/>
      <c r="U211" s="45">
        <v>19056681</v>
      </c>
      <c r="V211" s="35"/>
      <c r="W211" s="45">
        <v>0</v>
      </c>
    </row>
    <row r="212" spans="1:23" s="146" customFormat="1" ht="12.75" hidden="1" customHeight="1">
      <c r="A212" s="137" t="s">
        <v>241</v>
      </c>
      <c r="C212" s="137" t="s">
        <v>22</v>
      </c>
      <c r="D212" s="142"/>
      <c r="E212" s="143">
        <v>0</v>
      </c>
      <c r="F212" s="143"/>
      <c r="G212" s="143">
        <v>0</v>
      </c>
      <c r="H212" s="143"/>
      <c r="I212" s="143">
        <v>0</v>
      </c>
      <c r="J212" s="143"/>
      <c r="K212" s="143">
        <v>0</v>
      </c>
      <c r="L212" s="143"/>
      <c r="M212" s="143">
        <v>0</v>
      </c>
      <c r="N212" s="143"/>
      <c r="O212" s="143">
        <v>0</v>
      </c>
      <c r="P212" s="143"/>
      <c r="Q212" s="143">
        <v>0</v>
      </c>
      <c r="R212" s="143"/>
      <c r="S212" s="137">
        <f t="shared" si="7"/>
        <v>0</v>
      </c>
      <c r="T212" s="143"/>
      <c r="U212" s="143">
        <v>0</v>
      </c>
      <c r="V212" s="142"/>
      <c r="W212" s="143">
        <v>0</v>
      </c>
    </row>
    <row r="213" spans="1:23" s="49" customFormat="1" ht="12.75" customHeight="1">
      <c r="A213" s="44" t="s">
        <v>242</v>
      </c>
      <c r="C213" s="44" t="s">
        <v>27</v>
      </c>
      <c r="D213" s="35"/>
      <c r="E213" s="45">
        <v>524517</v>
      </c>
      <c r="F213" s="45"/>
      <c r="G213" s="45">
        <v>24659573</v>
      </c>
      <c r="H213" s="45"/>
      <c r="I213" s="45">
        <v>2087224</v>
      </c>
      <c r="J213" s="45"/>
      <c r="K213" s="45">
        <v>238520</v>
      </c>
      <c r="L213" s="45"/>
      <c r="M213" s="45">
        <v>1311321</v>
      </c>
      <c r="N213" s="45"/>
      <c r="O213" s="45">
        <v>0</v>
      </c>
      <c r="P213" s="45"/>
      <c r="Q213" s="45">
        <v>1339488</v>
      </c>
      <c r="R213" s="45"/>
      <c r="S213" s="44">
        <f t="shared" si="7"/>
        <v>1880117</v>
      </c>
      <c r="T213" s="45"/>
      <c r="U213" s="45">
        <v>32040760</v>
      </c>
      <c r="V213" s="35"/>
      <c r="W213" s="45">
        <v>0</v>
      </c>
    </row>
    <row r="214" spans="1:23" s="49" customFormat="1" ht="12.75" customHeight="1">
      <c r="A214" s="44" t="s">
        <v>243</v>
      </c>
      <c r="C214" s="44" t="s">
        <v>163</v>
      </c>
      <c r="D214" s="35"/>
      <c r="E214" s="45">
        <v>1289443</v>
      </c>
      <c r="F214" s="45"/>
      <c r="G214" s="45">
        <v>1318543</v>
      </c>
      <c r="H214" s="45"/>
      <c r="I214" s="45">
        <v>0</v>
      </c>
      <c r="J214" s="45"/>
      <c r="K214" s="45">
        <v>416533</v>
      </c>
      <c r="L214" s="45"/>
      <c r="M214" s="45">
        <v>1978633</v>
      </c>
      <c r="N214" s="45"/>
      <c r="O214" s="45">
        <v>0</v>
      </c>
      <c r="P214" s="45"/>
      <c r="Q214" s="45">
        <v>1136455</v>
      </c>
      <c r="R214" s="45"/>
      <c r="S214" s="44">
        <f t="shared" si="7"/>
        <v>345360</v>
      </c>
      <c r="T214" s="45"/>
      <c r="U214" s="45">
        <v>6484967</v>
      </c>
      <c r="V214" s="35"/>
      <c r="W214" s="45">
        <v>3346491</v>
      </c>
    </row>
    <row r="215" spans="1:23" s="49" customFormat="1" ht="12.75" customHeight="1">
      <c r="A215" s="44" t="s">
        <v>244</v>
      </c>
      <c r="C215" s="44" t="s">
        <v>13</v>
      </c>
      <c r="D215" s="35"/>
      <c r="E215" s="45">
        <v>974304</v>
      </c>
      <c r="F215" s="45"/>
      <c r="G215" s="45">
        <v>7731243</v>
      </c>
      <c r="H215" s="45"/>
      <c r="I215" s="45">
        <v>0</v>
      </c>
      <c r="J215" s="45"/>
      <c r="K215" s="45">
        <v>1572305</v>
      </c>
      <c r="L215" s="45"/>
      <c r="M215" s="45">
        <v>1297604</v>
      </c>
      <c r="N215" s="45"/>
      <c r="O215" s="45">
        <v>0</v>
      </c>
      <c r="P215" s="45"/>
      <c r="Q215" s="45">
        <v>393476</v>
      </c>
      <c r="R215" s="45"/>
      <c r="S215" s="44">
        <f t="shared" si="7"/>
        <v>412435</v>
      </c>
      <c r="T215" s="45"/>
      <c r="U215" s="45">
        <v>12381367</v>
      </c>
      <c r="V215" s="35"/>
      <c r="W215" s="45">
        <v>0</v>
      </c>
    </row>
    <row r="216" spans="1:23" s="46" customFormat="1" ht="12.75" customHeight="1">
      <c r="A216" s="44" t="s">
        <v>245</v>
      </c>
      <c r="B216" s="49"/>
      <c r="C216" s="44" t="s">
        <v>110</v>
      </c>
      <c r="D216" s="35"/>
      <c r="E216" s="45">
        <v>0</v>
      </c>
      <c r="F216" s="45"/>
      <c r="G216" s="45">
        <v>7247139</v>
      </c>
      <c r="H216" s="45"/>
      <c r="I216" s="45">
        <v>992291</v>
      </c>
      <c r="J216" s="45"/>
      <c r="K216" s="45">
        <v>419117</v>
      </c>
      <c r="L216" s="45"/>
      <c r="M216" s="45">
        <v>1213015</v>
      </c>
      <c r="N216" s="45"/>
      <c r="O216" s="45">
        <v>0</v>
      </c>
      <c r="P216" s="45"/>
      <c r="Q216" s="45">
        <v>355784</v>
      </c>
      <c r="R216" s="45"/>
      <c r="S216" s="44">
        <f t="shared" si="7"/>
        <v>246266</v>
      </c>
      <c r="T216" s="45"/>
      <c r="U216" s="45">
        <v>10473612</v>
      </c>
      <c r="V216" s="35"/>
      <c r="W216" s="45">
        <v>0</v>
      </c>
    </row>
    <row r="217" spans="1:23" s="49" customFormat="1" ht="12.75" customHeight="1">
      <c r="A217" s="44" t="s">
        <v>246</v>
      </c>
      <c r="C217" s="44" t="s">
        <v>209</v>
      </c>
      <c r="D217" s="35"/>
      <c r="E217" s="45">
        <v>2505177</v>
      </c>
      <c r="F217" s="45"/>
      <c r="G217" s="45">
        <v>0</v>
      </c>
      <c r="H217" s="45"/>
      <c r="I217" s="45">
        <v>0</v>
      </c>
      <c r="J217" s="45"/>
      <c r="K217" s="45">
        <v>579516</v>
      </c>
      <c r="L217" s="45"/>
      <c r="M217" s="45">
        <v>1222610</v>
      </c>
      <c r="N217" s="45"/>
      <c r="O217" s="45">
        <v>964</v>
      </c>
      <c r="P217" s="45"/>
      <c r="Q217" s="45">
        <v>107246</v>
      </c>
      <c r="R217" s="45"/>
      <c r="S217" s="44">
        <f t="shared" si="7"/>
        <v>778861</v>
      </c>
      <c r="T217" s="45"/>
      <c r="U217" s="45">
        <v>5194374</v>
      </c>
      <c r="V217" s="35"/>
      <c r="W217" s="45">
        <v>192020</v>
      </c>
    </row>
    <row r="218" spans="1:23" s="49" customFormat="1" ht="12.75" customHeight="1">
      <c r="A218" s="44" t="s">
        <v>247</v>
      </c>
      <c r="C218" s="44" t="s">
        <v>163</v>
      </c>
      <c r="D218" s="35"/>
      <c r="E218" s="45">
        <v>19424000</v>
      </c>
      <c r="F218" s="45"/>
      <c r="G218" s="45">
        <v>169689000</v>
      </c>
      <c r="H218" s="45"/>
      <c r="I218" s="45">
        <v>0</v>
      </c>
      <c r="J218" s="45"/>
      <c r="K218" s="45">
        <v>16144000</v>
      </c>
      <c r="L218" s="45"/>
      <c r="M218" s="45">
        <v>24327000</v>
      </c>
      <c r="N218" s="45"/>
      <c r="O218" s="45">
        <v>0</v>
      </c>
      <c r="P218" s="45"/>
      <c r="Q218" s="45">
        <v>7795000</v>
      </c>
      <c r="R218" s="45"/>
      <c r="S218" s="44">
        <f t="shared" si="7"/>
        <v>5752000</v>
      </c>
      <c r="T218" s="45"/>
      <c r="U218" s="45">
        <v>243131000</v>
      </c>
      <c r="V218" s="35"/>
      <c r="W218" s="45">
        <v>0</v>
      </c>
    </row>
    <row r="219" spans="1:23" s="49" customFormat="1" ht="12.75" customHeight="1">
      <c r="A219" s="44" t="s">
        <v>248</v>
      </c>
      <c r="C219" s="44" t="s">
        <v>249</v>
      </c>
      <c r="D219" s="35"/>
      <c r="E219" s="45">
        <v>160422</v>
      </c>
      <c r="F219" s="45"/>
      <c r="G219" s="45">
        <v>3459739</v>
      </c>
      <c r="H219" s="45"/>
      <c r="I219" s="45">
        <v>0</v>
      </c>
      <c r="J219" s="45"/>
      <c r="K219" s="45">
        <v>40873</v>
      </c>
      <c r="L219" s="45"/>
      <c r="M219" s="45">
        <v>292673</v>
      </c>
      <c r="N219" s="45"/>
      <c r="O219" s="45">
        <v>0</v>
      </c>
      <c r="P219" s="45"/>
      <c r="Q219" s="45">
        <v>51314</v>
      </c>
      <c r="R219" s="45"/>
      <c r="S219" s="44">
        <f t="shared" si="7"/>
        <v>111204</v>
      </c>
      <c r="T219" s="45"/>
      <c r="U219" s="45">
        <v>4116225</v>
      </c>
      <c r="V219" s="35"/>
      <c r="W219" s="45">
        <v>0</v>
      </c>
    </row>
    <row r="220" spans="1:23" s="49" customFormat="1" ht="12.75" customHeight="1">
      <c r="A220" s="44" t="s">
        <v>250</v>
      </c>
      <c r="C220" s="44" t="s">
        <v>103</v>
      </c>
      <c r="D220" s="35"/>
      <c r="E220" s="45">
        <v>491850</v>
      </c>
      <c r="F220" s="45"/>
      <c r="G220" s="45">
        <v>1423287</v>
      </c>
      <c r="H220" s="45"/>
      <c r="I220" s="45">
        <v>0</v>
      </c>
      <c r="J220" s="45"/>
      <c r="K220" s="45">
        <v>0</v>
      </c>
      <c r="L220" s="45"/>
      <c r="M220" s="45">
        <v>511729</v>
      </c>
      <c r="N220" s="45"/>
      <c r="O220" s="45">
        <v>2745</v>
      </c>
      <c r="P220" s="45"/>
      <c r="Q220" s="45">
        <v>292349</v>
      </c>
      <c r="R220" s="45"/>
      <c r="S220" s="44">
        <f t="shared" si="7"/>
        <v>412038</v>
      </c>
      <c r="T220" s="45"/>
      <c r="U220" s="45">
        <v>3133998</v>
      </c>
      <c r="V220" s="35"/>
      <c r="W220" s="45">
        <v>0</v>
      </c>
    </row>
    <row r="221" spans="1:23" s="49" customFormat="1" ht="12.75" customHeight="1">
      <c r="A221" s="44" t="s">
        <v>251</v>
      </c>
      <c r="C221" s="44" t="s">
        <v>66</v>
      </c>
      <c r="D221" s="35"/>
      <c r="E221" s="45">
        <v>7080145</v>
      </c>
      <c r="F221" s="45"/>
      <c r="G221" s="45">
        <v>0</v>
      </c>
      <c r="H221" s="45"/>
      <c r="I221" s="45">
        <v>0</v>
      </c>
      <c r="J221" s="45"/>
      <c r="K221" s="45">
        <v>246775</v>
      </c>
      <c r="L221" s="45"/>
      <c r="M221" s="45">
        <v>1691877</v>
      </c>
      <c r="N221" s="45"/>
      <c r="O221" s="45">
        <v>41619</v>
      </c>
      <c r="P221" s="45"/>
      <c r="Q221" s="45">
        <v>494914</v>
      </c>
      <c r="R221" s="45"/>
      <c r="S221" s="44">
        <f t="shared" si="7"/>
        <v>365179</v>
      </c>
      <c r="T221" s="45"/>
      <c r="U221" s="45">
        <v>9920509</v>
      </c>
      <c r="V221" s="35"/>
      <c r="W221" s="45">
        <v>0</v>
      </c>
    </row>
    <row r="222" spans="1:23" s="49" customFormat="1" ht="12.75" customHeight="1">
      <c r="A222" s="44" t="s">
        <v>252</v>
      </c>
      <c r="C222" s="44" t="s">
        <v>209</v>
      </c>
      <c r="D222" s="35"/>
      <c r="E222" s="45">
        <v>14734719</v>
      </c>
      <c r="F222" s="45"/>
      <c r="G222" s="45">
        <v>0</v>
      </c>
      <c r="H222" s="45"/>
      <c r="I222" s="45">
        <v>0</v>
      </c>
      <c r="J222" s="45"/>
      <c r="K222" s="45">
        <v>1911734</v>
      </c>
      <c r="L222" s="45"/>
      <c r="M222" s="45">
        <v>1714574</v>
      </c>
      <c r="N222" s="45"/>
      <c r="O222" s="45">
        <v>11711</v>
      </c>
      <c r="P222" s="45"/>
      <c r="Q222" s="45">
        <v>93033</v>
      </c>
      <c r="R222" s="45"/>
      <c r="S222" s="44">
        <f t="shared" si="7"/>
        <v>3111209</v>
      </c>
      <c r="T222" s="45"/>
      <c r="U222" s="45">
        <v>21576980</v>
      </c>
      <c r="V222" s="35"/>
      <c r="W222" s="45">
        <v>0</v>
      </c>
    </row>
    <row r="223" spans="1:23" s="49" customFormat="1" ht="12.75" customHeight="1">
      <c r="A223" s="44" t="s">
        <v>253</v>
      </c>
      <c r="C223" s="44" t="s">
        <v>13</v>
      </c>
      <c r="D223" s="35"/>
      <c r="E223" s="45">
        <v>0</v>
      </c>
      <c r="F223" s="45"/>
      <c r="G223" s="45">
        <v>14712871</v>
      </c>
      <c r="H223" s="45"/>
      <c r="I223" s="45">
        <v>125177</v>
      </c>
      <c r="J223" s="45"/>
      <c r="K223" s="45">
        <v>1257695</v>
      </c>
      <c r="L223" s="45"/>
      <c r="M223" s="45">
        <v>843249</v>
      </c>
      <c r="N223" s="45"/>
      <c r="O223" s="45">
        <v>0</v>
      </c>
      <c r="P223" s="45"/>
      <c r="Q223" s="45">
        <f>350986+124776</f>
        <v>475762</v>
      </c>
      <c r="R223" s="45"/>
      <c r="S223" s="44">
        <f>U223-E223-G223-K223-M223-O223-Q223-I223</f>
        <v>1590920</v>
      </c>
      <c r="T223" s="45"/>
      <c r="U223" s="45">
        <v>19005674</v>
      </c>
      <c r="V223" s="35"/>
      <c r="W223" s="45">
        <v>0</v>
      </c>
    </row>
    <row r="224" spans="1:23" s="49" customFormat="1" ht="12.75" customHeight="1">
      <c r="A224" s="44" t="s">
        <v>254</v>
      </c>
      <c r="C224" s="44" t="s">
        <v>89</v>
      </c>
      <c r="D224" s="35"/>
      <c r="E224" s="45">
        <v>301022</v>
      </c>
      <c r="F224" s="45"/>
      <c r="G224" s="45">
        <v>949248</v>
      </c>
      <c r="H224" s="45"/>
      <c r="I224" s="45">
        <v>0</v>
      </c>
      <c r="J224" s="45"/>
      <c r="K224" s="45">
        <v>9801</v>
      </c>
      <c r="L224" s="45"/>
      <c r="M224" s="45">
        <v>402563</v>
      </c>
      <c r="N224" s="45"/>
      <c r="O224" s="45">
        <v>0</v>
      </c>
      <c r="P224" s="45"/>
      <c r="Q224" s="45">
        <v>71989</v>
      </c>
      <c r="R224" s="45"/>
      <c r="S224" s="44">
        <f t="shared" si="7"/>
        <v>127573</v>
      </c>
      <c r="T224" s="45"/>
      <c r="U224" s="45">
        <v>1862196</v>
      </c>
      <c r="V224" s="35"/>
      <c r="W224" s="45">
        <v>0</v>
      </c>
    </row>
    <row r="225" spans="1:23" s="49" customFormat="1" ht="12.75" customHeight="1">
      <c r="A225" s="44" t="s">
        <v>159</v>
      </c>
      <c r="C225" s="44" t="s">
        <v>66</v>
      </c>
      <c r="D225" s="35"/>
      <c r="E225" s="45">
        <v>218988</v>
      </c>
      <c r="F225" s="45"/>
      <c r="G225" s="45">
        <v>0</v>
      </c>
      <c r="H225" s="45"/>
      <c r="I225" s="45">
        <v>0</v>
      </c>
      <c r="J225" s="45"/>
      <c r="K225" s="45">
        <v>47396</v>
      </c>
      <c r="L225" s="45"/>
      <c r="M225" s="45">
        <v>289300</v>
      </c>
      <c r="N225" s="45"/>
      <c r="O225" s="45">
        <v>0</v>
      </c>
      <c r="P225" s="45"/>
      <c r="Q225" s="45">
        <v>36914</v>
      </c>
      <c r="R225" s="45"/>
      <c r="S225" s="44">
        <f>U225-E225-G225-K225-M225-O225-Q225-I225</f>
        <v>18228</v>
      </c>
      <c r="T225" s="45"/>
      <c r="U225" s="45">
        <v>610826</v>
      </c>
      <c r="V225" s="35"/>
      <c r="W225" s="45">
        <v>0</v>
      </c>
    </row>
    <row r="226" spans="1:23" s="49" customFormat="1" ht="12.75" customHeight="1">
      <c r="A226" s="44" t="s">
        <v>255</v>
      </c>
      <c r="C226" s="44" t="s">
        <v>27</v>
      </c>
      <c r="D226" s="35"/>
      <c r="E226" s="45">
        <v>2532947</v>
      </c>
      <c r="F226" s="45"/>
      <c r="G226" s="45">
        <v>7847562</v>
      </c>
      <c r="H226" s="45"/>
      <c r="I226" s="45">
        <v>0</v>
      </c>
      <c r="J226" s="45"/>
      <c r="K226" s="45">
        <v>430051</v>
      </c>
      <c r="L226" s="45"/>
      <c r="M226" s="45">
        <v>1221588</v>
      </c>
      <c r="N226" s="45"/>
      <c r="O226" s="45">
        <v>9532</v>
      </c>
      <c r="P226" s="45"/>
      <c r="Q226" s="45">
        <v>522829</v>
      </c>
      <c r="R226" s="45"/>
      <c r="S226" s="44">
        <f t="shared" si="7"/>
        <v>147514</v>
      </c>
      <c r="T226" s="45"/>
      <c r="U226" s="45">
        <v>12712023</v>
      </c>
      <c r="V226" s="35"/>
      <c r="W226" s="45">
        <v>0</v>
      </c>
    </row>
    <row r="227" spans="1:23" s="44" customFormat="1" ht="12.75" customHeight="1">
      <c r="A227" s="44" t="s">
        <v>256</v>
      </c>
      <c r="C227" s="44" t="s">
        <v>43</v>
      </c>
      <c r="D227" s="35"/>
      <c r="E227" s="45">
        <v>25331200</v>
      </c>
      <c r="F227" s="45"/>
      <c r="G227" s="45">
        <v>0</v>
      </c>
      <c r="H227" s="45"/>
      <c r="I227" s="45">
        <v>0</v>
      </c>
      <c r="J227" s="45"/>
      <c r="K227" s="45">
        <v>1470871</v>
      </c>
      <c r="L227" s="45"/>
      <c r="M227" s="45">
        <v>3599103</v>
      </c>
      <c r="N227" s="45"/>
      <c r="O227" s="45">
        <v>0</v>
      </c>
      <c r="P227" s="45"/>
      <c r="Q227" s="45">
        <v>1252336</v>
      </c>
      <c r="R227" s="45"/>
      <c r="S227" s="44">
        <f>U227-E227-G227-K227-M227-O227-Q227-I227</f>
        <v>3152764</v>
      </c>
      <c r="T227" s="45"/>
      <c r="U227" s="45">
        <v>34806274</v>
      </c>
      <c r="V227" s="35"/>
      <c r="W227" s="45">
        <v>0</v>
      </c>
    </row>
    <row r="228" spans="1:23" s="49" customFormat="1" ht="12.75" customHeight="1">
      <c r="A228" s="44" t="s">
        <v>257</v>
      </c>
      <c r="B228" s="44"/>
      <c r="C228" s="44" t="s">
        <v>258</v>
      </c>
      <c r="D228" s="44"/>
      <c r="E228" s="45">
        <v>405594</v>
      </c>
      <c r="F228" s="45"/>
      <c r="G228" s="45">
        <v>1763406</v>
      </c>
      <c r="H228" s="45"/>
      <c r="I228" s="45">
        <v>0</v>
      </c>
      <c r="J228" s="45"/>
      <c r="K228" s="45">
        <v>22170</v>
      </c>
      <c r="L228" s="45"/>
      <c r="M228" s="45">
        <v>532165</v>
      </c>
      <c r="N228" s="45"/>
      <c r="O228" s="45">
        <v>0</v>
      </c>
      <c r="P228" s="45"/>
      <c r="Q228" s="45">
        <v>611974</v>
      </c>
      <c r="R228" s="45"/>
      <c r="S228" s="44">
        <f>U228-E228-G228-K228-M228-O228-Q228-I228</f>
        <v>221116</v>
      </c>
      <c r="T228" s="45"/>
      <c r="U228" s="45">
        <v>3556425</v>
      </c>
      <c r="V228" s="35"/>
      <c r="W228" s="45">
        <v>0</v>
      </c>
    </row>
    <row r="229" spans="1:23" s="49" customFormat="1" ht="12.75" customHeight="1">
      <c r="A229" s="44" t="s">
        <v>259</v>
      </c>
      <c r="C229" s="44" t="s">
        <v>260</v>
      </c>
      <c r="D229" s="35"/>
      <c r="E229" s="45">
        <v>577777</v>
      </c>
      <c r="F229" s="45"/>
      <c r="G229" s="45">
        <v>3070380</v>
      </c>
      <c r="H229" s="45"/>
      <c r="I229" s="45">
        <v>0</v>
      </c>
      <c r="J229" s="45"/>
      <c r="K229" s="45">
        <v>731958</v>
      </c>
      <c r="L229" s="45"/>
      <c r="M229" s="45">
        <v>805009</v>
      </c>
      <c r="N229" s="45"/>
      <c r="O229" s="45">
        <v>0</v>
      </c>
      <c r="P229" s="45"/>
      <c r="Q229" s="45">
        <v>602752</v>
      </c>
      <c r="R229" s="45"/>
      <c r="S229" s="44">
        <f t="shared" si="7"/>
        <v>316266</v>
      </c>
      <c r="T229" s="45"/>
      <c r="U229" s="45">
        <v>6104142</v>
      </c>
      <c r="V229" s="35"/>
      <c r="W229" s="45">
        <v>0</v>
      </c>
    </row>
    <row r="230" spans="1:23" s="49" customFormat="1" ht="12.75" customHeight="1">
      <c r="A230" s="44" t="s">
        <v>261</v>
      </c>
      <c r="C230" s="44" t="s">
        <v>66</v>
      </c>
      <c r="D230" s="35"/>
      <c r="E230" s="45">
        <v>1922643</v>
      </c>
      <c r="F230" s="45"/>
      <c r="G230" s="45">
        <v>13278532</v>
      </c>
      <c r="H230" s="45"/>
      <c r="I230" s="45">
        <v>0</v>
      </c>
      <c r="J230" s="45"/>
      <c r="K230" s="45">
        <v>3016063</v>
      </c>
      <c r="L230" s="45"/>
      <c r="M230" s="45">
        <v>1459549</v>
      </c>
      <c r="N230" s="45"/>
      <c r="O230" s="45">
        <v>0</v>
      </c>
      <c r="P230" s="45"/>
      <c r="Q230" s="45">
        <f>173353+1348322</f>
        <v>1521675</v>
      </c>
      <c r="R230" s="45"/>
      <c r="S230" s="44">
        <f t="shared" si="7"/>
        <v>1571261</v>
      </c>
      <c r="T230" s="45"/>
      <c r="U230" s="45">
        <v>22769723</v>
      </c>
      <c r="V230" s="35"/>
      <c r="W230" s="45">
        <v>0</v>
      </c>
    </row>
    <row r="231" spans="1:23" s="49" customFormat="1" ht="12.75" customHeight="1">
      <c r="A231" s="44" t="s">
        <v>262</v>
      </c>
      <c r="C231" s="44" t="s">
        <v>132</v>
      </c>
      <c r="D231" s="35"/>
      <c r="E231" s="45">
        <v>3368324</v>
      </c>
      <c r="F231" s="45"/>
      <c r="G231" s="45">
        <v>0</v>
      </c>
      <c r="H231" s="45"/>
      <c r="I231" s="45">
        <v>0</v>
      </c>
      <c r="J231" s="45"/>
      <c r="K231" s="45">
        <v>132533</v>
      </c>
      <c r="L231" s="45"/>
      <c r="M231" s="45">
        <v>868452</v>
      </c>
      <c r="N231" s="45"/>
      <c r="O231" s="45">
        <v>0</v>
      </c>
      <c r="P231" s="45"/>
      <c r="Q231" s="45">
        <v>426360</v>
      </c>
      <c r="R231" s="45"/>
      <c r="S231" s="44">
        <f t="shared" si="7"/>
        <v>382179</v>
      </c>
      <c r="T231" s="45"/>
      <c r="U231" s="45">
        <v>5177848</v>
      </c>
      <c r="V231" s="35"/>
      <c r="W231" s="45">
        <v>0</v>
      </c>
    </row>
    <row r="232" spans="1:23" s="49" customFormat="1" ht="12.75" customHeight="1">
      <c r="A232" s="44" t="s">
        <v>263</v>
      </c>
      <c r="C232" s="44" t="s">
        <v>53</v>
      </c>
      <c r="D232" s="35"/>
      <c r="E232" s="45">
        <v>1051317</v>
      </c>
      <c r="F232" s="45"/>
      <c r="G232" s="45">
        <v>0</v>
      </c>
      <c r="H232" s="45"/>
      <c r="I232" s="45">
        <v>0</v>
      </c>
      <c r="J232" s="45"/>
      <c r="K232" s="45">
        <v>494439</v>
      </c>
      <c r="L232" s="45"/>
      <c r="M232" s="45">
        <v>2492505</v>
      </c>
      <c r="N232" s="45"/>
      <c r="O232" s="45">
        <v>0</v>
      </c>
      <c r="P232" s="45"/>
      <c r="Q232" s="45">
        <v>500508</v>
      </c>
      <c r="R232" s="45"/>
      <c r="S232" s="44">
        <f t="shared" si="7"/>
        <v>772079</v>
      </c>
      <c r="T232" s="45"/>
      <c r="U232" s="45">
        <v>5310848</v>
      </c>
      <c r="V232" s="35"/>
      <c r="W232" s="45">
        <v>3400000</v>
      </c>
    </row>
    <row r="233" spans="1:23" s="49" customFormat="1" ht="12.75" customHeight="1">
      <c r="A233" s="44" t="s">
        <v>264</v>
      </c>
      <c r="C233" s="44" t="s">
        <v>239</v>
      </c>
      <c r="D233" s="35"/>
      <c r="E233" s="45">
        <v>382424</v>
      </c>
      <c r="F233" s="45"/>
      <c r="G233" s="45">
        <v>2330159</v>
      </c>
      <c r="H233" s="45"/>
      <c r="I233" s="45">
        <v>702847</v>
      </c>
      <c r="J233" s="45"/>
      <c r="K233" s="45">
        <v>367973</v>
      </c>
      <c r="L233" s="45"/>
      <c r="M233" s="45">
        <v>680249</v>
      </c>
      <c r="N233" s="45"/>
      <c r="O233" s="45">
        <v>0</v>
      </c>
      <c r="P233" s="45"/>
      <c r="Q233" s="45">
        <v>84736</v>
      </c>
      <c r="R233" s="45"/>
      <c r="S233" s="44">
        <f t="shared" si="7"/>
        <v>1065410</v>
      </c>
      <c r="T233" s="45"/>
      <c r="U233" s="45">
        <v>5613798</v>
      </c>
      <c r="V233" s="35"/>
      <c r="W233" s="45">
        <v>0</v>
      </c>
    </row>
    <row r="234" spans="1:23" s="49" customFormat="1" ht="12.75" customHeight="1">
      <c r="A234" s="44" t="s">
        <v>111</v>
      </c>
      <c r="C234" s="44" t="s">
        <v>80</v>
      </c>
      <c r="D234" s="35"/>
      <c r="E234" s="45">
        <v>0</v>
      </c>
      <c r="F234" s="45"/>
      <c r="G234" s="45">
        <v>18070111</v>
      </c>
      <c r="H234" s="45"/>
      <c r="I234" s="45">
        <v>0</v>
      </c>
      <c r="J234" s="45"/>
      <c r="K234" s="45">
        <v>1993179</v>
      </c>
      <c r="L234" s="45"/>
      <c r="M234" s="45">
        <v>2752268</v>
      </c>
      <c r="N234" s="45"/>
      <c r="O234" s="45">
        <v>0</v>
      </c>
      <c r="P234" s="45"/>
      <c r="Q234" s="45">
        <v>2855671</v>
      </c>
      <c r="R234" s="45"/>
      <c r="S234" s="44">
        <f t="shared" si="7"/>
        <v>1725037</v>
      </c>
      <c r="T234" s="45"/>
      <c r="U234" s="45">
        <v>27396266</v>
      </c>
      <c r="V234" s="35"/>
      <c r="W234" s="45">
        <v>0</v>
      </c>
    </row>
    <row r="235" spans="1:23" s="49" customFormat="1" ht="12.75" customHeight="1">
      <c r="A235" s="44" t="s">
        <v>265</v>
      </c>
      <c r="C235" s="44" t="s">
        <v>27</v>
      </c>
      <c r="D235" s="35"/>
      <c r="E235" s="45">
        <v>1196064</v>
      </c>
      <c r="F235" s="45"/>
      <c r="G235" s="45">
        <v>10568048</v>
      </c>
      <c r="H235" s="45"/>
      <c r="I235" s="45">
        <v>0</v>
      </c>
      <c r="J235" s="45"/>
      <c r="K235" s="45">
        <v>330243</v>
      </c>
      <c r="L235" s="45"/>
      <c r="M235" s="45">
        <v>1076356</v>
      </c>
      <c r="N235" s="45"/>
      <c r="O235" s="45">
        <v>0</v>
      </c>
      <c r="P235" s="45"/>
      <c r="Q235" s="45">
        <v>683284</v>
      </c>
      <c r="R235" s="45"/>
      <c r="S235" s="44">
        <f t="shared" si="7"/>
        <v>223404</v>
      </c>
      <c r="T235" s="45"/>
      <c r="U235" s="45">
        <v>14077399</v>
      </c>
      <c r="V235" s="35"/>
      <c r="W235" s="45">
        <v>0</v>
      </c>
    </row>
    <row r="236" spans="1:23" s="49" customFormat="1" ht="12.75" customHeight="1">
      <c r="A236" s="44" t="s">
        <v>40</v>
      </c>
      <c r="C236" s="47" t="s">
        <v>452</v>
      </c>
      <c r="D236" s="35"/>
      <c r="E236" s="45">
        <v>437587</v>
      </c>
      <c r="F236" s="45"/>
      <c r="G236" s="45">
        <v>3185486</v>
      </c>
      <c r="H236" s="45"/>
      <c r="I236" s="45">
        <v>0</v>
      </c>
      <c r="J236" s="45"/>
      <c r="K236" s="45">
        <v>965385</v>
      </c>
      <c r="L236" s="45"/>
      <c r="M236" s="45">
        <v>904774</v>
      </c>
      <c r="N236" s="45"/>
      <c r="O236" s="45">
        <v>0</v>
      </c>
      <c r="P236" s="45"/>
      <c r="Q236" s="45">
        <v>597350</v>
      </c>
      <c r="R236" s="45"/>
      <c r="S236" s="44">
        <f t="shared" si="7"/>
        <v>258230</v>
      </c>
      <c r="T236" s="45"/>
      <c r="U236" s="45">
        <v>6348812</v>
      </c>
      <c r="V236" s="35"/>
      <c r="W236" s="45">
        <v>0</v>
      </c>
    </row>
    <row r="237" spans="1:23" s="49" customFormat="1" ht="12.75" customHeight="1">
      <c r="A237" s="44" t="s">
        <v>266</v>
      </c>
      <c r="C237" s="44" t="s">
        <v>267</v>
      </c>
      <c r="D237" s="35"/>
      <c r="E237" s="45">
        <v>2270155</v>
      </c>
      <c r="F237" s="45"/>
      <c r="G237" s="45">
        <v>0</v>
      </c>
      <c r="H237" s="45"/>
      <c r="I237" s="45">
        <v>0</v>
      </c>
      <c r="J237" s="45"/>
      <c r="K237" s="45">
        <v>490421</v>
      </c>
      <c r="L237" s="45"/>
      <c r="M237" s="45">
        <v>567256</v>
      </c>
      <c r="N237" s="45"/>
      <c r="O237" s="45">
        <v>0</v>
      </c>
      <c r="P237" s="45"/>
      <c r="Q237" s="45">
        <v>58783</v>
      </c>
      <c r="R237" s="45"/>
      <c r="S237" s="44">
        <f t="shared" si="7"/>
        <v>322773</v>
      </c>
      <c r="T237" s="45"/>
      <c r="U237" s="45">
        <v>3709388</v>
      </c>
      <c r="V237" s="35"/>
      <c r="W237" s="45">
        <v>69918</v>
      </c>
    </row>
    <row r="238" spans="1:23" s="49" customFormat="1" ht="12.75" customHeight="1">
      <c r="A238" s="44" t="s">
        <v>268</v>
      </c>
      <c r="C238" s="44" t="s">
        <v>269</v>
      </c>
      <c r="D238" s="35"/>
      <c r="E238" s="45">
        <v>1971887</v>
      </c>
      <c r="F238" s="45"/>
      <c r="G238" s="45">
        <v>0</v>
      </c>
      <c r="H238" s="45"/>
      <c r="I238" s="45">
        <v>0</v>
      </c>
      <c r="J238" s="45"/>
      <c r="K238" s="45">
        <v>0</v>
      </c>
      <c r="L238" s="45"/>
      <c r="M238" s="45">
        <v>149141</v>
      </c>
      <c r="N238" s="45"/>
      <c r="O238" s="45">
        <v>0</v>
      </c>
      <c r="P238" s="45"/>
      <c r="Q238" s="45">
        <v>209687</v>
      </c>
      <c r="R238" s="45"/>
      <c r="S238" s="44">
        <f t="shared" si="7"/>
        <v>115936</v>
      </c>
      <c r="T238" s="45"/>
      <c r="U238" s="45">
        <v>2446651</v>
      </c>
      <c r="V238" s="35"/>
      <c r="W238" s="45">
        <v>0</v>
      </c>
    </row>
    <row r="239" spans="1:23" s="49" customFormat="1" ht="12.75" customHeight="1">
      <c r="A239" s="44" t="s">
        <v>270</v>
      </c>
      <c r="C239" s="44" t="s">
        <v>136</v>
      </c>
      <c r="D239" s="35"/>
      <c r="E239" s="45">
        <v>280766</v>
      </c>
      <c r="F239" s="45"/>
      <c r="G239" s="45">
        <v>1113445</v>
      </c>
      <c r="H239" s="45"/>
      <c r="I239" s="45">
        <v>0</v>
      </c>
      <c r="J239" s="45"/>
      <c r="K239" s="45">
        <v>545</v>
      </c>
      <c r="L239" s="45"/>
      <c r="M239" s="45">
        <v>237536</v>
      </c>
      <c r="N239" s="45"/>
      <c r="O239" s="45">
        <v>0</v>
      </c>
      <c r="P239" s="45"/>
      <c r="Q239" s="45">
        <v>65412</v>
      </c>
      <c r="R239" s="45"/>
      <c r="S239" s="44">
        <f>U239-E239-G239-K239-M239-O239-Q239-I239</f>
        <v>187503</v>
      </c>
      <c r="T239" s="45"/>
      <c r="U239" s="45">
        <v>1885207</v>
      </c>
      <c r="V239" s="35"/>
      <c r="W239" s="45">
        <v>0</v>
      </c>
    </row>
    <row r="240" spans="1:23" s="49" customFormat="1" ht="12.75" customHeight="1">
      <c r="A240" s="44" t="s">
        <v>271</v>
      </c>
      <c r="C240" s="44" t="s">
        <v>66</v>
      </c>
      <c r="D240" s="35"/>
      <c r="E240" s="45">
        <v>5556189</v>
      </c>
      <c r="F240" s="45"/>
      <c r="G240" s="45">
        <v>0</v>
      </c>
      <c r="H240" s="45"/>
      <c r="I240" s="45">
        <v>0</v>
      </c>
      <c r="J240" s="45"/>
      <c r="K240" s="45">
        <v>258062</v>
      </c>
      <c r="L240" s="45"/>
      <c r="M240" s="45">
        <v>825476</v>
      </c>
      <c r="N240" s="45"/>
      <c r="O240" s="45">
        <v>0</v>
      </c>
      <c r="P240" s="45"/>
      <c r="Q240" s="45">
        <v>227660</v>
      </c>
      <c r="R240" s="45"/>
      <c r="S240" s="44">
        <f t="shared" si="7"/>
        <v>294970</v>
      </c>
      <c r="T240" s="45"/>
      <c r="U240" s="45">
        <v>7162357</v>
      </c>
      <c r="V240" s="35"/>
      <c r="W240" s="45">
        <v>0</v>
      </c>
    </row>
    <row r="241" spans="1:23" s="49" customFormat="1" ht="12.75" customHeight="1">
      <c r="A241" s="44" t="s">
        <v>272</v>
      </c>
      <c r="C241" s="44" t="s">
        <v>43</v>
      </c>
      <c r="D241" s="35"/>
      <c r="E241" s="45">
        <v>3198255</v>
      </c>
      <c r="F241" s="45"/>
      <c r="G241" s="45">
        <v>17617377</v>
      </c>
      <c r="H241" s="45"/>
      <c r="I241" s="45">
        <v>0</v>
      </c>
      <c r="J241" s="45"/>
      <c r="K241" s="45">
        <v>552353</v>
      </c>
      <c r="L241" s="45"/>
      <c r="M241" s="45">
        <v>5748058</v>
      </c>
      <c r="N241" s="45"/>
      <c r="O241" s="45">
        <v>0</v>
      </c>
      <c r="P241" s="45"/>
      <c r="Q241" s="45">
        <v>1104594</v>
      </c>
      <c r="R241" s="45"/>
      <c r="S241" s="44">
        <f t="shared" si="7"/>
        <v>4306983</v>
      </c>
      <c r="T241" s="45"/>
      <c r="U241" s="45">
        <v>32527620</v>
      </c>
      <c r="V241" s="35"/>
      <c r="W241" s="45">
        <v>0</v>
      </c>
    </row>
    <row r="242" spans="1:23" s="49" customFormat="1" ht="12.75" customHeight="1">
      <c r="A242" s="44" t="s">
        <v>273</v>
      </c>
      <c r="C242" s="44" t="s">
        <v>27</v>
      </c>
      <c r="D242" s="35"/>
      <c r="E242" s="45">
        <v>9722171</v>
      </c>
      <c r="F242" s="45"/>
      <c r="G242" s="45">
        <v>13331107</v>
      </c>
      <c r="H242" s="45"/>
      <c r="I242" s="45">
        <v>703595</v>
      </c>
      <c r="J242" s="45"/>
      <c r="K242" s="45">
        <v>564222</v>
      </c>
      <c r="L242" s="45"/>
      <c r="M242" s="45">
        <v>3644478</v>
      </c>
      <c r="N242" s="45"/>
      <c r="O242" s="45">
        <v>0</v>
      </c>
      <c r="P242" s="45"/>
      <c r="Q242" s="45">
        <v>736311</v>
      </c>
      <c r="R242" s="45"/>
      <c r="S242" s="44">
        <f t="shared" si="7"/>
        <v>3743062</v>
      </c>
      <c r="T242" s="45"/>
      <c r="U242" s="45">
        <v>32444946</v>
      </c>
      <c r="V242" s="35"/>
      <c r="W242" s="45">
        <v>0</v>
      </c>
    </row>
    <row r="243" spans="1:23" s="49" customFormat="1" ht="12.75" customHeight="1">
      <c r="A243" s="44" t="s">
        <v>274</v>
      </c>
      <c r="C243" s="44" t="s">
        <v>43</v>
      </c>
      <c r="D243" s="35"/>
      <c r="E243" s="45">
        <v>477270</v>
      </c>
      <c r="F243" s="45"/>
      <c r="G243" s="45">
        <v>14098188</v>
      </c>
      <c r="H243" s="45"/>
      <c r="I243" s="45">
        <v>0</v>
      </c>
      <c r="J243" s="45"/>
      <c r="K243" s="45">
        <v>120214</v>
      </c>
      <c r="L243" s="45"/>
      <c r="M243" s="45">
        <v>1989404</v>
      </c>
      <c r="N243" s="45"/>
      <c r="O243" s="45">
        <v>186755</v>
      </c>
      <c r="P243" s="45"/>
      <c r="Q243" s="45">
        <v>600255</v>
      </c>
      <c r="R243" s="45"/>
      <c r="S243" s="44">
        <f t="shared" ref="S243:S255" si="8">U243-E243-G243-K243-M243-O243-Q243-I243</f>
        <v>967610</v>
      </c>
      <c r="T243" s="45"/>
      <c r="U243" s="45">
        <v>18439696</v>
      </c>
      <c r="V243" s="35"/>
      <c r="W243" s="45">
        <v>0</v>
      </c>
    </row>
    <row r="244" spans="1:23" s="49" customFormat="1" ht="12.75" customHeight="1">
      <c r="A244" s="44" t="s">
        <v>275</v>
      </c>
      <c r="C244" s="44" t="s">
        <v>92</v>
      </c>
      <c r="D244" s="35"/>
      <c r="E244" s="45">
        <v>1683541</v>
      </c>
      <c r="F244" s="45"/>
      <c r="G244" s="45">
        <v>7073074</v>
      </c>
      <c r="H244" s="45"/>
      <c r="I244" s="45">
        <v>2348725</v>
      </c>
      <c r="J244" s="45"/>
      <c r="K244" s="45">
        <v>301652</v>
      </c>
      <c r="L244" s="45"/>
      <c r="M244" s="45">
        <v>164279</v>
      </c>
      <c r="N244" s="45"/>
      <c r="O244" s="45">
        <v>0</v>
      </c>
      <c r="P244" s="45"/>
      <c r="Q244" s="45">
        <v>596470</v>
      </c>
      <c r="R244" s="45"/>
      <c r="S244" s="44">
        <f t="shared" si="8"/>
        <v>951109</v>
      </c>
      <c r="T244" s="45"/>
      <c r="U244" s="45">
        <v>13118850</v>
      </c>
      <c r="V244" s="35"/>
      <c r="W244" s="45">
        <v>0</v>
      </c>
    </row>
    <row r="245" spans="1:23" s="46" customFormat="1" ht="12.75" customHeight="1">
      <c r="A245" s="44" t="s">
        <v>276</v>
      </c>
      <c r="B245" s="49"/>
      <c r="C245" s="44" t="s">
        <v>38</v>
      </c>
      <c r="D245" s="35"/>
      <c r="E245" s="45">
        <v>406498</v>
      </c>
      <c r="F245" s="45"/>
      <c r="G245" s="45">
        <v>1614900</v>
      </c>
      <c r="H245" s="45"/>
      <c r="I245" s="45">
        <v>0</v>
      </c>
      <c r="J245" s="45"/>
      <c r="K245" s="45">
        <v>416286</v>
      </c>
      <c r="L245" s="45"/>
      <c r="M245" s="45">
        <v>417692</v>
      </c>
      <c r="N245" s="45"/>
      <c r="O245" s="45">
        <v>0</v>
      </c>
      <c r="P245" s="45"/>
      <c r="Q245" s="45">
        <v>56950</v>
      </c>
      <c r="R245" s="45"/>
      <c r="S245" s="44">
        <f t="shared" si="8"/>
        <v>299415</v>
      </c>
      <c r="T245" s="45"/>
      <c r="U245" s="45">
        <v>3211741</v>
      </c>
      <c r="V245" s="35"/>
      <c r="W245" s="45">
        <v>0</v>
      </c>
    </row>
    <row r="246" spans="1:23" s="49" customFormat="1" ht="12.75" customHeight="1">
      <c r="A246" s="44" t="s">
        <v>277</v>
      </c>
      <c r="C246" s="44" t="s">
        <v>92</v>
      </c>
      <c r="D246" s="35"/>
      <c r="E246" s="45">
        <v>1892301</v>
      </c>
      <c r="F246" s="45"/>
      <c r="G246" s="45">
        <v>13786288</v>
      </c>
      <c r="H246" s="45"/>
      <c r="I246" s="45">
        <v>0</v>
      </c>
      <c r="J246" s="45"/>
      <c r="K246" s="45">
        <v>1199471</v>
      </c>
      <c r="L246" s="45"/>
      <c r="M246" s="45">
        <v>3314495</v>
      </c>
      <c r="N246" s="45"/>
      <c r="O246" s="45">
        <v>0</v>
      </c>
      <c r="P246" s="45"/>
      <c r="Q246" s="45">
        <v>2278041</v>
      </c>
      <c r="R246" s="45"/>
      <c r="S246" s="44">
        <f t="shared" si="8"/>
        <v>906587</v>
      </c>
      <c r="T246" s="45"/>
      <c r="U246" s="45">
        <v>23377183</v>
      </c>
      <c r="V246" s="35"/>
      <c r="W246" s="45">
        <v>0</v>
      </c>
    </row>
    <row r="247" spans="1:23" s="49" customFormat="1" ht="12.75" customHeight="1">
      <c r="A247" s="44" t="s">
        <v>278</v>
      </c>
      <c r="C247" s="44" t="s">
        <v>92</v>
      </c>
      <c r="D247" s="35"/>
      <c r="E247" s="45">
        <v>654468</v>
      </c>
      <c r="F247" s="45"/>
      <c r="G247" s="45">
        <v>3094401</v>
      </c>
      <c r="H247" s="45"/>
      <c r="I247" s="45">
        <v>0</v>
      </c>
      <c r="J247" s="45"/>
      <c r="K247" s="45">
        <v>13069</v>
      </c>
      <c r="L247" s="45"/>
      <c r="M247" s="45">
        <v>991673</v>
      </c>
      <c r="N247" s="45"/>
      <c r="O247" s="45">
        <v>0</v>
      </c>
      <c r="P247" s="45"/>
      <c r="Q247" s="45">
        <v>931807</v>
      </c>
      <c r="R247" s="45"/>
      <c r="S247" s="44">
        <f t="shared" si="8"/>
        <v>225852</v>
      </c>
      <c r="T247" s="45"/>
      <c r="U247" s="45">
        <v>5911270</v>
      </c>
      <c r="V247" s="35"/>
      <c r="W247" s="45">
        <v>0</v>
      </c>
    </row>
    <row r="248" spans="1:23" s="49" customFormat="1" ht="12.75" customHeight="1">
      <c r="A248" s="44" t="s">
        <v>279</v>
      </c>
      <c r="C248" s="44" t="s">
        <v>92</v>
      </c>
      <c r="D248" s="35"/>
      <c r="E248" s="45">
        <v>2476888</v>
      </c>
      <c r="F248" s="45"/>
      <c r="G248" s="45">
        <v>2363807</v>
      </c>
      <c r="H248" s="45"/>
      <c r="I248" s="45">
        <v>115420</v>
      </c>
      <c r="J248" s="45"/>
      <c r="K248" s="45">
        <v>271761</v>
      </c>
      <c r="L248" s="45"/>
      <c r="M248" s="45">
        <v>2231235</v>
      </c>
      <c r="N248" s="45"/>
      <c r="O248" s="45">
        <v>0</v>
      </c>
      <c r="P248" s="45"/>
      <c r="Q248" s="45">
        <v>294590</v>
      </c>
      <c r="R248" s="45"/>
      <c r="S248" s="44">
        <f t="shared" si="8"/>
        <v>427737</v>
      </c>
      <c r="T248" s="45"/>
      <c r="U248" s="45">
        <v>8181438</v>
      </c>
      <c r="V248" s="35"/>
      <c r="W248" s="45">
        <v>0</v>
      </c>
    </row>
    <row r="249" spans="1:23" s="49" customFormat="1" ht="12.75" customHeight="1">
      <c r="A249" s="44" t="s">
        <v>280</v>
      </c>
      <c r="C249" s="44" t="s">
        <v>281</v>
      </c>
      <c r="D249" s="35"/>
      <c r="E249" s="45">
        <v>623983</v>
      </c>
      <c r="F249" s="45"/>
      <c r="G249" s="45">
        <v>4441695</v>
      </c>
      <c r="H249" s="45"/>
      <c r="I249" s="45">
        <v>0</v>
      </c>
      <c r="J249" s="45"/>
      <c r="K249" s="45">
        <v>1318990</v>
      </c>
      <c r="L249" s="45"/>
      <c r="M249" s="45">
        <v>1072743</v>
      </c>
      <c r="N249" s="45"/>
      <c r="O249" s="45">
        <v>74820</v>
      </c>
      <c r="P249" s="45"/>
      <c r="Q249" s="45">
        <v>708921</v>
      </c>
      <c r="R249" s="45"/>
      <c r="S249" s="44">
        <f t="shared" si="8"/>
        <v>480414</v>
      </c>
      <c r="T249" s="45"/>
      <c r="U249" s="45">
        <v>8721566</v>
      </c>
      <c r="V249" s="35"/>
      <c r="W249" s="45">
        <v>0</v>
      </c>
    </row>
    <row r="250" spans="1:23" s="49" customFormat="1" ht="12.75" customHeight="1">
      <c r="A250" s="44" t="s">
        <v>282</v>
      </c>
      <c r="C250" s="44" t="s">
        <v>199</v>
      </c>
      <c r="D250" s="35"/>
      <c r="E250" s="45">
        <v>13131715</v>
      </c>
      <c r="F250" s="45"/>
      <c r="G250" s="45">
        <v>0</v>
      </c>
      <c r="H250" s="45"/>
      <c r="I250" s="45">
        <v>0</v>
      </c>
      <c r="J250" s="45"/>
      <c r="K250" s="45">
        <v>1254071</v>
      </c>
      <c r="L250" s="45"/>
      <c r="M250" s="45">
        <v>1736840</v>
      </c>
      <c r="N250" s="45"/>
      <c r="O250" s="45">
        <v>0</v>
      </c>
      <c r="P250" s="45"/>
      <c r="Q250" s="45">
        <v>715569</v>
      </c>
      <c r="R250" s="45"/>
      <c r="S250" s="44">
        <f t="shared" si="8"/>
        <v>2470845</v>
      </c>
      <c r="T250" s="45"/>
      <c r="U250" s="45">
        <v>19309040</v>
      </c>
      <c r="V250" s="35"/>
      <c r="W250" s="45">
        <v>0</v>
      </c>
    </row>
    <row r="251" spans="1:23" s="49" customFormat="1" ht="12.75" customHeight="1">
      <c r="A251" s="44" t="s">
        <v>283</v>
      </c>
      <c r="C251" s="44" t="s">
        <v>43</v>
      </c>
      <c r="D251" s="35"/>
      <c r="E251" s="45">
        <v>2489825</v>
      </c>
      <c r="F251" s="45"/>
      <c r="G251" s="45">
        <v>12666796</v>
      </c>
      <c r="H251" s="45"/>
      <c r="I251" s="45">
        <v>128649</v>
      </c>
      <c r="J251" s="45"/>
      <c r="K251" s="45">
        <v>2324333</v>
      </c>
      <c r="L251" s="45"/>
      <c r="M251" s="45">
        <v>1979880</v>
      </c>
      <c r="N251" s="45"/>
      <c r="O251" s="45">
        <v>47883</v>
      </c>
      <c r="P251" s="45"/>
      <c r="Q251" s="45">
        <v>478864</v>
      </c>
      <c r="R251" s="45"/>
      <c r="S251" s="44">
        <f t="shared" si="8"/>
        <v>1179199</v>
      </c>
      <c r="T251" s="45"/>
      <c r="U251" s="45">
        <v>21295429</v>
      </c>
      <c r="V251" s="35"/>
      <c r="W251" s="45">
        <v>0</v>
      </c>
    </row>
    <row r="252" spans="1:23" s="49" customFormat="1" ht="12.75" customHeight="1">
      <c r="A252" s="44" t="s">
        <v>284</v>
      </c>
      <c r="C252" s="44" t="s">
        <v>45</v>
      </c>
      <c r="D252" s="35"/>
      <c r="E252" s="45">
        <v>6975423</v>
      </c>
      <c r="F252" s="45"/>
      <c r="G252" s="45">
        <v>0</v>
      </c>
      <c r="H252" s="45"/>
      <c r="I252" s="45">
        <v>0</v>
      </c>
      <c r="J252" s="45"/>
      <c r="K252" s="45">
        <v>162815</v>
      </c>
      <c r="L252" s="45"/>
      <c r="M252" s="45">
        <v>1655922</v>
      </c>
      <c r="N252" s="45"/>
      <c r="O252" s="45">
        <v>0</v>
      </c>
      <c r="P252" s="45"/>
      <c r="Q252" s="45">
        <v>109040</v>
      </c>
      <c r="R252" s="45"/>
      <c r="S252" s="44">
        <f t="shared" si="8"/>
        <v>604469</v>
      </c>
      <c r="T252" s="45"/>
      <c r="U252" s="45">
        <v>9507669</v>
      </c>
      <c r="V252" s="35"/>
      <c r="W252" s="45">
        <v>12111</v>
      </c>
    </row>
    <row r="253" spans="1:23" s="49" customFormat="1" ht="12.75" customHeight="1">
      <c r="A253" s="44" t="s">
        <v>285</v>
      </c>
      <c r="C253" s="44" t="s">
        <v>30</v>
      </c>
      <c r="D253" s="35"/>
      <c r="E253" s="45">
        <v>0</v>
      </c>
      <c r="F253" s="45"/>
      <c r="G253" s="45">
        <v>8849796</v>
      </c>
      <c r="H253" s="45"/>
      <c r="I253" s="45">
        <v>3914721</v>
      </c>
      <c r="J253" s="45"/>
      <c r="K253" s="45">
        <v>1563080</v>
      </c>
      <c r="L253" s="45"/>
      <c r="M253" s="45">
        <v>200787</v>
      </c>
      <c r="N253" s="45"/>
      <c r="O253" s="45">
        <v>0</v>
      </c>
      <c r="P253" s="45"/>
      <c r="Q253" s="45">
        <v>1018153</v>
      </c>
      <c r="R253" s="45"/>
      <c r="S253" s="44">
        <f t="shared" si="8"/>
        <v>411838</v>
      </c>
      <c r="T253" s="45"/>
      <c r="U253" s="45">
        <v>15958375</v>
      </c>
      <c r="V253" s="35"/>
      <c r="W253" s="45">
        <v>0</v>
      </c>
    </row>
    <row r="254" spans="1:23" s="49" customFormat="1" ht="12.75" customHeight="1">
      <c r="A254" s="44" t="s">
        <v>286</v>
      </c>
      <c r="C254" s="44" t="s">
        <v>61</v>
      </c>
      <c r="D254" s="35"/>
      <c r="E254" s="45">
        <v>0</v>
      </c>
      <c r="F254" s="45"/>
      <c r="G254" s="45">
        <v>24270541</v>
      </c>
      <c r="H254" s="45"/>
      <c r="I254" s="45">
        <v>0</v>
      </c>
      <c r="J254" s="45"/>
      <c r="K254" s="45">
        <v>5912038</v>
      </c>
      <c r="L254" s="45"/>
      <c r="M254" s="45">
        <v>4562180</v>
      </c>
      <c r="N254" s="45"/>
      <c r="O254" s="45">
        <v>0</v>
      </c>
      <c r="P254" s="45"/>
      <c r="Q254" s="45">
        <v>1179645</v>
      </c>
      <c r="R254" s="45"/>
      <c r="S254" s="44">
        <f t="shared" si="8"/>
        <v>2904391</v>
      </c>
      <c r="T254" s="45"/>
      <c r="U254" s="45">
        <v>38828795</v>
      </c>
      <c r="V254" s="35"/>
      <c r="W254" s="45">
        <v>0</v>
      </c>
    </row>
    <row r="255" spans="1:23" s="44" customFormat="1" ht="12.75" customHeight="1">
      <c r="A255" s="44" t="s">
        <v>287</v>
      </c>
      <c r="B255" s="49"/>
      <c r="C255" s="44" t="s">
        <v>288</v>
      </c>
      <c r="D255" s="35"/>
      <c r="E255" s="45">
        <v>603714</v>
      </c>
      <c r="F255" s="45"/>
      <c r="G255" s="45">
        <v>7707787</v>
      </c>
      <c r="H255" s="45"/>
      <c r="I255" s="45">
        <v>0</v>
      </c>
      <c r="J255" s="45"/>
      <c r="K255" s="45">
        <v>576466</v>
      </c>
      <c r="L255" s="45"/>
      <c r="M255" s="45">
        <v>2763275</v>
      </c>
      <c r="N255" s="45"/>
      <c r="O255" s="45">
        <v>0</v>
      </c>
      <c r="P255" s="45"/>
      <c r="Q255" s="45">
        <v>472252</v>
      </c>
      <c r="R255" s="45"/>
      <c r="S255" s="44">
        <f t="shared" si="8"/>
        <v>659874</v>
      </c>
      <c r="T255" s="45"/>
      <c r="U255" s="45">
        <v>12783368</v>
      </c>
      <c r="V255" s="35"/>
      <c r="W255" s="45">
        <v>0</v>
      </c>
    </row>
    <row r="256" spans="1:23" s="49" customFormat="1" ht="12.75" customHeight="1">
      <c r="A256" s="44" t="s">
        <v>472</v>
      </c>
      <c r="C256" s="44"/>
      <c r="D256" s="35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5"/>
      <c r="R256" s="44"/>
      <c r="S256" s="44"/>
      <c r="T256" s="45"/>
      <c r="U256" s="48"/>
    </row>
    <row r="257" spans="1:22" s="47" customFormat="1" ht="12.75" customHeight="1">
      <c r="A257" s="49"/>
      <c r="B257" s="51"/>
      <c r="C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4"/>
      <c r="T257" s="49"/>
      <c r="U257" s="48"/>
    </row>
    <row r="258" spans="1:22" s="49" customFormat="1" ht="12.75" customHeight="1">
      <c r="D258" s="47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8"/>
    </row>
    <row r="259" spans="1:22" s="49" customFormat="1" ht="12.75" customHeight="1"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8"/>
    </row>
    <row r="260" spans="1:22" s="49" customFormat="1" ht="12.75" customHeight="1"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8"/>
    </row>
    <row r="261" spans="1:22" s="49" customFormat="1" ht="12.75" customHeight="1"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8"/>
    </row>
    <row r="262" spans="1:22" s="49" customFormat="1" ht="12.75" customHeight="1">
      <c r="D262" s="47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8"/>
    </row>
    <row r="263" spans="1:22" s="49" customFormat="1" ht="12.75" customHeight="1">
      <c r="D263" s="47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8"/>
    </row>
    <row r="264" spans="1:22" s="49" customFormat="1" ht="12.75" customHeight="1">
      <c r="D264" s="47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8"/>
    </row>
    <row r="265" spans="1:22" s="49" customFormat="1" ht="12.75" customHeight="1">
      <c r="D265" s="47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8"/>
    </row>
    <row r="266" spans="1:22" s="49" customFormat="1" ht="12.75" customHeight="1">
      <c r="D266" s="47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8"/>
    </row>
    <row r="267" spans="1:22" s="49" customFormat="1" ht="12.75" customHeight="1">
      <c r="D267" s="47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8"/>
    </row>
    <row r="268" spans="1:22" s="49" customFormat="1" ht="12.75" customHeight="1">
      <c r="D268" s="47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8"/>
    </row>
    <row r="269" spans="1:22" s="49" customFormat="1" ht="12.75" customHeight="1">
      <c r="D269" s="47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8"/>
    </row>
    <row r="270" spans="1:22" s="49" customFormat="1" ht="12.75" customHeight="1">
      <c r="D270" s="47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8"/>
      <c r="V270" s="47"/>
    </row>
    <row r="271" spans="1:22" s="49" customFormat="1" ht="12.75" customHeight="1">
      <c r="D271" s="47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8"/>
      <c r="V271" s="47"/>
    </row>
    <row r="272" spans="1:22" s="49" customFormat="1" ht="12.75" customHeight="1">
      <c r="D272" s="47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8"/>
      <c r="V272" s="47"/>
    </row>
    <row r="273" spans="4:22" s="49" customFormat="1" ht="12.75" customHeight="1">
      <c r="D273" s="47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8"/>
      <c r="V273" s="47"/>
    </row>
    <row r="274" spans="4:22" s="49" customFormat="1" ht="12.75" customHeight="1">
      <c r="D274" s="47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8"/>
      <c r="V274" s="47"/>
    </row>
    <row r="275" spans="4:22" s="49" customFormat="1" ht="12.75" customHeight="1">
      <c r="D275" s="47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8"/>
      <c r="V275" s="47"/>
    </row>
    <row r="276" spans="4:22" s="49" customFormat="1" ht="12.75" customHeight="1">
      <c r="D276" s="47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8"/>
      <c r="V276" s="47"/>
    </row>
    <row r="277" spans="4:22" s="49" customFormat="1" ht="12.75" customHeight="1">
      <c r="D277" s="47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8"/>
      <c r="V277" s="47"/>
    </row>
    <row r="278" spans="4:22" s="49" customFormat="1" ht="12.75" customHeight="1">
      <c r="D278" s="47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8"/>
      <c r="V278" s="47"/>
    </row>
    <row r="279" spans="4:22" s="49" customFormat="1" ht="12.75" customHeight="1">
      <c r="D279" s="47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8"/>
      <c r="V279" s="47"/>
    </row>
    <row r="280" spans="4:22" s="49" customFormat="1" ht="12.75" customHeight="1">
      <c r="D280" s="47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8"/>
      <c r="V280" s="47"/>
    </row>
    <row r="281" spans="4:22" s="49" customFormat="1" ht="12.75" customHeight="1">
      <c r="D281" s="47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8"/>
      <c r="V281" s="47"/>
    </row>
    <row r="282" spans="4:22" s="49" customFormat="1" ht="12.75" customHeight="1">
      <c r="D282" s="47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8"/>
      <c r="V282" s="47"/>
    </row>
    <row r="283" spans="4:22" s="49" customFormat="1" ht="12.75" customHeight="1">
      <c r="D283" s="47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8"/>
      <c r="V283" s="47"/>
    </row>
    <row r="284" spans="4:22" s="49" customFormat="1" ht="12.75" customHeight="1">
      <c r="D284" s="47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8"/>
      <c r="V284" s="47"/>
    </row>
    <row r="285" spans="4:22" s="49" customFormat="1" ht="12.75" customHeight="1">
      <c r="D285" s="47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8"/>
      <c r="V285" s="47"/>
    </row>
    <row r="286" spans="4:22" s="49" customFormat="1" ht="12.75" customHeight="1">
      <c r="D286" s="47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8"/>
      <c r="V286" s="47"/>
    </row>
    <row r="287" spans="4:22" s="49" customFormat="1" ht="12.75" customHeight="1">
      <c r="D287" s="47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8"/>
      <c r="V287" s="47"/>
    </row>
    <row r="288" spans="4:22" s="49" customFormat="1" ht="12.75" customHeight="1">
      <c r="D288" s="47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8"/>
      <c r="V288" s="47"/>
    </row>
    <row r="289" spans="4:22" s="49" customFormat="1" ht="12.75" customHeight="1">
      <c r="D289" s="47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8"/>
      <c r="V289" s="47"/>
    </row>
    <row r="290" spans="4:22" s="49" customFormat="1" ht="12.75" customHeight="1">
      <c r="D290" s="47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8"/>
      <c r="V290" s="47"/>
    </row>
    <row r="291" spans="4:22" s="49" customFormat="1" ht="12.75" customHeight="1">
      <c r="D291" s="47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8"/>
      <c r="V291" s="47"/>
    </row>
    <row r="292" spans="4:22" s="49" customFormat="1" ht="12.75" customHeight="1">
      <c r="D292" s="47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8"/>
      <c r="V292" s="47"/>
    </row>
    <row r="293" spans="4:22" s="49" customFormat="1" ht="12.75" customHeight="1">
      <c r="D293" s="47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8"/>
      <c r="V293" s="47"/>
    </row>
    <row r="294" spans="4:22" s="49" customFormat="1" ht="12.75" customHeight="1">
      <c r="D294" s="47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8"/>
      <c r="V294" s="47"/>
    </row>
    <row r="295" spans="4:22" s="49" customFormat="1" ht="12.75" customHeight="1">
      <c r="D295" s="47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8"/>
      <c r="V295" s="47"/>
    </row>
    <row r="296" spans="4:22" s="49" customFormat="1" ht="12.75" customHeight="1">
      <c r="D296" s="47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8"/>
      <c r="V296" s="47"/>
    </row>
    <row r="297" spans="4:22" s="49" customFormat="1" ht="12.75" customHeight="1">
      <c r="D297" s="47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8"/>
      <c r="V297" s="47"/>
    </row>
    <row r="298" spans="4:22" s="49" customFormat="1" ht="12.75" customHeight="1">
      <c r="D298" s="47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8"/>
      <c r="V298" s="47"/>
    </row>
    <row r="299" spans="4:22" s="49" customFormat="1" ht="12.75" customHeight="1">
      <c r="D299" s="47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8"/>
      <c r="V299" s="47"/>
    </row>
    <row r="300" spans="4:22" s="49" customFormat="1" ht="12.75" customHeight="1">
      <c r="D300" s="47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8"/>
      <c r="V300" s="47"/>
    </row>
    <row r="301" spans="4:22" s="49" customFormat="1" ht="12.75" customHeight="1">
      <c r="D301" s="47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8"/>
      <c r="V301" s="47"/>
    </row>
    <row r="302" spans="4:22" s="49" customFormat="1" ht="12.75" customHeight="1">
      <c r="D302" s="47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8"/>
      <c r="V302" s="47"/>
    </row>
    <row r="303" spans="4:22" s="49" customFormat="1" ht="12.75" customHeight="1">
      <c r="D303" s="47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8"/>
      <c r="V303" s="47"/>
    </row>
    <row r="304" spans="4:22" s="49" customFormat="1" ht="12.75" customHeight="1">
      <c r="D304" s="47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8"/>
      <c r="V304" s="47"/>
    </row>
    <row r="305" spans="4:22" s="49" customFormat="1" ht="12.75" customHeight="1">
      <c r="D305" s="47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8"/>
      <c r="V305" s="47"/>
    </row>
    <row r="306" spans="4:22" s="49" customFormat="1" ht="12.75" customHeight="1">
      <c r="D306" s="47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8"/>
      <c r="V306" s="47"/>
    </row>
    <row r="307" spans="4:22" s="49" customFormat="1" ht="12.75" customHeight="1">
      <c r="D307" s="47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8"/>
      <c r="V307" s="47"/>
    </row>
    <row r="308" spans="4:22" s="49" customFormat="1" ht="12.75" customHeight="1">
      <c r="D308" s="47"/>
      <c r="S308" s="44"/>
      <c r="U308" s="48"/>
      <c r="V308" s="47"/>
    </row>
    <row r="309" spans="4:22" s="49" customFormat="1" ht="12.75" customHeight="1">
      <c r="D309" s="47"/>
      <c r="S309" s="44"/>
      <c r="U309" s="48"/>
      <c r="V309" s="47"/>
    </row>
    <row r="310" spans="4:22" s="49" customFormat="1" ht="12.75" customHeight="1">
      <c r="D310" s="47"/>
      <c r="S310" s="44"/>
      <c r="U310" s="48"/>
      <c r="V310" s="47"/>
    </row>
    <row r="311" spans="4:22" s="49" customFormat="1" ht="12.75" customHeight="1">
      <c r="D311" s="47"/>
      <c r="S311" s="44"/>
      <c r="U311" s="48"/>
      <c r="V311" s="47"/>
    </row>
    <row r="312" spans="4:22" s="49" customFormat="1" ht="12.75" customHeight="1">
      <c r="D312" s="47"/>
      <c r="S312" s="44"/>
      <c r="U312" s="48"/>
      <c r="V312" s="47"/>
    </row>
    <row r="313" spans="4:22" s="49" customFormat="1" ht="12.75" customHeight="1">
      <c r="D313" s="47"/>
      <c r="S313" s="44"/>
      <c r="U313" s="48"/>
      <c r="V313" s="47"/>
    </row>
    <row r="314" spans="4:22" s="49" customFormat="1" ht="12.75" customHeight="1">
      <c r="D314" s="47"/>
      <c r="S314" s="44"/>
      <c r="U314" s="48"/>
      <c r="V314" s="47"/>
    </row>
    <row r="315" spans="4:22" s="49" customFormat="1" ht="12.75" customHeight="1">
      <c r="D315" s="47"/>
      <c r="S315" s="44"/>
      <c r="U315" s="48"/>
      <c r="V315" s="47"/>
    </row>
    <row r="316" spans="4:22" s="49" customFormat="1" ht="12.75" customHeight="1">
      <c r="D316" s="47"/>
      <c r="S316" s="44"/>
      <c r="U316" s="48"/>
      <c r="V316" s="47"/>
    </row>
    <row r="317" spans="4:22" s="49" customFormat="1" ht="12.75" customHeight="1">
      <c r="D317" s="47"/>
      <c r="S317" s="44"/>
      <c r="U317" s="48"/>
      <c r="V317" s="47"/>
    </row>
    <row r="318" spans="4:22" s="49" customFormat="1" ht="12.75" customHeight="1">
      <c r="D318" s="47"/>
      <c r="S318" s="44"/>
      <c r="U318" s="48"/>
      <c r="V318" s="47"/>
    </row>
    <row r="319" spans="4:22" s="49" customFormat="1" ht="12.75" customHeight="1">
      <c r="D319" s="47"/>
      <c r="S319" s="44"/>
      <c r="U319" s="48"/>
      <c r="V319" s="47"/>
    </row>
    <row r="320" spans="4:22" s="49" customFormat="1" ht="12.75" customHeight="1">
      <c r="D320" s="47"/>
      <c r="S320" s="44"/>
      <c r="U320" s="48"/>
      <c r="V320" s="47"/>
    </row>
    <row r="321" spans="1:22" s="49" customFormat="1" ht="12.75" customHeight="1">
      <c r="D321" s="47"/>
      <c r="S321" s="44"/>
      <c r="U321" s="48"/>
      <c r="V321" s="47"/>
    </row>
    <row r="322" spans="1:22" s="49" customFormat="1" ht="12.75" customHeight="1">
      <c r="D322" s="47"/>
      <c r="S322" s="44"/>
      <c r="U322" s="48"/>
      <c r="V322" s="47"/>
    </row>
    <row r="323" spans="1:22" s="49" customFormat="1" ht="12.75" customHeight="1">
      <c r="D323" s="47"/>
      <c r="S323" s="44"/>
      <c r="U323" s="48"/>
      <c r="V323" s="47"/>
    </row>
    <row r="324" spans="1:22" s="49" customFormat="1" ht="12.75" customHeight="1">
      <c r="D324" s="47"/>
      <c r="S324" s="44"/>
      <c r="U324" s="48"/>
      <c r="V324" s="47"/>
    </row>
    <row r="325" spans="1:22" s="49" customFormat="1" ht="12.75" customHeight="1">
      <c r="D325" s="47"/>
      <c r="S325" s="44"/>
      <c r="U325" s="48"/>
      <c r="V325" s="47"/>
    </row>
    <row r="326" spans="1:22" s="47" customFormat="1" ht="12.75" customHeight="1">
      <c r="A326" s="49"/>
      <c r="C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4"/>
      <c r="T326" s="49"/>
      <c r="U326" s="48"/>
    </row>
    <row r="327" spans="1:22" s="47" customFormat="1" ht="12.75" customHeight="1">
      <c r="A327" s="49"/>
      <c r="C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4"/>
      <c r="T327" s="49"/>
      <c r="U327" s="48"/>
    </row>
    <row r="328" spans="1:22" s="47" customFormat="1" ht="12.75" customHeight="1">
      <c r="A328" s="49"/>
      <c r="C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4"/>
      <c r="T328" s="49"/>
      <c r="U328" s="48"/>
    </row>
    <row r="329" spans="1:22" s="47" customFormat="1" ht="12.75" customHeight="1">
      <c r="A329" s="49"/>
      <c r="B329" s="51"/>
      <c r="C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4"/>
      <c r="T329" s="49"/>
      <c r="U329" s="48"/>
    </row>
    <row r="330" spans="1:22" s="47" customFormat="1" ht="12.75" customHeight="1">
      <c r="A330" s="49"/>
      <c r="B330" s="51"/>
      <c r="C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4"/>
      <c r="T330" s="49"/>
      <c r="U330" s="48"/>
    </row>
    <row r="331" spans="1:22" s="47" customFormat="1" ht="12.75" customHeight="1">
      <c r="A331" s="49"/>
      <c r="B331" s="51"/>
      <c r="C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4"/>
      <c r="T331" s="49"/>
      <c r="U331" s="48"/>
    </row>
    <row r="332" spans="1:22" s="47" customFormat="1" ht="12.75" customHeight="1">
      <c r="A332" s="49"/>
      <c r="B332" s="51"/>
      <c r="C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4"/>
      <c r="T332" s="49"/>
      <c r="U332" s="48"/>
    </row>
    <row r="333" spans="1:22" s="47" customFormat="1" ht="12.75" customHeight="1">
      <c r="A333" s="49"/>
      <c r="B333" s="51"/>
      <c r="C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4"/>
      <c r="T333" s="49"/>
      <c r="U333" s="48"/>
    </row>
    <row r="334" spans="1:22" s="47" customFormat="1" ht="12.75" customHeight="1">
      <c r="A334" s="49"/>
      <c r="B334" s="51"/>
      <c r="C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4"/>
      <c r="T334" s="49"/>
      <c r="U334" s="48"/>
    </row>
    <row r="335" spans="1:22" s="47" customFormat="1" ht="12.75" customHeight="1">
      <c r="A335" s="49"/>
      <c r="B335" s="51"/>
      <c r="C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4"/>
      <c r="T335" s="49"/>
      <c r="U335" s="48"/>
    </row>
  </sheetData>
  <phoneticPr fontId="4" type="noConversion"/>
  <pageMargins left="0.75" right="0.75" top="0.5" bottom="0.8" header="0" footer="0.25"/>
  <pageSetup scale="83" firstPageNumber="44" pageOrder="overThenDown" orientation="portrait" useFirstPageNumber="1" r:id="rId1"/>
  <headerFooter alignWithMargins="0">
    <oddFooter>&amp;C&amp;"Times New Roman,Regular"&amp;11&amp;P</oddFooter>
  </headerFooter>
  <rowBreaks count="3" manualBreakCount="3">
    <brk id="72" max="22" man="1"/>
    <brk id="133" max="22" man="1"/>
    <brk id="197" max="22" man="1"/>
  </rowBreaks>
  <colBreaks count="1" manualBreakCount="1">
    <brk id="12" min="8" max="2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S656"/>
  <sheetViews>
    <sheetView zoomScaleNormal="100" zoomScaleSheetLayoutView="75" workbookViewId="0">
      <pane xSplit="3" ySplit="7" topLeftCell="D153" activePane="bottomRight" state="frozen"/>
      <selection pane="topRight" activeCell="D1" sqref="D1"/>
      <selection pane="bottomLeft" activeCell="A9" sqref="A9"/>
      <selection pane="bottomRight" activeCell="R182" sqref="R182"/>
    </sheetView>
  </sheetViews>
  <sheetFormatPr defaultColWidth="0" defaultRowHeight="12.75" customHeight="1"/>
  <cols>
    <col min="1" max="1" width="14.85546875" style="11" customWidth="1"/>
    <col min="2" max="2" width="1.5703125" customWidth="1"/>
    <col min="3" max="3" width="10.5703125" style="11" customWidth="1"/>
    <col min="4" max="4" width="1.5703125" style="10" customWidth="1"/>
    <col min="5" max="5" width="11.7109375" style="17" customWidth="1"/>
    <col min="6" max="6" width="1.5703125" style="17" customWidth="1"/>
    <col min="7" max="7" width="11.7109375" style="17" customWidth="1"/>
    <col min="8" max="8" width="1.5703125" style="17" customWidth="1"/>
    <col min="9" max="9" width="11.7109375" style="17" customWidth="1"/>
    <col min="10" max="10" width="1.5703125" style="17" customWidth="1"/>
    <col min="11" max="11" width="11.7109375" style="17" customWidth="1"/>
    <col min="12" max="12" width="1.5703125" style="17" customWidth="1"/>
    <col min="13" max="13" width="11.7109375" style="17" customWidth="1"/>
    <col min="14" max="14" width="1.5703125" style="17" customWidth="1"/>
    <col min="15" max="15" width="11.7109375" style="17" customWidth="1"/>
    <col min="16" max="16" width="0.5703125" style="17" customWidth="1"/>
    <col min="17" max="17" width="11.42578125" style="17" customWidth="1"/>
    <col min="18" max="18" width="1.42578125" style="17" customWidth="1"/>
    <col min="19" max="19" width="10.42578125" style="17" customWidth="1"/>
    <col min="20" max="20" width="1.28515625" style="17" customWidth="1"/>
    <col min="21" max="21" width="10.85546875" style="17" customWidth="1"/>
    <col min="22" max="22" width="1.42578125" style="17" customWidth="1"/>
    <col min="23" max="23" width="11" style="17" customWidth="1"/>
    <col min="24" max="24" width="1.28515625" style="17" customWidth="1"/>
    <col min="25" max="25" width="11.42578125" style="17" customWidth="1"/>
    <col min="26" max="26" width="1.42578125" customWidth="1"/>
    <col min="27" max="27" width="11" customWidth="1"/>
    <col min="28" max="28" width="1.42578125" customWidth="1"/>
    <col min="29" max="29" width="12" style="17" customWidth="1"/>
    <col min="30" max="30" width="1" style="17" customWidth="1"/>
    <col min="31" max="31" width="9.7109375" style="17" customWidth="1"/>
    <col min="32" max="32" width="1.28515625" style="17" customWidth="1"/>
    <col min="33" max="33" width="11.85546875" style="17" customWidth="1"/>
    <col min="34" max="34" width="3.28515625" style="17" customWidth="1"/>
    <col min="35" max="35" width="12.7109375" style="17" customWidth="1"/>
    <col min="36" max="36" width="1.140625" style="17" customWidth="1"/>
    <col min="37" max="37" width="12.85546875" style="17" customWidth="1"/>
    <col min="38" max="38" width="1.7109375" style="17" customWidth="1"/>
    <col min="39" max="42" width="11.7109375" style="17" customWidth="1"/>
    <col min="43" max="43" width="1.7109375" style="17" customWidth="1"/>
    <col min="44" max="44" width="9.28515625" style="10" hidden="1" customWidth="1"/>
    <col min="45" max="16384" width="0" style="10" hidden="1"/>
  </cols>
  <sheetData>
    <row r="1" spans="1:45" s="9" customFormat="1" ht="12.75" customHeight="1">
      <c r="A1" s="23" t="s">
        <v>388</v>
      </c>
      <c r="C1" s="24"/>
      <c r="D1" s="10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7"/>
      <c r="AS1" s="27"/>
    </row>
    <row r="2" spans="1:45" s="9" customFormat="1" ht="12.75" customHeight="1">
      <c r="A2" s="23" t="s">
        <v>489</v>
      </c>
      <c r="C2" s="24"/>
      <c r="D2" s="10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7"/>
      <c r="AS2" s="27"/>
    </row>
    <row r="3" spans="1:45" ht="12.75" customHeight="1">
      <c r="A3" s="24" t="s">
        <v>289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9"/>
      <c r="AS3" s="19"/>
    </row>
    <row r="5" spans="1:45" s="12" customFormat="1" ht="12.75" customHeight="1">
      <c r="A5" s="25"/>
      <c r="C5" s="25"/>
      <c r="E5" s="25"/>
      <c r="F5" s="25"/>
      <c r="G5" s="25" t="s">
        <v>396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AC5" s="25" t="s">
        <v>417</v>
      </c>
      <c r="AD5" s="25"/>
      <c r="AE5" s="25"/>
      <c r="AF5" s="25"/>
      <c r="AG5" s="25"/>
      <c r="AH5" s="25"/>
      <c r="AI5" s="25" t="s">
        <v>325</v>
      </c>
      <c r="AJ5" s="25"/>
      <c r="AK5" s="25" t="s">
        <v>455</v>
      </c>
      <c r="AL5" s="25"/>
      <c r="AM5" s="25"/>
      <c r="AN5" s="25"/>
      <c r="AO5" s="25"/>
      <c r="AP5" s="25"/>
      <c r="AQ5" s="25"/>
      <c r="AR5" s="15"/>
      <c r="AS5" s="15"/>
    </row>
    <row r="6" spans="1:45" s="30" customFormat="1" ht="12.75" customHeight="1">
      <c r="A6" s="26"/>
      <c r="C6" s="26"/>
      <c r="D6" s="25"/>
      <c r="E6" s="25" t="s">
        <v>296</v>
      </c>
      <c r="F6" s="25"/>
      <c r="G6" s="30" t="s">
        <v>423</v>
      </c>
      <c r="H6" s="25"/>
      <c r="I6" s="25" t="s">
        <v>333</v>
      </c>
      <c r="J6" s="25"/>
      <c r="K6" s="25"/>
      <c r="L6" s="25"/>
      <c r="M6" s="25"/>
      <c r="N6" s="25"/>
      <c r="O6" s="25" t="s">
        <v>306</v>
      </c>
      <c r="P6" s="25"/>
      <c r="Q6" s="25" t="s">
        <v>334</v>
      </c>
      <c r="R6" s="25"/>
      <c r="S6" s="25" t="s">
        <v>4</v>
      </c>
      <c r="T6" s="25"/>
      <c r="U6" s="25" t="s">
        <v>327</v>
      </c>
      <c r="V6" s="25"/>
      <c r="W6" s="25"/>
      <c r="X6" s="25"/>
      <c r="Y6" s="25" t="s">
        <v>344</v>
      </c>
      <c r="AA6" s="30" t="s">
        <v>294</v>
      </c>
      <c r="AC6" s="25" t="s">
        <v>418</v>
      </c>
      <c r="AD6" s="25"/>
      <c r="AE6" s="25" t="s">
        <v>448</v>
      </c>
      <c r="AF6" s="25"/>
      <c r="AG6" s="25" t="s">
        <v>433</v>
      </c>
      <c r="AH6" s="25"/>
      <c r="AI6" s="25" t="s">
        <v>453</v>
      </c>
      <c r="AJ6" s="25"/>
      <c r="AK6" s="25" t="s">
        <v>456</v>
      </c>
      <c r="AL6" s="25"/>
      <c r="AM6" s="25" t="s">
        <v>429</v>
      </c>
      <c r="AN6" s="25"/>
      <c r="AO6" s="25"/>
      <c r="AP6" s="25"/>
      <c r="AQ6" s="25"/>
      <c r="AR6" s="25"/>
      <c r="AS6" s="25"/>
    </row>
    <row r="7" spans="1:45" s="98" customFormat="1" ht="12.75" customHeight="1">
      <c r="A7" s="99" t="s">
        <v>8</v>
      </c>
      <c r="C7" s="99" t="s">
        <v>9</v>
      </c>
      <c r="D7" s="26"/>
      <c r="E7" s="100" t="s">
        <v>314</v>
      </c>
      <c r="F7" s="26"/>
      <c r="G7" s="100" t="s">
        <v>293</v>
      </c>
      <c r="H7" s="26"/>
      <c r="I7" s="100" t="s">
        <v>335</v>
      </c>
      <c r="J7" s="26"/>
      <c r="K7" s="100" t="s">
        <v>309</v>
      </c>
      <c r="L7" s="26"/>
      <c r="M7" s="100" t="s">
        <v>312</v>
      </c>
      <c r="N7" s="26"/>
      <c r="O7" s="100" t="s">
        <v>336</v>
      </c>
      <c r="P7" s="26"/>
      <c r="Q7" s="100" t="s">
        <v>337</v>
      </c>
      <c r="R7" s="26"/>
      <c r="S7" s="100" t="s">
        <v>338</v>
      </c>
      <c r="T7" s="26"/>
      <c r="U7" s="100" t="s">
        <v>331</v>
      </c>
      <c r="V7" s="26"/>
      <c r="W7" s="100" t="s">
        <v>339</v>
      </c>
      <c r="X7" s="26"/>
      <c r="Y7" s="100" t="s">
        <v>340</v>
      </c>
      <c r="AA7" s="99" t="s">
        <v>337</v>
      </c>
      <c r="AC7" s="99" t="s">
        <v>337</v>
      </c>
      <c r="AD7" s="26"/>
      <c r="AE7" s="99" t="s">
        <v>444</v>
      </c>
      <c r="AF7" s="26"/>
      <c r="AG7" s="99" t="s">
        <v>434</v>
      </c>
      <c r="AH7" s="26"/>
      <c r="AI7" s="99" t="s">
        <v>454</v>
      </c>
      <c r="AJ7" s="26"/>
      <c r="AK7" s="99" t="s">
        <v>432</v>
      </c>
      <c r="AL7" s="26"/>
      <c r="AM7" s="101" t="s">
        <v>430</v>
      </c>
      <c r="AN7" s="26"/>
      <c r="AO7" s="26"/>
      <c r="AP7" s="26"/>
      <c r="AQ7" s="26"/>
      <c r="AR7" s="26"/>
      <c r="AS7" s="26"/>
    </row>
    <row r="8" spans="1:45" s="98" customFormat="1" ht="12.75" customHeight="1">
      <c r="A8" s="26"/>
      <c r="C8" s="26"/>
      <c r="D8" s="26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26"/>
      <c r="AS8" s="26"/>
    </row>
    <row r="9" spans="1:45" s="46" customFormat="1" ht="12.75" customHeight="1">
      <c r="A9" s="64" t="s">
        <v>12</v>
      </c>
      <c r="C9" s="64" t="s">
        <v>13</v>
      </c>
      <c r="E9" s="94">
        <v>20724860</v>
      </c>
      <c r="F9" s="94"/>
      <c r="G9" s="94">
        <v>114807196</v>
      </c>
      <c r="H9" s="94"/>
      <c r="I9" s="94">
        <v>1427744</v>
      </c>
      <c r="J9" s="94"/>
      <c r="K9" s="94">
        <v>7705599</v>
      </c>
      <c r="L9" s="94"/>
      <c r="M9" s="94">
        <v>0</v>
      </c>
      <c r="N9" s="94"/>
      <c r="O9" s="94">
        <v>3533779</v>
      </c>
      <c r="P9" s="94"/>
      <c r="Q9" s="94">
        <v>0</v>
      </c>
      <c r="R9" s="94"/>
      <c r="S9" s="94">
        <v>0</v>
      </c>
      <c r="T9" s="94"/>
      <c r="U9" s="94">
        <v>0</v>
      </c>
      <c r="V9" s="94"/>
      <c r="W9" s="94">
        <v>70567</v>
      </c>
      <c r="X9" s="94"/>
      <c r="Y9" s="94">
        <v>30423</v>
      </c>
      <c r="AA9" s="46">
        <v>0</v>
      </c>
      <c r="AC9" s="94">
        <f t="shared" ref="AC9:AC70" si="0">SUM(E9:AA9)</f>
        <v>148300168</v>
      </c>
      <c r="AD9" s="94"/>
      <c r="AE9" s="68">
        <v>0</v>
      </c>
      <c r="AF9" s="68"/>
      <c r="AG9" s="94">
        <v>3463937</v>
      </c>
      <c r="AH9" s="94"/>
      <c r="AI9" s="94">
        <v>9899602</v>
      </c>
      <c r="AJ9" s="94"/>
      <c r="AK9" s="68">
        <v>0</v>
      </c>
      <c r="AL9" s="94"/>
      <c r="AM9" s="94">
        <f>+'Gen rev'!U9-'Gen exp'!AC9-AG9+'Gen rev'!W9+AI9+AK9-'Gen Bal'!S9-'Gen exp'!AE9</f>
        <v>0</v>
      </c>
      <c r="AN9" s="94"/>
      <c r="AO9" s="94"/>
      <c r="AP9" s="94"/>
      <c r="AQ9" s="94"/>
      <c r="AR9" s="90"/>
      <c r="AS9" s="64"/>
    </row>
    <row r="10" spans="1:45" s="164" customFormat="1" ht="12.75" customHeight="1">
      <c r="A10" s="163" t="s">
        <v>14</v>
      </c>
      <c r="C10" s="163" t="s">
        <v>15</v>
      </c>
      <c r="E10" s="165">
        <v>2404709</v>
      </c>
      <c r="F10" s="165"/>
      <c r="G10" s="165">
        <v>6414482</v>
      </c>
      <c r="H10" s="165"/>
      <c r="I10" s="165">
        <v>122104</v>
      </c>
      <c r="J10" s="165"/>
      <c r="K10" s="165">
        <v>560805</v>
      </c>
      <c r="L10" s="165"/>
      <c r="M10" s="165">
        <v>24111</v>
      </c>
      <c r="N10" s="165"/>
      <c r="O10" s="165">
        <v>622482</v>
      </c>
      <c r="P10" s="165"/>
      <c r="Q10" s="165">
        <v>29842</v>
      </c>
      <c r="R10" s="165"/>
      <c r="S10" s="165">
        <v>0</v>
      </c>
      <c r="T10" s="165"/>
      <c r="U10" s="165">
        <v>0</v>
      </c>
      <c r="V10" s="165"/>
      <c r="W10" s="165">
        <v>0</v>
      </c>
      <c r="X10" s="165"/>
      <c r="Y10" s="165">
        <v>0</v>
      </c>
      <c r="AA10" s="165">
        <v>0</v>
      </c>
      <c r="AC10" s="165">
        <f t="shared" si="0"/>
        <v>10178535</v>
      </c>
      <c r="AD10" s="165"/>
      <c r="AE10" s="166">
        <v>0</v>
      </c>
      <c r="AF10" s="166"/>
      <c r="AG10" s="165">
        <v>622731</v>
      </c>
      <c r="AH10" s="165"/>
      <c r="AI10" s="165">
        <v>2038305</v>
      </c>
      <c r="AJ10" s="165"/>
      <c r="AK10" s="165">
        <v>0</v>
      </c>
      <c r="AL10" s="165"/>
      <c r="AM10" s="165">
        <f>+'Gen rev'!U10-'Gen exp'!AC10-AG10+'Gen rev'!W10+AI10+AK10-'Gen Bal'!S10-'Gen exp'!AE10</f>
        <v>0</v>
      </c>
      <c r="AN10" s="165"/>
      <c r="AO10" s="165"/>
      <c r="AP10" s="165"/>
      <c r="AQ10" s="165"/>
      <c r="AR10" s="167"/>
      <c r="AS10" s="163"/>
    </row>
    <row r="11" spans="1:45" s="49" customFormat="1" ht="12.75" customHeight="1">
      <c r="A11" s="28" t="s">
        <v>16</v>
      </c>
      <c r="C11" s="28" t="s">
        <v>17</v>
      </c>
      <c r="E11" s="45">
        <v>1139845</v>
      </c>
      <c r="F11" s="45"/>
      <c r="G11" s="45">
        <v>3320763</v>
      </c>
      <c r="H11" s="45"/>
      <c r="I11" s="45">
        <v>33679</v>
      </c>
      <c r="J11" s="45"/>
      <c r="K11" s="45">
        <v>45004</v>
      </c>
      <c r="L11" s="45"/>
      <c r="M11" s="45">
        <v>0</v>
      </c>
      <c r="N11" s="45"/>
      <c r="O11" s="45">
        <v>0</v>
      </c>
      <c r="P11" s="45"/>
      <c r="Q11" s="45">
        <v>0</v>
      </c>
      <c r="R11" s="45"/>
      <c r="S11" s="45">
        <v>72149</v>
      </c>
      <c r="T11" s="45"/>
      <c r="U11" s="45">
        <v>0</v>
      </c>
      <c r="V11" s="45"/>
      <c r="W11" s="45">
        <v>0</v>
      </c>
      <c r="X11" s="45"/>
      <c r="Y11" s="45">
        <v>0</v>
      </c>
      <c r="Z11" s="44"/>
      <c r="AA11" s="45">
        <v>0</v>
      </c>
      <c r="AB11" s="44"/>
      <c r="AC11" s="45">
        <f t="shared" si="0"/>
        <v>4611440</v>
      </c>
      <c r="AD11" s="45"/>
      <c r="AE11" s="48">
        <v>0</v>
      </c>
      <c r="AF11" s="48"/>
      <c r="AG11" s="45">
        <v>536100</v>
      </c>
      <c r="AH11" s="45"/>
      <c r="AI11" s="45">
        <v>1962001</v>
      </c>
      <c r="AJ11" s="45"/>
      <c r="AK11" s="45">
        <v>0</v>
      </c>
      <c r="AL11" s="45"/>
      <c r="AM11" s="45">
        <f>+'Gen rev'!U11-'Gen exp'!AC11-AG11+'Gen rev'!W11+AI11+AK11-'Gen Bal'!S11-'Gen exp'!AE11</f>
        <v>0</v>
      </c>
      <c r="AN11" s="45"/>
      <c r="AO11" s="45"/>
      <c r="AP11" s="45"/>
      <c r="AQ11" s="45"/>
      <c r="AR11" s="52"/>
      <c r="AS11" s="50"/>
    </row>
    <row r="12" spans="1:45" s="49" customFormat="1" ht="12.75" customHeight="1">
      <c r="A12" s="28" t="s">
        <v>18</v>
      </c>
      <c r="C12" s="28" t="s">
        <v>18</v>
      </c>
      <c r="E12" s="45">
        <v>4489951</v>
      </c>
      <c r="F12" s="45"/>
      <c r="G12" s="45">
        <v>6115478</v>
      </c>
      <c r="H12" s="45"/>
      <c r="I12" s="45">
        <v>189862</v>
      </c>
      <c r="J12" s="45"/>
      <c r="K12" s="45">
        <v>278792</v>
      </c>
      <c r="L12" s="45"/>
      <c r="M12" s="45">
        <v>0</v>
      </c>
      <c r="N12" s="45"/>
      <c r="O12" s="45">
        <v>0</v>
      </c>
      <c r="P12" s="45"/>
      <c r="Q12" s="45">
        <v>0</v>
      </c>
      <c r="R12" s="45"/>
      <c r="S12" s="45">
        <v>0</v>
      </c>
      <c r="T12" s="45"/>
      <c r="U12" s="45">
        <v>0</v>
      </c>
      <c r="V12" s="45"/>
      <c r="W12" s="45">
        <v>0</v>
      </c>
      <c r="X12" s="45"/>
      <c r="Y12" s="45">
        <v>0</v>
      </c>
      <c r="Z12" s="44"/>
      <c r="AA12" s="45">
        <v>0</v>
      </c>
      <c r="AB12" s="44"/>
      <c r="AC12" s="45">
        <f t="shared" si="0"/>
        <v>11074083</v>
      </c>
      <c r="AD12" s="45"/>
      <c r="AE12" s="48">
        <v>0</v>
      </c>
      <c r="AF12" s="48"/>
      <c r="AG12" s="45">
        <v>55000</v>
      </c>
      <c r="AH12" s="45"/>
      <c r="AI12" s="45">
        <v>2611369</v>
      </c>
      <c r="AJ12" s="45"/>
      <c r="AK12" s="45">
        <v>0</v>
      </c>
      <c r="AL12" s="45"/>
      <c r="AM12" s="45">
        <f>+'Gen rev'!U12-'Gen exp'!AC12-AG12+'Gen rev'!W12+AI12+AK12-'Gen Bal'!S12-'Gen exp'!AE12</f>
        <v>0</v>
      </c>
      <c r="AN12" s="45"/>
      <c r="AO12" s="45"/>
      <c r="AP12" s="45"/>
      <c r="AQ12" s="45"/>
      <c r="AR12" s="52"/>
      <c r="AS12" s="50"/>
    </row>
    <row r="13" spans="1:45" s="49" customFormat="1" ht="12.75" customHeight="1">
      <c r="A13" s="28" t="s">
        <v>19</v>
      </c>
      <c r="C13" s="28" t="s">
        <v>19</v>
      </c>
      <c r="E13" s="45">
        <f>3038557+933147</f>
        <v>3971704</v>
      </c>
      <c r="F13" s="45"/>
      <c r="G13" s="45">
        <f>3252113+2379983</f>
        <v>5632096</v>
      </c>
      <c r="H13" s="45"/>
      <c r="I13" s="45">
        <v>8194</v>
      </c>
      <c r="J13" s="45"/>
      <c r="K13" s="45">
        <v>215442</v>
      </c>
      <c r="L13" s="45"/>
      <c r="M13" s="45">
        <v>3849</v>
      </c>
      <c r="N13" s="45"/>
      <c r="O13" s="45">
        <v>20000</v>
      </c>
      <c r="P13" s="45"/>
      <c r="Q13" s="45">
        <v>2723</v>
      </c>
      <c r="R13" s="45"/>
      <c r="S13" s="45">
        <v>0</v>
      </c>
      <c r="T13" s="45"/>
      <c r="U13" s="45">
        <v>0</v>
      </c>
      <c r="V13" s="45"/>
      <c r="W13" s="45">
        <v>99248</v>
      </c>
      <c r="X13" s="45"/>
      <c r="Y13" s="45">
        <v>6067</v>
      </c>
      <c r="Z13" s="44"/>
      <c r="AA13" s="45">
        <v>0</v>
      </c>
      <c r="AB13" s="44"/>
      <c r="AC13" s="45">
        <f t="shared" si="0"/>
        <v>9959323</v>
      </c>
      <c r="AD13" s="45"/>
      <c r="AE13" s="48">
        <v>0</v>
      </c>
      <c r="AF13" s="48"/>
      <c r="AG13" s="45">
        <v>360829</v>
      </c>
      <c r="AH13" s="45"/>
      <c r="AI13" s="45">
        <v>885373</v>
      </c>
      <c r="AJ13" s="45"/>
      <c r="AK13" s="45">
        <v>-10102</v>
      </c>
      <c r="AL13" s="45"/>
      <c r="AM13" s="45">
        <f>+'Gen rev'!U13-'Gen exp'!AC13-AG13+'Gen rev'!W13+AI13+AK13-'Gen Bal'!S13-'Gen exp'!AE13</f>
        <v>0</v>
      </c>
      <c r="AN13" s="45"/>
      <c r="AO13" s="45"/>
      <c r="AP13" s="45"/>
      <c r="AQ13" s="45"/>
      <c r="AR13" s="52"/>
      <c r="AS13" s="50"/>
    </row>
    <row r="14" spans="1:45" s="49" customFormat="1" ht="12.75" customHeight="1">
      <c r="A14" s="28" t="s">
        <v>20</v>
      </c>
      <c r="C14" s="28" t="s">
        <v>20</v>
      </c>
      <c r="E14" s="45">
        <v>4367354</v>
      </c>
      <c r="F14" s="45"/>
      <c r="G14" s="45">
        <f>2814041+2197712</f>
        <v>5011753</v>
      </c>
      <c r="H14" s="45"/>
      <c r="I14" s="45">
        <v>453576</v>
      </c>
      <c r="J14" s="45"/>
      <c r="K14" s="45">
        <v>0</v>
      </c>
      <c r="L14" s="45"/>
      <c r="M14" s="45">
        <v>436196</v>
      </c>
      <c r="N14" s="45"/>
      <c r="O14" s="45">
        <v>0</v>
      </c>
      <c r="P14" s="45"/>
      <c r="Q14" s="45">
        <v>0</v>
      </c>
      <c r="R14" s="45"/>
      <c r="S14" s="45">
        <v>0</v>
      </c>
      <c r="T14" s="45"/>
      <c r="U14" s="45">
        <v>0</v>
      </c>
      <c r="V14" s="45"/>
      <c r="W14" s="45">
        <v>0</v>
      </c>
      <c r="X14" s="45"/>
      <c r="Y14" s="45">
        <v>0</v>
      </c>
      <c r="Z14" s="44"/>
      <c r="AA14" s="45">
        <v>0</v>
      </c>
      <c r="AB14" s="44"/>
      <c r="AC14" s="45">
        <f t="shared" si="0"/>
        <v>10268879</v>
      </c>
      <c r="AD14" s="45"/>
      <c r="AE14" s="48">
        <v>0</v>
      </c>
      <c r="AF14" s="48"/>
      <c r="AG14" s="45">
        <v>325654</v>
      </c>
      <c r="AH14" s="45"/>
      <c r="AI14" s="45">
        <v>1745591</v>
      </c>
      <c r="AJ14" s="45"/>
      <c r="AK14" s="45">
        <v>0</v>
      </c>
      <c r="AL14" s="45"/>
      <c r="AM14" s="45">
        <f>+'Gen rev'!U14-'Gen exp'!AC14-AG14+'Gen rev'!W14+AI14+AK14-'Gen Bal'!S14-'Gen exp'!AE14</f>
        <v>0</v>
      </c>
      <c r="AN14" s="45"/>
      <c r="AO14" s="45"/>
      <c r="AP14" s="45"/>
      <c r="AQ14" s="45"/>
      <c r="AR14" s="52"/>
      <c r="AS14" s="50"/>
    </row>
    <row r="15" spans="1:45" s="49" customFormat="1" ht="12.75" customHeight="1">
      <c r="A15" s="28" t="s">
        <v>21</v>
      </c>
      <c r="C15" s="28" t="s">
        <v>22</v>
      </c>
      <c r="E15" s="45">
        <v>2240087</v>
      </c>
      <c r="F15" s="45"/>
      <c r="G15" s="45">
        <v>5286741</v>
      </c>
      <c r="H15" s="45"/>
      <c r="I15" s="45">
        <v>1181185</v>
      </c>
      <c r="J15" s="45"/>
      <c r="K15" s="45">
        <v>0</v>
      </c>
      <c r="L15" s="45"/>
      <c r="M15" s="45">
        <v>1926930</v>
      </c>
      <c r="N15" s="45"/>
      <c r="O15" s="45">
        <v>0</v>
      </c>
      <c r="P15" s="45"/>
      <c r="Q15" s="45">
        <v>0</v>
      </c>
      <c r="R15" s="45"/>
      <c r="S15" s="45">
        <v>0</v>
      </c>
      <c r="T15" s="45"/>
      <c r="U15" s="45">
        <v>0</v>
      </c>
      <c r="V15" s="45"/>
      <c r="W15" s="45">
        <v>2378</v>
      </c>
      <c r="X15" s="45"/>
      <c r="Y15" s="45">
        <v>1666</v>
      </c>
      <c r="Z15" s="44"/>
      <c r="AA15" s="45">
        <v>0</v>
      </c>
      <c r="AB15" s="44"/>
      <c r="AC15" s="45">
        <f t="shared" si="0"/>
        <v>10638987</v>
      </c>
      <c r="AD15" s="45"/>
      <c r="AE15" s="48">
        <v>0</v>
      </c>
      <c r="AF15" s="48"/>
      <c r="AG15" s="45">
        <v>2979400</v>
      </c>
      <c r="AH15" s="45"/>
      <c r="AI15" s="45">
        <v>6126317</v>
      </c>
      <c r="AJ15" s="45"/>
      <c r="AK15" s="45">
        <v>0</v>
      </c>
      <c r="AL15" s="45"/>
      <c r="AM15" s="45">
        <f>+'Gen rev'!U15-'Gen exp'!AC15-AG15+'Gen rev'!W15+AI15+AK15-'Gen Bal'!S15-'Gen exp'!AE15</f>
        <v>0</v>
      </c>
      <c r="AN15" s="45"/>
      <c r="AO15" s="45"/>
      <c r="AP15" s="45"/>
      <c r="AQ15" s="45"/>
      <c r="AR15" s="52"/>
      <c r="AS15" s="50"/>
    </row>
    <row r="16" spans="1:45" s="49" customFormat="1" ht="12.75" customHeight="1">
      <c r="A16" s="28" t="s">
        <v>23</v>
      </c>
      <c r="C16" s="28" t="s">
        <v>17</v>
      </c>
      <c r="E16" s="45">
        <v>2163880</v>
      </c>
      <c r="F16" s="45"/>
      <c r="G16" s="45">
        <v>0</v>
      </c>
      <c r="H16" s="45"/>
      <c r="I16" s="45">
        <v>983986</v>
      </c>
      <c r="J16" s="45"/>
      <c r="K16" s="45">
        <v>0</v>
      </c>
      <c r="L16" s="45"/>
      <c r="M16" s="45">
        <v>0</v>
      </c>
      <c r="N16" s="45"/>
      <c r="O16" s="45">
        <v>0</v>
      </c>
      <c r="P16" s="45"/>
      <c r="Q16" s="45">
        <v>0</v>
      </c>
      <c r="R16" s="45"/>
      <c r="S16" s="45">
        <v>0</v>
      </c>
      <c r="T16" s="45"/>
      <c r="U16" s="45">
        <v>0</v>
      </c>
      <c r="V16" s="45"/>
      <c r="W16" s="45">
        <v>0</v>
      </c>
      <c r="X16" s="45"/>
      <c r="Y16" s="45">
        <v>0</v>
      </c>
      <c r="Z16" s="44"/>
      <c r="AA16" s="45">
        <v>0</v>
      </c>
      <c r="AB16" s="44"/>
      <c r="AC16" s="45">
        <f t="shared" si="0"/>
        <v>3147866</v>
      </c>
      <c r="AD16" s="45"/>
      <c r="AE16" s="48">
        <v>0</v>
      </c>
      <c r="AF16" s="48"/>
      <c r="AG16" s="45">
        <v>6637242</v>
      </c>
      <c r="AH16" s="45"/>
      <c r="AI16" s="45">
        <v>6728231</v>
      </c>
      <c r="AJ16" s="45"/>
      <c r="AK16" s="45">
        <v>0</v>
      </c>
      <c r="AL16" s="45"/>
      <c r="AM16" s="45">
        <f>+'Gen rev'!U16-'Gen exp'!AC16-AG16+'Gen rev'!W16+AI16+AK16-'Gen Bal'!S16-'Gen exp'!AE16</f>
        <v>0</v>
      </c>
      <c r="AN16" s="44"/>
      <c r="AO16" s="44"/>
      <c r="AP16" s="44"/>
      <c r="AQ16" s="44"/>
    </row>
    <row r="17" spans="1:45" s="49" customFormat="1" ht="12.75" customHeight="1">
      <c r="A17" s="28" t="s">
        <v>24</v>
      </c>
      <c r="C17" s="28" t="s">
        <v>17</v>
      </c>
      <c r="E17" s="45">
        <v>2170710</v>
      </c>
      <c r="F17" s="45"/>
      <c r="G17" s="45">
        <v>4981924</v>
      </c>
      <c r="H17" s="45"/>
      <c r="I17" s="45">
        <v>336753</v>
      </c>
      <c r="J17" s="45"/>
      <c r="K17" s="45">
        <v>67000</v>
      </c>
      <c r="L17" s="45"/>
      <c r="M17" s="45">
        <v>3085749</v>
      </c>
      <c r="N17" s="45"/>
      <c r="O17" s="45">
        <v>471797</v>
      </c>
      <c r="P17" s="45"/>
      <c r="Q17" s="45">
        <v>0</v>
      </c>
      <c r="R17" s="45"/>
      <c r="S17" s="45">
        <v>59578</v>
      </c>
      <c r="T17" s="45"/>
      <c r="U17" s="45">
        <v>0</v>
      </c>
      <c r="V17" s="45"/>
      <c r="W17" s="45">
        <v>0</v>
      </c>
      <c r="X17" s="45"/>
      <c r="Y17" s="45">
        <v>0</v>
      </c>
      <c r="Z17" s="44"/>
      <c r="AA17" s="45">
        <v>0</v>
      </c>
      <c r="AB17" s="44"/>
      <c r="AC17" s="45">
        <f t="shared" si="0"/>
        <v>11173511</v>
      </c>
      <c r="AD17" s="45"/>
      <c r="AE17" s="48">
        <v>0</v>
      </c>
      <c r="AF17" s="48"/>
      <c r="AG17" s="45">
        <v>514395</v>
      </c>
      <c r="AH17" s="45"/>
      <c r="AI17" s="45">
        <v>1182868</v>
      </c>
      <c r="AJ17" s="45"/>
      <c r="AK17" s="45">
        <v>0</v>
      </c>
      <c r="AL17" s="45"/>
      <c r="AM17" s="45">
        <f>+'Gen rev'!U17-'Gen exp'!AC17-AG17+'Gen rev'!W17+AI17+AK17-'Gen Bal'!S17-'Gen exp'!AE17</f>
        <v>0</v>
      </c>
      <c r="AN17" s="44"/>
      <c r="AO17" s="44"/>
      <c r="AP17" s="44"/>
      <c r="AQ17" s="44"/>
    </row>
    <row r="18" spans="1:45" s="49" customFormat="1" ht="12.75" customHeight="1">
      <c r="A18" s="28" t="s">
        <v>25</v>
      </c>
      <c r="C18" s="28" t="s">
        <v>13</v>
      </c>
      <c r="E18" s="45">
        <v>3830556</v>
      </c>
      <c r="F18" s="45"/>
      <c r="G18" s="45">
        <v>9617736</v>
      </c>
      <c r="H18" s="45"/>
      <c r="I18" s="45">
        <v>630817</v>
      </c>
      <c r="J18" s="45"/>
      <c r="K18" s="45">
        <v>0</v>
      </c>
      <c r="L18" s="45"/>
      <c r="M18" s="45">
        <v>152819</v>
      </c>
      <c r="N18" s="45"/>
      <c r="O18" s="45">
        <v>726340</v>
      </c>
      <c r="P18" s="45"/>
      <c r="Q18" s="45">
        <v>0</v>
      </c>
      <c r="R18" s="45"/>
      <c r="S18" s="45">
        <v>478690</v>
      </c>
      <c r="T18" s="45"/>
      <c r="U18" s="45">
        <v>0</v>
      </c>
      <c r="V18" s="45"/>
      <c r="W18" s="45">
        <v>27026</v>
      </c>
      <c r="X18" s="45"/>
      <c r="Y18" s="45">
        <v>6500</v>
      </c>
      <c r="Z18" s="44"/>
      <c r="AA18" s="45">
        <v>0</v>
      </c>
      <c r="AB18" s="44"/>
      <c r="AC18" s="45">
        <f t="shared" si="0"/>
        <v>15470484</v>
      </c>
      <c r="AD18" s="45"/>
      <c r="AE18" s="48">
        <v>0</v>
      </c>
      <c r="AF18" s="48"/>
      <c r="AG18" s="45">
        <v>2192270</v>
      </c>
      <c r="AH18" s="45"/>
      <c r="AI18" s="45">
        <v>3612272</v>
      </c>
      <c r="AJ18" s="45"/>
      <c r="AK18" s="45">
        <v>0</v>
      </c>
      <c r="AL18" s="45"/>
      <c r="AM18" s="45">
        <f>+'Gen rev'!U18-'Gen exp'!AC18-AG18+'Gen rev'!W18+AI18+AK18-'Gen Bal'!S18-'Gen exp'!AE18</f>
        <v>0</v>
      </c>
      <c r="AN18" s="44"/>
      <c r="AO18" s="44"/>
      <c r="AP18" s="44"/>
      <c r="AQ18" s="44"/>
    </row>
    <row r="19" spans="1:45" s="49" customFormat="1" ht="12.75" customHeight="1">
      <c r="A19" s="28" t="s">
        <v>26</v>
      </c>
      <c r="C19" s="28" t="s">
        <v>27</v>
      </c>
      <c r="E19" s="45">
        <v>2898595</v>
      </c>
      <c r="F19" s="45"/>
      <c r="G19" s="45">
        <v>4982632</v>
      </c>
      <c r="H19" s="45"/>
      <c r="I19" s="45">
        <v>919352</v>
      </c>
      <c r="J19" s="45"/>
      <c r="K19" s="45">
        <v>264278</v>
      </c>
      <c r="L19" s="45"/>
      <c r="M19" s="45">
        <v>202508</v>
      </c>
      <c r="N19" s="45"/>
      <c r="O19" s="45">
        <v>0</v>
      </c>
      <c r="P19" s="45"/>
      <c r="Q19" s="45">
        <v>1583896</v>
      </c>
      <c r="R19" s="45"/>
      <c r="S19" s="45">
        <v>0</v>
      </c>
      <c r="T19" s="45"/>
      <c r="U19" s="45">
        <v>0</v>
      </c>
      <c r="V19" s="45"/>
      <c r="W19" s="45">
        <v>30530</v>
      </c>
      <c r="X19" s="45"/>
      <c r="Y19" s="45">
        <v>1090</v>
      </c>
      <c r="Z19" s="44"/>
      <c r="AA19" s="45">
        <v>0</v>
      </c>
      <c r="AB19" s="44"/>
      <c r="AC19" s="45">
        <f t="shared" si="0"/>
        <v>10882881</v>
      </c>
      <c r="AD19" s="45"/>
      <c r="AE19" s="48">
        <v>0</v>
      </c>
      <c r="AF19" s="48"/>
      <c r="AG19" s="45">
        <v>1201000</v>
      </c>
      <c r="AH19" s="45"/>
      <c r="AI19" s="45">
        <v>1708857</v>
      </c>
      <c r="AJ19" s="45"/>
      <c r="AK19" s="45">
        <v>0</v>
      </c>
      <c r="AL19" s="45"/>
      <c r="AM19" s="45">
        <f>+'Gen rev'!U19-'Gen exp'!AC19-AG19+'Gen rev'!W19+AI19+AK19-'Gen Bal'!S19-'Gen exp'!AE19</f>
        <v>0</v>
      </c>
      <c r="AN19" s="44"/>
      <c r="AO19" s="44"/>
      <c r="AP19" s="44"/>
      <c r="AQ19" s="44"/>
    </row>
    <row r="20" spans="1:45" s="49" customFormat="1" ht="12.75" customHeight="1">
      <c r="A20" s="28" t="s">
        <v>28</v>
      </c>
      <c r="C20" s="28" t="s">
        <v>27</v>
      </c>
      <c r="E20" s="45">
        <v>3861685</v>
      </c>
      <c r="F20" s="45"/>
      <c r="G20" s="45">
        <f>6884123+5113246</f>
        <v>11997369</v>
      </c>
      <c r="H20" s="45"/>
      <c r="I20" s="45">
        <v>893314</v>
      </c>
      <c r="J20" s="45"/>
      <c r="K20" s="45">
        <v>547248</v>
      </c>
      <c r="L20" s="45"/>
      <c r="M20" s="45">
        <v>7281011</v>
      </c>
      <c r="N20" s="45"/>
      <c r="O20" s="45">
        <v>2154243</v>
      </c>
      <c r="P20" s="45"/>
      <c r="Q20" s="45">
        <v>0</v>
      </c>
      <c r="R20" s="45"/>
      <c r="S20" s="45">
        <v>0</v>
      </c>
      <c r="T20" s="45"/>
      <c r="U20" s="45">
        <v>0</v>
      </c>
      <c r="V20" s="45"/>
      <c r="W20" s="45">
        <v>0</v>
      </c>
      <c r="X20" s="45"/>
      <c r="Y20" s="45">
        <v>0</v>
      </c>
      <c r="Z20" s="44"/>
      <c r="AA20" s="45">
        <v>0</v>
      </c>
      <c r="AB20" s="44"/>
      <c r="AC20" s="45">
        <f t="shared" si="0"/>
        <v>26734870</v>
      </c>
      <c r="AD20" s="45"/>
      <c r="AE20" s="48">
        <v>0</v>
      </c>
      <c r="AF20" s="48"/>
      <c r="AG20" s="45">
        <v>1044988</v>
      </c>
      <c r="AH20" s="45"/>
      <c r="AI20" s="45">
        <v>22616606</v>
      </c>
      <c r="AJ20" s="45"/>
      <c r="AK20" s="45">
        <v>0</v>
      </c>
      <c r="AL20" s="45"/>
      <c r="AM20" s="45">
        <f>+'Gen rev'!U20-'Gen exp'!AC20-AG20+'Gen rev'!W20+AI20+AK20-'Gen Bal'!S20-'Gen exp'!AE20</f>
        <v>0</v>
      </c>
      <c r="AN20" s="44"/>
      <c r="AO20" s="44"/>
      <c r="AP20" s="44"/>
      <c r="AQ20" s="44"/>
    </row>
    <row r="21" spans="1:45" s="49" customFormat="1" ht="12.75" customHeight="1">
      <c r="A21" s="44" t="s">
        <v>29</v>
      </c>
      <c r="C21" s="44" t="s">
        <v>30</v>
      </c>
      <c r="E21" s="45">
        <v>1391788</v>
      </c>
      <c r="F21" s="45"/>
      <c r="G21" s="45">
        <v>0</v>
      </c>
      <c r="H21" s="45"/>
      <c r="I21" s="45">
        <v>481003</v>
      </c>
      <c r="J21" s="45"/>
      <c r="K21" s="45">
        <v>131006</v>
      </c>
      <c r="L21" s="45"/>
      <c r="M21" s="45"/>
      <c r="N21" s="45"/>
      <c r="O21" s="45">
        <v>1035544</v>
      </c>
      <c r="P21" s="45"/>
      <c r="Q21" s="45">
        <v>59131</v>
      </c>
      <c r="R21" s="45"/>
      <c r="S21" s="45">
        <v>498261</v>
      </c>
      <c r="T21" s="45"/>
      <c r="U21" s="45">
        <v>0</v>
      </c>
      <c r="V21" s="45"/>
      <c r="W21" s="45">
        <v>0</v>
      </c>
      <c r="X21" s="45"/>
      <c r="Y21" s="45">
        <v>0</v>
      </c>
      <c r="Z21" s="44"/>
      <c r="AA21" s="45">
        <v>0</v>
      </c>
      <c r="AB21" s="44"/>
      <c r="AC21" s="45">
        <f t="shared" si="0"/>
        <v>3596733</v>
      </c>
      <c r="AD21" s="45"/>
      <c r="AE21" s="48">
        <v>0</v>
      </c>
      <c r="AF21" s="48"/>
      <c r="AG21" s="45">
        <v>747064</v>
      </c>
      <c r="AH21" s="45"/>
      <c r="AI21" s="45">
        <v>2121087</v>
      </c>
      <c r="AJ21" s="45"/>
      <c r="AK21" s="45">
        <v>-15547</v>
      </c>
      <c r="AL21" s="45"/>
      <c r="AM21" s="45">
        <f>+'Gen rev'!U21-'Gen exp'!AC21-AG21+'Gen rev'!W21+AI21+AK21-'Gen Bal'!S21-'Gen exp'!AE21</f>
        <v>0</v>
      </c>
      <c r="AN21" s="45"/>
      <c r="AO21" s="45"/>
      <c r="AP21" s="45"/>
      <c r="AQ21" s="45"/>
      <c r="AR21" s="52"/>
      <c r="AS21" s="50"/>
    </row>
    <row r="22" spans="1:45" s="49" customFormat="1" ht="12.75" customHeight="1">
      <c r="A22" s="28" t="s">
        <v>31</v>
      </c>
      <c r="C22" s="28" t="s">
        <v>27</v>
      </c>
      <c r="E22" s="45">
        <v>4535489</v>
      </c>
      <c r="F22" s="45"/>
      <c r="G22" s="45">
        <v>4269851</v>
      </c>
      <c r="H22" s="45"/>
      <c r="I22" s="45">
        <v>462321</v>
      </c>
      <c r="J22" s="45"/>
      <c r="K22" s="45">
        <v>51170</v>
      </c>
      <c r="L22" s="45"/>
      <c r="M22" s="45">
        <v>1569035</v>
      </c>
      <c r="N22" s="45"/>
      <c r="O22" s="45">
        <v>222575</v>
      </c>
      <c r="P22" s="45"/>
      <c r="Q22" s="45">
        <v>597522</v>
      </c>
      <c r="R22" s="45"/>
      <c r="S22" s="45">
        <v>0</v>
      </c>
      <c r="T22" s="45"/>
      <c r="U22" s="45">
        <v>0</v>
      </c>
      <c r="V22" s="45"/>
      <c r="W22" s="45">
        <v>6950</v>
      </c>
      <c r="X22" s="45"/>
      <c r="Y22" s="45">
        <v>9246</v>
      </c>
      <c r="Z22" s="44"/>
      <c r="AA22" s="45">
        <v>0</v>
      </c>
      <c r="AB22" s="44"/>
      <c r="AC22" s="45">
        <f t="shared" si="0"/>
        <v>11724159</v>
      </c>
      <c r="AD22" s="45"/>
      <c r="AE22" s="48">
        <v>0</v>
      </c>
      <c r="AF22" s="48"/>
      <c r="AG22" s="45">
        <v>5733350</v>
      </c>
      <c r="AH22" s="45"/>
      <c r="AI22" s="45">
        <v>10832296</v>
      </c>
      <c r="AJ22" s="45"/>
      <c r="AK22" s="45">
        <v>0</v>
      </c>
      <c r="AL22" s="45"/>
      <c r="AM22" s="45">
        <f>+'Gen rev'!U22-'Gen exp'!AC22-AG22+'Gen rev'!W22+AI22+AK22-'Gen Bal'!S22-'Gen exp'!AE22</f>
        <v>0</v>
      </c>
      <c r="AN22" s="45"/>
      <c r="AO22" s="45"/>
      <c r="AP22" s="45"/>
      <c r="AQ22" s="45"/>
      <c r="AR22" s="52"/>
      <c r="AS22" s="50"/>
    </row>
    <row r="23" spans="1:45" s="49" customFormat="1" ht="12.75" customHeight="1">
      <c r="A23" s="28" t="s">
        <v>32</v>
      </c>
      <c r="C23" s="28" t="s">
        <v>27</v>
      </c>
      <c r="E23" s="45">
        <v>3969476</v>
      </c>
      <c r="F23" s="45"/>
      <c r="G23" s="45">
        <v>6643112</v>
      </c>
      <c r="H23" s="45"/>
      <c r="I23" s="45">
        <v>327473</v>
      </c>
      <c r="J23" s="45"/>
      <c r="K23" s="45">
        <v>411908</v>
      </c>
      <c r="L23" s="45"/>
      <c r="M23" s="45">
        <v>22583</v>
      </c>
      <c r="N23" s="45"/>
      <c r="O23" s="45">
        <v>1409534</v>
      </c>
      <c r="P23" s="45"/>
      <c r="Q23" s="45">
        <v>629455</v>
      </c>
      <c r="R23" s="45"/>
      <c r="S23" s="45">
        <v>137015</v>
      </c>
      <c r="T23" s="45"/>
      <c r="U23" s="45">
        <v>0</v>
      </c>
      <c r="V23" s="45"/>
      <c r="W23" s="45">
        <v>0</v>
      </c>
      <c r="X23" s="45"/>
      <c r="Y23" s="45">
        <v>0</v>
      </c>
      <c r="Z23" s="44"/>
      <c r="AA23" s="45">
        <v>0</v>
      </c>
      <c r="AB23" s="44"/>
      <c r="AC23" s="45">
        <f t="shared" si="0"/>
        <v>13550556</v>
      </c>
      <c r="AD23" s="45"/>
      <c r="AE23" s="48">
        <v>0</v>
      </c>
      <c r="AF23" s="48"/>
      <c r="AG23" s="45">
        <v>2585000</v>
      </c>
      <c r="AH23" s="45"/>
      <c r="AI23" s="45">
        <v>5466936</v>
      </c>
      <c r="AJ23" s="45"/>
      <c r="AK23" s="45">
        <v>0</v>
      </c>
      <c r="AL23" s="45"/>
      <c r="AM23" s="45">
        <f>+'Gen rev'!U23-'Gen exp'!AC23-AG23+'Gen rev'!W23+AI23+AK23-'Gen Bal'!S23-'Gen exp'!AE23</f>
        <v>0</v>
      </c>
      <c r="AN23" s="44"/>
      <c r="AO23" s="44"/>
      <c r="AP23" s="44"/>
      <c r="AQ23" s="44"/>
    </row>
    <row r="24" spans="1:45" s="130" customFormat="1" ht="12.75" hidden="1" customHeight="1">
      <c r="A24" s="131" t="s">
        <v>34</v>
      </c>
      <c r="C24" s="131" t="s">
        <v>30</v>
      </c>
      <c r="E24" s="125">
        <v>0</v>
      </c>
      <c r="F24" s="125"/>
      <c r="G24" s="125">
        <v>0</v>
      </c>
      <c r="H24" s="125"/>
      <c r="I24" s="125">
        <v>0</v>
      </c>
      <c r="J24" s="125"/>
      <c r="K24" s="125">
        <v>0</v>
      </c>
      <c r="L24" s="125"/>
      <c r="M24" s="125">
        <v>0</v>
      </c>
      <c r="N24" s="125"/>
      <c r="O24" s="125">
        <v>0</v>
      </c>
      <c r="P24" s="125"/>
      <c r="Q24" s="125">
        <v>0</v>
      </c>
      <c r="R24" s="125"/>
      <c r="S24" s="125">
        <v>0</v>
      </c>
      <c r="T24" s="125"/>
      <c r="U24" s="125">
        <v>0</v>
      </c>
      <c r="V24" s="125"/>
      <c r="W24" s="125">
        <v>0</v>
      </c>
      <c r="X24" s="125"/>
      <c r="Y24" s="125">
        <v>0</v>
      </c>
      <c r="Z24" s="122"/>
      <c r="AA24" s="125">
        <v>0</v>
      </c>
      <c r="AB24" s="122"/>
      <c r="AC24" s="125">
        <f t="shared" si="0"/>
        <v>0</v>
      </c>
      <c r="AD24" s="125"/>
      <c r="AE24" s="123">
        <v>0</v>
      </c>
      <c r="AF24" s="123"/>
      <c r="AG24" s="125">
        <v>0</v>
      </c>
      <c r="AH24" s="125"/>
      <c r="AI24" s="125">
        <v>0</v>
      </c>
      <c r="AJ24" s="125"/>
      <c r="AK24" s="125">
        <v>0</v>
      </c>
      <c r="AL24" s="125"/>
      <c r="AM24" s="125">
        <f>+'Gen rev'!U24-'Gen exp'!AC24-AG24+'Gen rev'!W24+AI24+AK24-'Gen Bal'!S24-'Gen exp'!AE24</f>
        <v>0</v>
      </c>
      <c r="AN24" s="122"/>
      <c r="AO24" s="122"/>
      <c r="AP24" s="122"/>
      <c r="AQ24" s="122"/>
    </row>
    <row r="25" spans="1:45" s="49" customFormat="1" ht="12.75" customHeight="1">
      <c r="A25" s="28" t="s">
        <v>35</v>
      </c>
      <c r="C25" s="28" t="s">
        <v>36</v>
      </c>
      <c r="E25" s="45">
        <f>1371488+510492</f>
        <v>1881980</v>
      </c>
      <c r="F25" s="45"/>
      <c r="G25" s="45">
        <f>3413754+234871</f>
        <v>3648625</v>
      </c>
      <c r="H25" s="45"/>
      <c r="I25" s="45">
        <v>48790</v>
      </c>
      <c r="J25" s="45"/>
      <c r="K25" s="45">
        <v>20000</v>
      </c>
      <c r="L25" s="45"/>
      <c r="M25" s="45">
        <v>403945</v>
      </c>
      <c r="N25" s="45"/>
      <c r="O25" s="45">
        <v>0</v>
      </c>
      <c r="P25" s="45"/>
      <c r="Q25" s="45">
        <v>0</v>
      </c>
      <c r="R25" s="45"/>
      <c r="S25" s="45">
        <v>104665</v>
      </c>
      <c r="T25" s="45"/>
      <c r="U25" s="45">
        <v>0</v>
      </c>
      <c r="V25" s="45"/>
      <c r="W25" s="45">
        <v>0</v>
      </c>
      <c r="X25" s="45"/>
      <c r="Y25" s="45">
        <v>0</v>
      </c>
      <c r="Z25" s="44"/>
      <c r="AA25" s="45">
        <v>0</v>
      </c>
      <c r="AB25" s="44"/>
      <c r="AC25" s="45">
        <f t="shared" si="0"/>
        <v>6108005</v>
      </c>
      <c r="AD25" s="45"/>
      <c r="AE25" s="48">
        <v>0</v>
      </c>
      <c r="AF25" s="48"/>
      <c r="AG25" s="45">
        <v>1023209</v>
      </c>
      <c r="AH25" s="45"/>
      <c r="AI25" s="45">
        <v>2729860</v>
      </c>
      <c r="AJ25" s="45"/>
      <c r="AK25" s="45">
        <v>0</v>
      </c>
      <c r="AL25" s="45"/>
      <c r="AM25" s="45">
        <f>+'Gen rev'!U25-'Gen exp'!AC25-AG25+'Gen rev'!W25+AI25+AK25-'Gen Bal'!S25-'Gen exp'!AE25</f>
        <v>0</v>
      </c>
      <c r="AN25" s="44"/>
      <c r="AO25" s="44"/>
      <c r="AP25" s="44"/>
      <c r="AQ25" s="44"/>
    </row>
    <row r="26" spans="1:45" s="49" customFormat="1" ht="12.75" customHeight="1">
      <c r="A26" s="28" t="s">
        <v>37</v>
      </c>
      <c r="C26" s="28" t="s">
        <v>38</v>
      </c>
      <c r="E26" s="45">
        <f>1567895+251572</f>
        <v>1819467</v>
      </c>
      <c r="F26" s="45"/>
      <c r="G26" s="45">
        <v>2135899</v>
      </c>
      <c r="H26" s="45"/>
      <c r="I26" s="45">
        <v>183988</v>
      </c>
      <c r="J26" s="45"/>
      <c r="K26" s="45">
        <v>0</v>
      </c>
      <c r="L26" s="45"/>
      <c r="M26" s="45">
        <v>0</v>
      </c>
      <c r="N26" s="45"/>
      <c r="O26" s="45">
        <v>0</v>
      </c>
      <c r="P26" s="45"/>
      <c r="Q26" s="45">
        <v>0</v>
      </c>
      <c r="R26" s="45"/>
      <c r="S26" s="45">
        <v>0</v>
      </c>
      <c r="T26" s="45"/>
      <c r="U26" s="45">
        <v>0</v>
      </c>
      <c r="V26" s="45"/>
      <c r="W26" s="45">
        <v>0</v>
      </c>
      <c r="X26" s="45"/>
      <c r="Y26" s="45">
        <v>0</v>
      </c>
      <c r="Z26" s="44"/>
      <c r="AA26" s="45">
        <v>0</v>
      </c>
      <c r="AB26" s="44"/>
      <c r="AC26" s="45">
        <f t="shared" si="0"/>
        <v>4139354</v>
      </c>
      <c r="AD26" s="45"/>
      <c r="AE26" s="48">
        <v>0</v>
      </c>
      <c r="AF26" s="48"/>
      <c r="AG26" s="45">
        <v>854985</v>
      </c>
      <c r="AH26" s="45"/>
      <c r="AI26" s="45">
        <v>2178589</v>
      </c>
      <c r="AJ26" s="45"/>
      <c r="AK26" s="45">
        <v>0</v>
      </c>
      <c r="AL26" s="45"/>
      <c r="AM26" s="45">
        <f>+'Gen rev'!U26-'Gen exp'!AC26-AG26+'Gen rev'!W26+AI26+AK26-'Gen Bal'!S26-'Gen exp'!AE26</f>
        <v>0</v>
      </c>
      <c r="AN26" s="44"/>
      <c r="AO26" s="44"/>
      <c r="AP26" s="44"/>
      <c r="AQ26" s="44"/>
    </row>
    <row r="27" spans="1:45" s="49" customFormat="1" ht="12.75" customHeight="1">
      <c r="A27" s="28" t="s">
        <v>39</v>
      </c>
      <c r="C27" s="28" t="s">
        <v>40</v>
      </c>
      <c r="E27" s="45">
        <v>562162</v>
      </c>
      <c r="F27" s="45"/>
      <c r="G27" s="45">
        <f>904186+148568</f>
        <v>1052754</v>
      </c>
      <c r="H27" s="45"/>
      <c r="I27" s="45">
        <v>0</v>
      </c>
      <c r="J27" s="45"/>
      <c r="K27" s="45">
        <v>34688</v>
      </c>
      <c r="L27" s="45"/>
      <c r="M27" s="45">
        <v>58328</v>
      </c>
      <c r="N27" s="45"/>
      <c r="O27" s="45">
        <v>27449</v>
      </c>
      <c r="P27" s="45"/>
      <c r="Q27" s="45">
        <v>0</v>
      </c>
      <c r="R27" s="45"/>
      <c r="S27" s="45">
        <v>127854</v>
      </c>
      <c r="T27" s="45"/>
      <c r="U27" s="45">
        <v>0</v>
      </c>
      <c r="V27" s="45"/>
      <c r="W27" s="45">
        <v>26316</v>
      </c>
      <c r="X27" s="45"/>
      <c r="Y27" s="45">
        <v>3881</v>
      </c>
      <c r="Z27" s="44"/>
      <c r="AA27" s="45">
        <v>0</v>
      </c>
      <c r="AB27" s="44"/>
      <c r="AC27" s="45">
        <f t="shared" si="0"/>
        <v>1893432</v>
      </c>
      <c r="AD27" s="45"/>
      <c r="AE27" s="48">
        <v>0</v>
      </c>
      <c r="AF27" s="48"/>
      <c r="AG27" s="45">
        <v>49000</v>
      </c>
      <c r="AH27" s="45"/>
      <c r="AI27" s="45">
        <v>955996</v>
      </c>
      <c r="AJ27" s="45"/>
      <c r="AK27" s="45">
        <v>16</v>
      </c>
      <c r="AL27" s="45"/>
      <c r="AM27" s="45">
        <f>+'Gen rev'!U27-'Gen exp'!AC27-AG27+'Gen rev'!W27+AI27+AK27-'Gen Bal'!S27-'Gen exp'!AE27</f>
        <v>0</v>
      </c>
      <c r="AN27" s="44"/>
      <c r="AO27" s="44"/>
      <c r="AP27" s="44"/>
      <c r="AQ27" s="44"/>
    </row>
    <row r="28" spans="1:45" s="49" customFormat="1" ht="12.75" customHeight="1">
      <c r="A28" s="28" t="s">
        <v>41</v>
      </c>
      <c r="C28" s="28" t="s">
        <v>27</v>
      </c>
      <c r="E28" s="45">
        <v>7058868</v>
      </c>
      <c r="F28" s="45"/>
      <c r="G28" s="45">
        <v>4879090</v>
      </c>
      <c r="H28" s="45"/>
      <c r="I28" s="45">
        <v>547564</v>
      </c>
      <c r="J28" s="45"/>
      <c r="K28" s="45">
        <v>0</v>
      </c>
      <c r="L28" s="45"/>
      <c r="M28" s="45">
        <v>0</v>
      </c>
      <c r="N28" s="45"/>
      <c r="O28" s="45">
        <v>741228</v>
      </c>
      <c r="P28" s="45"/>
      <c r="Q28" s="45">
        <v>1238342</v>
      </c>
      <c r="R28" s="45"/>
      <c r="S28" s="45">
        <v>0</v>
      </c>
      <c r="T28" s="45"/>
      <c r="U28" s="45">
        <v>0</v>
      </c>
      <c r="V28" s="45"/>
      <c r="W28" s="45">
        <v>0</v>
      </c>
      <c r="X28" s="45"/>
      <c r="Y28" s="45">
        <v>0</v>
      </c>
      <c r="Z28" s="44"/>
      <c r="AA28" s="45">
        <v>0</v>
      </c>
      <c r="AB28" s="44"/>
      <c r="AC28" s="45">
        <f t="shared" si="0"/>
        <v>14465092</v>
      </c>
      <c r="AD28" s="45"/>
      <c r="AE28" s="48">
        <v>0</v>
      </c>
      <c r="AF28" s="48"/>
      <c r="AG28" s="45">
        <v>416000</v>
      </c>
      <c r="AH28" s="45"/>
      <c r="AI28" s="45">
        <v>2027109</v>
      </c>
      <c r="AJ28" s="45"/>
      <c r="AK28" s="45">
        <v>0</v>
      </c>
      <c r="AL28" s="45"/>
      <c r="AM28" s="45">
        <f>+'Gen rev'!U28-'Gen exp'!AC28-AG28+'Gen rev'!W28+AI28+AK28-'Gen Bal'!S28-'Gen exp'!AE28</f>
        <v>0</v>
      </c>
      <c r="AN28" s="44"/>
      <c r="AO28" s="44"/>
      <c r="AP28" s="44"/>
      <c r="AQ28" s="44"/>
    </row>
    <row r="29" spans="1:45" s="49" customFormat="1" ht="12.75" customHeight="1">
      <c r="A29" s="28" t="s">
        <v>42</v>
      </c>
      <c r="C29" s="28" t="s">
        <v>43</v>
      </c>
      <c r="E29" s="45">
        <v>3467240</v>
      </c>
      <c r="F29" s="45"/>
      <c r="G29" s="45">
        <v>4225624</v>
      </c>
      <c r="H29" s="45"/>
      <c r="I29" s="45">
        <v>361274</v>
      </c>
      <c r="J29" s="45"/>
      <c r="K29" s="45">
        <v>78449</v>
      </c>
      <c r="L29" s="45"/>
      <c r="M29" s="45">
        <v>0</v>
      </c>
      <c r="N29" s="45"/>
      <c r="O29" s="45">
        <v>255217</v>
      </c>
      <c r="P29" s="45"/>
      <c r="Q29" s="45">
        <v>0</v>
      </c>
      <c r="R29" s="45"/>
      <c r="S29" s="45">
        <v>58888</v>
      </c>
      <c r="T29" s="45"/>
      <c r="U29" s="45">
        <v>0</v>
      </c>
      <c r="V29" s="45"/>
      <c r="W29" s="45">
        <v>21676</v>
      </c>
      <c r="X29" s="45"/>
      <c r="Y29" s="45">
        <v>2214</v>
      </c>
      <c r="Z29" s="44"/>
      <c r="AA29" s="45">
        <v>6295</v>
      </c>
      <c r="AB29" s="44"/>
      <c r="AC29" s="45">
        <f t="shared" si="0"/>
        <v>8476877</v>
      </c>
      <c r="AD29" s="45"/>
      <c r="AE29" s="48">
        <v>0</v>
      </c>
      <c r="AF29" s="48"/>
      <c r="AG29" s="45">
        <v>1346567</v>
      </c>
      <c r="AH29" s="45"/>
      <c r="AI29" s="45">
        <v>6878922</v>
      </c>
      <c r="AJ29" s="45"/>
      <c r="AK29" s="45">
        <v>0</v>
      </c>
      <c r="AL29" s="45"/>
      <c r="AM29" s="45">
        <f>+'Gen rev'!U29-'Gen exp'!AC29-AG29+'Gen rev'!W29+AI29+AK29-'Gen Bal'!S29-'Gen exp'!AE29</f>
        <v>0</v>
      </c>
      <c r="AN29" s="44"/>
      <c r="AO29" s="44"/>
      <c r="AP29" s="44"/>
      <c r="AQ29" s="44"/>
    </row>
    <row r="30" spans="1:45" s="49" customFormat="1" ht="12.75" customHeight="1">
      <c r="A30" s="28" t="s">
        <v>44</v>
      </c>
      <c r="C30" s="28" t="s">
        <v>45</v>
      </c>
      <c r="E30" s="45">
        <v>5700274</v>
      </c>
      <c r="F30" s="45"/>
      <c r="G30" s="45">
        <v>11188825</v>
      </c>
      <c r="H30" s="45"/>
      <c r="I30" s="45">
        <v>944529</v>
      </c>
      <c r="J30" s="45"/>
      <c r="K30" s="45">
        <v>0</v>
      </c>
      <c r="L30" s="45"/>
      <c r="M30" s="45">
        <v>0</v>
      </c>
      <c r="N30" s="45"/>
      <c r="O30" s="45">
        <v>0</v>
      </c>
      <c r="P30" s="45"/>
      <c r="Q30" s="45">
        <v>2390755</v>
      </c>
      <c r="R30" s="45"/>
      <c r="S30" s="45">
        <v>0</v>
      </c>
      <c r="T30" s="45"/>
      <c r="U30" s="45">
        <v>0</v>
      </c>
      <c r="V30" s="45"/>
      <c r="W30" s="45">
        <v>0</v>
      </c>
      <c r="X30" s="45"/>
      <c r="Y30" s="45">
        <v>0</v>
      </c>
      <c r="Z30" s="44"/>
      <c r="AA30" s="45">
        <v>0</v>
      </c>
      <c r="AB30" s="44"/>
      <c r="AC30" s="45">
        <f t="shared" si="0"/>
        <v>20224383</v>
      </c>
      <c r="AD30" s="45"/>
      <c r="AE30" s="48">
        <v>0</v>
      </c>
      <c r="AF30" s="48"/>
      <c r="AG30" s="45">
        <v>10952491</v>
      </c>
      <c r="AH30" s="45"/>
      <c r="AI30" s="45">
        <v>11299242</v>
      </c>
      <c r="AJ30" s="45"/>
      <c r="AK30" s="45">
        <v>7775</v>
      </c>
      <c r="AL30" s="45"/>
      <c r="AM30" s="45">
        <f>+'Gen rev'!U30-'Gen exp'!AC30-AG30+'Gen rev'!W30+AI30+AK30-'Gen Bal'!S30-'Gen exp'!AE30</f>
        <v>0</v>
      </c>
      <c r="AN30" s="44"/>
      <c r="AO30" s="44"/>
      <c r="AP30" s="44"/>
      <c r="AQ30" s="44"/>
    </row>
    <row r="31" spans="1:45" s="49" customFormat="1" ht="12.75" customHeight="1">
      <c r="A31" s="28" t="s">
        <v>46</v>
      </c>
      <c r="C31" s="28" t="s">
        <v>47</v>
      </c>
      <c r="E31" s="45">
        <f>3225546+1479312</f>
        <v>4704858</v>
      </c>
      <c r="F31" s="45"/>
      <c r="G31" s="45">
        <f>121221+2588085+3895432</f>
        <v>6604738</v>
      </c>
      <c r="H31" s="45"/>
      <c r="I31" s="45">
        <v>692565</v>
      </c>
      <c r="J31" s="45"/>
      <c r="K31" s="45">
        <v>75765</v>
      </c>
      <c r="L31" s="45"/>
      <c r="M31" s="45">
        <v>2525639</v>
      </c>
      <c r="N31" s="45"/>
      <c r="O31" s="45">
        <v>0</v>
      </c>
      <c r="P31" s="45"/>
      <c r="Q31" s="45">
        <v>632974</v>
      </c>
      <c r="R31" s="45"/>
      <c r="S31" s="45">
        <v>0</v>
      </c>
      <c r="T31" s="45"/>
      <c r="U31" s="45">
        <v>0</v>
      </c>
      <c r="V31" s="45"/>
      <c r="W31" s="45">
        <v>0</v>
      </c>
      <c r="X31" s="45"/>
      <c r="Y31" s="45">
        <v>0</v>
      </c>
      <c r="Z31" s="44"/>
      <c r="AA31" s="45">
        <v>0</v>
      </c>
      <c r="AB31" s="44"/>
      <c r="AC31" s="45">
        <f t="shared" si="0"/>
        <v>15236539</v>
      </c>
      <c r="AD31" s="45"/>
      <c r="AE31" s="48">
        <v>0</v>
      </c>
      <c r="AF31" s="48"/>
      <c r="AG31" s="45">
        <v>1802268</v>
      </c>
      <c r="AH31" s="45"/>
      <c r="AI31" s="45">
        <v>5776173</v>
      </c>
      <c r="AJ31" s="45"/>
      <c r="AK31" s="45">
        <v>0</v>
      </c>
      <c r="AL31" s="45"/>
      <c r="AM31" s="45">
        <f>+'Gen rev'!U31-'Gen exp'!AC31-AG31+'Gen rev'!W31+AI31+AK31-'Gen Bal'!S31-'Gen exp'!AE31</f>
        <v>0</v>
      </c>
      <c r="AN31" s="45"/>
      <c r="AO31" s="45"/>
      <c r="AP31" s="45"/>
      <c r="AQ31" s="45"/>
      <c r="AR31" s="52"/>
      <c r="AS31" s="50"/>
    </row>
    <row r="32" spans="1:45" s="49" customFormat="1" ht="12.75" customHeight="1">
      <c r="A32" s="28" t="s">
        <v>48</v>
      </c>
      <c r="C32" s="28" t="s">
        <v>27</v>
      </c>
      <c r="E32" s="45">
        <f>5445610+188321</f>
        <v>5633931</v>
      </c>
      <c r="F32" s="45"/>
      <c r="G32" s="45">
        <f>3822868+34901</f>
        <v>3857769</v>
      </c>
      <c r="H32" s="45"/>
      <c r="I32" s="45">
        <v>810936</v>
      </c>
      <c r="J32" s="45"/>
      <c r="K32" s="45">
        <v>137731</v>
      </c>
      <c r="L32" s="45"/>
      <c r="M32" s="45">
        <v>2077991</v>
      </c>
      <c r="N32" s="45"/>
      <c r="O32" s="45">
        <v>21823</v>
      </c>
      <c r="P32" s="45"/>
      <c r="Q32" s="45">
        <v>1911697</v>
      </c>
      <c r="R32" s="45"/>
      <c r="S32" s="45">
        <v>0</v>
      </c>
      <c r="T32" s="45"/>
      <c r="U32" s="45">
        <v>0</v>
      </c>
      <c r="V32" s="45"/>
      <c r="W32" s="45">
        <v>0</v>
      </c>
      <c r="X32" s="45"/>
      <c r="Y32" s="45">
        <v>0</v>
      </c>
      <c r="Z32" s="44"/>
      <c r="AA32" s="45">
        <v>0</v>
      </c>
      <c r="AB32" s="44"/>
      <c r="AC32" s="45">
        <f t="shared" si="0"/>
        <v>14451878</v>
      </c>
      <c r="AD32" s="45"/>
      <c r="AE32" s="48">
        <v>0</v>
      </c>
      <c r="AF32" s="48"/>
      <c r="AG32" s="45">
        <v>3950000</v>
      </c>
      <c r="AH32" s="45"/>
      <c r="AI32" s="45">
        <v>7993874</v>
      </c>
      <c r="AJ32" s="45"/>
      <c r="AK32" s="45">
        <v>0</v>
      </c>
      <c r="AL32" s="45"/>
      <c r="AM32" s="45">
        <f>+'Gen rev'!U32-'Gen exp'!AC32-AG32+'Gen rev'!W32+AI32+AK32-'Gen Bal'!S32-'Gen exp'!AE32</f>
        <v>0</v>
      </c>
      <c r="AN32" s="45"/>
      <c r="AO32" s="45"/>
      <c r="AP32" s="45"/>
      <c r="AQ32" s="45"/>
      <c r="AR32" s="52"/>
      <c r="AS32" s="50"/>
    </row>
    <row r="33" spans="1:45" s="49" customFormat="1" ht="12.75" customHeight="1">
      <c r="A33" s="28" t="s">
        <v>49</v>
      </c>
      <c r="C33" s="28" t="s">
        <v>27</v>
      </c>
      <c r="E33" s="45">
        <v>4585325</v>
      </c>
      <c r="F33" s="45"/>
      <c r="G33" s="45">
        <v>3736229</v>
      </c>
      <c r="H33" s="45"/>
      <c r="I33" s="45">
        <v>395280</v>
      </c>
      <c r="J33" s="45"/>
      <c r="K33" s="45">
        <v>348658</v>
      </c>
      <c r="L33" s="45"/>
      <c r="M33" s="45">
        <v>751025</v>
      </c>
      <c r="N33" s="45"/>
      <c r="O33" s="45">
        <v>272841</v>
      </c>
      <c r="P33" s="45"/>
      <c r="Q33" s="45">
        <v>847867</v>
      </c>
      <c r="R33" s="45"/>
      <c r="S33" s="45">
        <v>0</v>
      </c>
      <c r="T33" s="45"/>
      <c r="U33" s="45">
        <v>0</v>
      </c>
      <c r="V33" s="45"/>
      <c r="W33" s="45">
        <v>150000</v>
      </c>
      <c r="X33" s="45"/>
      <c r="Y33" s="45">
        <v>118341</v>
      </c>
      <c r="Z33" s="44"/>
      <c r="AA33" s="45">
        <v>0</v>
      </c>
      <c r="AB33" s="44"/>
      <c r="AC33" s="45">
        <f t="shared" si="0"/>
        <v>11205566</v>
      </c>
      <c r="AD33" s="45"/>
      <c r="AE33" s="48">
        <v>0</v>
      </c>
      <c r="AF33" s="48"/>
      <c r="AG33" s="45">
        <v>0</v>
      </c>
      <c r="AH33" s="45"/>
      <c r="AI33" s="45">
        <v>2644619</v>
      </c>
      <c r="AJ33" s="45"/>
      <c r="AK33" s="45">
        <v>0</v>
      </c>
      <c r="AL33" s="45"/>
      <c r="AM33" s="45">
        <f>+'Gen rev'!U33-'Gen exp'!AC33-AG33+'Gen rev'!W33+AI33+AK33-'Gen Bal'!S33-'Gen exp'!AE33</f>
        <v>0</v>
      </c>
      <c r="AN33" s="44"/>
      <c r="AO33" s="44"/>
      <c r="AP33" s="44"/>
      <c r="AQ33" s="44"/>
    </row>
    <row r="34" spans="1:45" s="49" customFormat="1" ht="12.75" customHeight="1">
      <c r="A34" s="28" t="s">
        <v>50</v>
      </c>
      <c r="C34" s="28" t="s">
        <v>27</v>
      </c>
      <c r="E34" s="45">
        <v>4700701</v>
      </c>
      <c r="F34" s="45"/>
      <c r="G34" s="45">
        <v>10104609</v>
      </c>
      <c r="H34" s="45"/>
      <c r="I34" s="45">
        <v>982303</v>
      </c>
      <c r="J34" s="45"/>
      <c r="K34" s="45">
        <v>324361</v>
      </c>
      <c r="L34" s="45"/>
      <c r="M34" s="45">
        <v>812505</v>
      </c>
      <c r="N34" s="45"/>
      <c r="O34" s="45">
        <v>2332917</v>
      </c>
      <c r="P34" s="45"/>
      <c r="Q34" s="45">
        <v>3789556</v>
      </c>
      <c r="R34" s="45"/>
      <c r="S34" s="45">
        <v>0</v>
      </c>
      <c r="T34" s="45"/>
      <c r="U34" s="45">
        <v>0</v>
      </c>
      <c r="V34" s="45"/>
      <c r="W34" s="45">
        <v>0</v>
      </c>
      <c r="X34" s="45"/>
      <c r="Y34" s="45">
        <v>0</v>
      </c>
      <c r="Z34" s="44"/>
      <c r="AA34" s="45">
        <v>0</v>
      </c>
      <c r="AB34" s="44"/>
      <c r="AC34" s="45">
        <f t="shared" si="0"/>
        <v>23046952</v>
      </c>
      <c r="AD34" s="45"/>
      <c r="AE34" s="48">
        <v>0</v>
      </c>
      <c r="AF34" s="48"/>
      <c r="AG34" s="45">
        <v>2412000</v>
      </c>
      <c r="AH34" s="45"/>
      <c r="AI34" s="45">
        <v>11528620</v>
      </c>
      <c r="AJ34" s="45"/>
      <c r="AK34" s="45">
        <v>0</v>
      </c>
      <c r="AL34" s="45"/>
      <c r="AM34" s="45">
        <f>+'Gen rev'!U34-'Gen exp'!AC34-AG34+'Gen rev'!W34+AI34+AK34-'Gen Bal'!S34-'Gen exp'!AE34</f>
        <v>0</v>
      </c>
      <c r="AN34" s="45"/>
      <c r="AO34" s="45"/>
      <c r="AP34" s="45"/>
      <c r="AQ34" s="45"/>
      <c r="AR34" s="52"/>
      <c r="AS34" s="50"/>
    </row>
    <row r="35" spans="1:45" s="49" customFormat="1" ht="12.75" customHeight="1">
      <c r="A35" s="28" t="s">
        <v>51</v>
      </c>
      <c r="C35" s="28" t="s">
        <v>27</v>
      </c>
      <c r="E35" s="45">
        <v>1733601</v>
      </c>
      <c r="F35" s="45"/>
      <c r="G35" s="45">
        <v>6945667</v>
      </c>
      <c r="H35" s="45"/>
      <c r="I35" s="45">
        <v>1579859</v>
      </c>
      <c r="J35" s="45"/>
      <c r="K35" s="45">
        <v>0</v>
      </c>
      <c r="L35" s="45"/>
      <c r="M35" s="45">
        <v>0</v>
      </c>
      <c r="N35" s="45"/>
      <c r="O35" s="45">
        <v>2071857</v>
      </c>
      <c r="P35" s="45"/>
      <c r="Q35" s="45">
        <v>2744654</v>
      </c>
      <c r="R35" s="45"/>
      <c r="S35" s="45">
        <v>0</v>
      </c>
      <c r="T35" s="45"/>
      <c r="U35" s="45">
        <v>0</v>
      </c>
      <c r="V35" s="45"/>
      <c r="W35" s="45">
        <v>4630</v>
      </c>
      <c r="X35" s="45"/>
      <c r="Y35" s="45">
        <v>193</v>
      </c>
      <c r="Z35" s="44"/>
      <c r="AA35" s="45">
        <v>0</v>
      </c>
      <c r="AB35" s="44"/>
      <c r="AC35" s="45">
        <f t="shared" si="0"/>
        <v>15080461</v>
      </c>
      <c r="AD35" s="45"/>
      <c r="AE35" s="48">
        <v>0</v>
      </c>
      <c r="AF35" s="48"/>
      <c r="AG35" s="45">
        <v>521438</v>
      </c>
      <c r="AH35" s="45"/>
      <c r="AI35" s="45">
        <v>7124650</v>
      </c>
      <c r="AJ35" s="45"/>
      <c r="AK35" s="45">
        <v>0</v>
      </c>
      <c r="AL35" s="45"/>
      <c r="AM35" s="45">
        <f>+'Gen rev'!U35-'Gen exp'!AC35-AG35+'Gen rev'!W35+AI35+AK35-'Gen Bal'!S35-'Gen exp'!AE35</f>
        <v>0</v>
      </c>
      <c r="AN35" s="45"/>
      <c r="AO35" s="45"/>
      <c r="AP35" s="45"/>
      <c r="AQ35" s="45"/>
      <c r="AR35" s="52"/>
      <c r="AS35" s="50"/>
    </row>
    <row r="36" spans="1:45" s="49" customFormat="1" ht="12.75" customHeight="1">
      <c r="A36" s="64" t="s">
        <v>463</v>
      </c>
      <c r="B36" s="46"/>
      <c r="C36" s="64" t="s">
        <v>66</v>
      </c>
      <c r="D36" s="46"/>
      <c r="E36" s="45">
        <v>853557</v>
      </c>
      <c r="F36" s="45"/>
      <c r="G36" s="45">
        <v>1788907</v>
      </c>
      <c r="H36" s="45"/>
      <c r="I36" s="45">
        <v>0</v>
      </c>
      <c r="J36" s="45"/>
      <c r="K36" s="45">
        <v>0</v>
      </c>
      <c r="L36" s="45"/>
      <c r="M36" s="45">
        <v>0</v>
      </c>
      <c r="N36" s="45"/>
      <c r="O36" s="45">
        <v>0</v>
      </c>
      <c r="P36" s="45"/>
      <c r="Q36" s="45">
        <v>0</v>
      </c>
      <c r="R36" s="45"/>
      <c r="S36" s="45">
        <v>255966</v>
      </c>
      <c r="T36" s="45"/>
      <c r="U36" s="45">
        <v>0</v>
      </c>
      <c r="V36" s="45"/>
      <c r="W36" s="45">
        <v>88016</v>
      </c>
      <c r="X36" s="45"/>
      <c r="Y36" s="45">
        <v>1481</v>
      </c>
      <c r="Z36" s="44"/>
      <c r="AA36" s="45">
        <v>0</v>
      </c>
      <c r="AB36" s="44"/>
      <c r="AC36" s="45">
        <f t="shared" si="0"/>
        <v>2987927</v>
      </c>
      <c r="AD36" s="45"/>
      <c r="AE36" s="48">
        <v>0</v>
      </c>
      <c r="AF36" s="48"/>
      <c r="AG36" s="45">
        <v>687500</v>
      </c>
      <c r="AH36" s="45"/>
      <c r="AI36" s="45">
        <v>1004656</v>
      </c>
      <c r="AJ36" s="45"/>
      <c r="AK36" s="45">
        <v>0</v>
      </c>
      <c r="AL36" s="45"/>
      <c r="AM36" s="45">
        <f>+'Gen rev'!U36-'Gen exp'!AC36-AG36+'Gen rev'!W36+AI36+AK36-'Gen Bal'!S36-'Gen exp'!AE36</f>
        <v>0</v>
      </c>
      <c r="AN36" s="45"/>
      <c r="AO36" s="45"/>
      <c r="AP36" s="45"/>
      <c r="AQ36" s="45"/>
      <c r="AR36" s="52"/>
      <c r="AS36" s="50"/>
    </row>
    <row r="37" spans="1:45" s="49" customFormat="1" ht="12.75" customHeight="1">
      <c r="A37" s="28" t="s">
        <v>52</v>
      </c>
      <c r="C37" s="28" t="s">
        <v>53</v>
      </c>
      <c r="E37" s="45">
        <v>3475459</v>
      </c>
      <c r="F37" s="45"/>
      <c r="G37" s="45">
        <v>4777952</v>
      </c>
      <c r="H37" s="45"/>
      <c r="I37" s="45">
        <v>952723</v>
      </c>
      <c r="J37" s="45"/>
      <c r="K37" s="45">
        <v>6725</v>
      </c>
      <c r="L37" s="45"/>
      <c r="M37" s="45">
        <v>0</v>
      </c>
      <c r="N37" s="45"/>
      <c r="O37" s="45">
        <v>303100</v>
      </c>
      <c r="P37" s="45"/>
      <c r="Q37" s="45">
        <v>0</v>
      </c>
      <c r="R37" s="45"/>
      <c r="S37" s="45">
        <v>0</v>
      </c>
      <c r="T37" s="45"/>
      <c r="U37" s="45">
        <v>0</v>
      </c>
      <c r="V37" s="45"/>
      <c r="W37" s="45">
        <v>0</v>
      </c>
      <c r="X37" s="45"/>
      <c r="Y37" s="45">
        <v>0</v>
      </c>
      <c r="Z37" s="44"/>
      <c r="AA37" s="45">
        <v>0</v>
      </c>
      <c r="AB37" s="44"/>
      <c r="AC37" s="45">
        <f t="shared" si="0"/>
        <v>9515959</v>
      </c>
      <c r="AD37" s="45"/>
      <c r="AE37" s="48">
        <v>0</v>
      </c>
      <c r="AF37" s="48"/>
      <c r="AG37" s="45">
        <v>685921</v>
      </c>
      <c r="AH37" s="45"/>
      <c r="AI37" s="45">
        <v>5755303</v>
      </c>
      <c r="AJ37" s="45"/>
      <c r="AK37" s="45">
        <v>0</v>
      </c>
      <c r="AL37" s="45"/>
      <c r="AM37" s="45">
        <f>+'Gen rev'!U37-'Gen exp'!AC37-AG37+'Gen rev'!W37+AI37+AK37-'Gen Bal'!S37-'Gen exp'!AE37</f>
        <v>0</v>
      </c>
      <c r="AN37" s="45"/>
      <c r="AO37" s="45"/>
      <c r="AP37" s="45"/>
      <c r="AQ37" s="45"/>
      <c r="AR37" s="52"/>
      <c r="AS37" s="50"/>
    </row>
    <row r="38" spans="1:45" s="49" customFormat="1" ht="12.75" customHeight="1">
      <c r="A38" s="28" t="s">
        <v>54</v>
      </c>
      <c r="C38" s="28" t="s">
        <v>55</v>
      </c>
      <c r="E38" s="45">
        <v>2661075</v>
      </c>
      <c r="F38" s="45"/>
      <c r="G38" s="45">
        <v>1592374</v>
      </c>
      <c r="H38" s="45"/>
      <c r="I38" s="45">
        <v>0</v>
      </c>
      <c r="J38" s="45"/>
      <c r="K38" s="45">
        <v>98862</v>
      </c>
      <c r="L38" s="45"/>
      <c r="M38" s="45">
        <v>0</v>
      </c>
      <c r="N38" s="45"/>
      <c r="O38" s="45">
        <v>894590</v>
      </c>
      <c r="P38" s="45"/>
      <c r="Q38" s="45">
        <v>0</v>
      </c>
      <c r="R38" s="45"/>
      <c r="S38" s="45">
        <v>0</v>
      </c>
      <c r="T38" s="45"/>
      <c r="U38" s="45">
        <v>0</v>
      </c>
      <c r="V38" s="45"/>
      <c r="W38" s="45">
        <v>0</v>
      </c>
      <c r="X38" s="45"/>
      <c r="Y38" s="45">
        <v>0</v>
      </c>
      <c r="Z38" s="44"/>
      <c r="AA38" s="45">
        <v>0</v>
      </c>
      <c r="AB38" s="44"/>
      <c r="AC38" s="45">
        <f t="shared" si="0"/>
        <v>5246901</v>
      </c>
      <c r="AD38" s="45"/>
      <c r="AE38" s="48">
        <v>0</v>
      </c>
      <c r="AF38" s="48"/>
      <c r="AG38" s="45">
        <v>115000</v>
      </c>
      <c r="AH38" s="45"/>
      <c r="AI38" s="45">
        <v>1299770</v>
      </c>
      <c r="AJ38" s="45"/>
      <c r="AK38" s="45">
        <v>0</v>
      </c>
      <c r="AL38" s="45"/>
      <c r="AM38" s="45">
        <f>+'Gen rev'!U38-'Gen exp'!AC38-AG38+'Gen rev'!W38+AI38+AK38-'Gen Bal'!S38-'Gen exp'!AE38</f>
        <v>0</v>
      </c>
      <c r="AN38" s="45"/>
      <c r="AO38" s="45"/>
      <c r="AP38" s="45"/>
      <c r="AQ38" s="45"/>
      <c r="AR38" s="52"/>
      <c r="AS38" s="50"/>
    </row>
    <row r="39" spans="1:45" s="49" customFormat="1" ht="12.75" customHeight="1">
      <c r="A39" s="28" t="s">
        <v>56</v>
      </c>
      <c r="C39" s="28" t="s">
        <v>57</v>
      </c>
      <c r="E39" s="45">
        <v>1260127</v>
      </c>
      <c r="F39" s="45"/>
      <c r="G39" s="45">
        <f>1794585+1134598+127448</f>
        <v>3056631</v>
      </c>
      <c r="H39" s="45"/>
      <c r="I39" s="45">
        <v>0</v>
      </c>
      <c r="J39" s="45"/>
      <c r="K39" s="45">
        <v>182600</v>
      </c>
      <c r="L39" s="45"/>
      <c r="M39" s="45">
        <v>41451</v>
      </c>
      <c r="N39" s="45"/>
      <c r="O39" s="45">
        <v>21994</v>
      </c>
      <c r="P39" s="45"/>
      <c r="Q39" s="45">
        <v>0</v>
      </c>
      <c r="R39" s="45"/>
      <c r="S39" s="45">
        <v>0</v>
      </c>
      <c r="T39" s="45"/>
      <c r="U39" s="45">
        <v>0</v>
      </c>
      <c r="V39" s="45"/>
      <c r="W39" s="45">
        <v>35449</v>
      </c>
      <c r="X39" s="45"/>
      <c r="Y39" s="45">
        <v>17322</v>
      </c>
      <c r="Z39" s="44"/>
      <c r="AA39" s="45">
        <v>0</v>
      </c>
      <c r="AB39" s="44"/>
      <c r="AC39" s="45">
        <f t="shared" si="0"/>
        <v>4615574</v>
      </c>
      <c r="AD39" s="45"/>
      <c r="AE39" s="48">
        <v>0</v>
      </c>
      <c r="AF39" s="48"/>
      <c r="AG39" s="45">
        <v>275897</v>
      </c>
      <c r="AH39" s="45"/>
      <c r="AI39" s="45">
        <v>2136236</v>
      </c>
      <c r="AJ39" s="45"/>
      <c r="AK39" s="45">
        <v>0</v>
      </c>
      <c r="AL39" s="45"/>
      <c r="AM39" s="45">
        <f>+'Gen rev'!U39-'Gen exp'!AC39-AG39+'Gen rev'!W39+AI39+AK39-'Gen Bal'!S39-'Gen exp'!AE39</f>
        <v>0</v>
      </c>
      <c r="AN39" s="45"/>
      <c r="AO39" s="45"/>
      <c r="AP39" s="45"/>
      <c r="AQ39" s="45"/>
      <c r="AR39" s="52"/>
      <c r="AS39" s="50"/>
    </row>
    <row r="40" spans="1:45" s="49" customFormat="1" ht="12.75" customHeight="1">
      <c r="A40" s="28" t="s">
        <v>58</v>
      </c>
      <c r="C40" s="28" t="s">
        <v>59</v>
      </c>
      <c r="E40" s="45">
        <v>2362686</v>
      </c>
      <c r="F40" s="45"/>
      <c r="G40" s="45">
        <v>2216081</v>
      </c>
      <c r="H40" s="45"/>
      <c r="I40" s="45">
        <v>173836</v>
      </c>
      <c r="J40" s="45"/>
      <c r="K40" s="45">
        <v>0</v>
      </c>
      <c r="L40" s="45"/>
      <c r="M40" s="45">
        <v>0</v>
      </c>
      <c r="N40" s="45"/>
      <c r="O40" s="45">
        <v>564019</v>
      </c>
      <c r="P40" s="45"/>
      <c r="Q40" s="45">
        <v>0</v>
      </c>
      <c r="R40" s="45"/>
      <c r="S40" s="45">
        <v>32955</v>
      </c>
      <c r="T40" s="45"/>
      <c r="U40" s="45">
        <v>0</v>
      </c>
      <c r="V40" s="45"/>
      <c r="W40" s="45">
        <v>20491</v>
      </c>
      <c r="X40" s="45"/>
      <c r="Y40" s="45">
        <v>4343</v>
      </c>
      <c r="Z40" s="44"/>
      <c r="AA40" s="45">
        <v>0</v>
      </c>
      <c r="AB40" s="44"/>
      <c r="AC40" s="45">
        <f t="shared" si="0"/>
        <v>5374411</v>
      </c>
      <c r="AD40" s="45"/>
      <c r="AE40" s="48">
        <v>0</v>
      </c>
      <c r="AF40" s="48"/>
      <c r="AG40" s="45">
        <v>456413</v>
      </c>
      <c r="AH40" s="45"/>
      <c r="AI40" s="45">
        <v>1371714</v>
      </c>
      <c r="AJ40" s="45"/>
      <c r="AK40" s="45">
        <v>0</v>
      </c>
      <c r="AL40" s="45"/>
      <c r="AM40" s="45">
        <f>+'Gen rev'!U40-'Gen exp'!AC40-AG40+'Gen rev'!W40+AI40+AK40-'Gen Bal'!S40-'Gen exp'!AE40</f>
        <v>0</v>
      </c>
      <c r="AN40" s="45"/>
      <c r="AO40" s="45"/>
      <c r="AP40" s="45"/>
      <c r="AQ40" s="45"/>
      <c r="AR40" s="52"/>
      <c r="AS40" s="50"/>
    </row>
    <row r="41" spans="1:45" s="146" customFormat="1" ht="12.75" hidden="1" customHeight="1">
      <c r="A41" s="139" t="s">
        <v>477</v>
      </c>
      <c r="B41" s="139"/>
      <c r="C41" s="145" t="s">
        <v>15</v>
      </c>
      <c r="D41" s="139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37"/>
      <c r="AA41" s="143"/>
      <c r="AB41" s="137"/>
      <c r="AC41" s="143">
        <f>SUM(E41:AA41)</f>
        <v>0</v>
      </c>
      <c r="AD41" s="143"/>
      <c r="AE41" s="148">
        <v>0</v>
      </c>
      <c r="AF41" s="148"/>
      <c r="AG41" s="143"/>
      <c r="AH41" s="143"/>
      <c r="AI41" s="143"/>
      <c r="AJ41" s="143"/>
      <c r="AK41" s="143"/>
      <c r="AL41" s="143"/>
      <c r="AM41" s="143">
        <f>+'Gen rev'!U41-'Gen exp'!AC41-AG41+'Gen rev'!W41+AI41+AK41-'Gen Bal'!S41-'Gen exp'!AE41</f>
        <v>0</v>
      </c>
      <c r="AN41" s="143"/>
      <c r="AO41" s="143"/>
      <c r="AP41" s="143"/>
      <c r="AQ41" s="143"/>
      <c r="AR41" s="150"/>
      <c r="AS41" s="151"/>
    </row>
    <row r="42" spans="1:45" s="146" customFormat="1" ht="12.75" hidden="1" customHeight="1">
      <c r="A42" s="147" t="s">
        <v>60</v>
      </c>
      <c r="C42" s="147" t="s">
        <v>61</v>
      </c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37"/>
      <c r="AA42" s="143"/>
      <c r="AB42" s="137"/>
      <c r="AC42" s="143">
        <f t="shared" si="0"/>
        <v>0</v>
      </c>
      <c r="AD42" s="143"/>
      <c r="AE42" s="148">
        <v>0</v>
      </c>
      <c r="AF42" s="148"/>
      <c r="AG42" s="143"/>
      <c r="AH42" s="143"/>
      <c r="AI42" s="143"/>
      <c r="AJ42" s="143"/>
      <c r="AK42" s="143"/>
      <c r="AL42" s="143"/>
      <c r="AM42" s="143">
        <f>+'Gen rev'!U42-'Gen exp'!AC42-AG42+'Gen rev'!W42+AI42+AK42-'Gen Bal'!S42-'Gen exp'!AE42</f>
        <v>0</v>
      </c>
      <c r="AN42" s="143"/>
      <c r="AO42" s="143"/>
      <c r="AP42" s="143"/>
      <c r="AQ42" s="143"/>
      <c r="AR42" s="150"/>
      <c r="AS42" s="151"/>
    </row>
    <row r="43" spans="1:45" s="49" customFormat="1" ht="12.75" customHeight="1">
      <c r="A43" s="46" t="s">
        <v>62</v>
      </c>
      <c r="B43" s="46"/>
      <c r="C43" s="64" t="s">
        <v>15</v>
      </c>
      <c r="D43" s="46"/>
      <c r="E43" s="45">
        <v>18269063</v>
      </c>
      <c r="F43" s="45"/>
      <c r="G43" s="45">
        <v>34094717</v>
      </c>
      <c r="H43" s="45"/>
      <c r="I43" s="45">
        <v>0</v>
      </c>
      <c r="J43" s="45"/>
      <c r="K43" s="45">
        <v>2741900</v>
      </c>
      <c r="L43" s="45"/>
      <c r="M43" s="45">
        <v>1638150</v>
      </c>
      <c r="N43" s="45"/>
      <c r="O43" s="45">
        <v>2521949</v>
      </c>
      <c r="P43" s="45"/>
      <c r="Q43" s="45">
        <v>0</v>
      </c>
      <c r="R43" s="45"/>
      <c r="S43" s="45">
        <v>0</v>
      </c>
      <c r="T43" s="45"/>
      <c r="U43" s="45">
        <v>0</v>
      </c>
      <c r="V43" s="45"/>
      <c r="W43" s="45">
        <v>305000</v>
      </c>
      <c r="X43" s="45"/>
      <c r="Y43" s="45">
        <v>214725</v>
      </c>
      <c r="Z43" s="44"/>
      <c r="AA43" s="45">
        <v>0</v>
      </c>
      <c r="AB43" s="44"/>
      <c r="AC43" s="45">
        <f t="shared" si="0"/>
        <v>59785504</v>
      </c>
      <c r="AD43" s="45"/>
      <c r="AE43" s="48">
        <v>0</v>
      </c>
      <c r="AF43" s="48"/>
      <c r="AG43" s="45">
        <v>62776</v>
      </c>
      <c r="AH43" s="45"/>
      <c r="AI43" s="45">
        <v>9112479</v>
      </c>
      <c r="AJ43" s="45"/>
      <c r="AK43" s="45">
        <v>8279</v>
      </c>
      <c r="AL43" s="45"/>
      <c r="AM43" s="45">
        <f>+'Gen rev'!U43-'Gen exp'!AC43-AG43+'Gen rev'!W43+AI43+AK43-'Gen Bal'!S43-'Gen exp'!AE43</f>
        <v>0</v>
      </c>
      <c r="AN43" s="45"/>
      <c r="AO43" s="45"/>
      <c r="AP43" s="45"/>
      <c r="AQ43" s="45"/>
      <c r="AR43" s="52"/>
      <c r="AS43" s="50"/>
    </row>
    <row r="44" spans="1:45" s="146" customFormat="1" ht="12.75" hidden="1" customHeight="1">
      <c r="A44" s="147" t="s">
        <v>486</v>
      </c>
      <c r="C44" s="147" t="s">
        <v>111</v>
      </c>
      <c r="E44" s="143">
        <v>0</v>
      </c>
      <c r="F44" s="143"/>
      <c r="G44" s="143">
        <v>0</v>
      </c>
      <c r="H44" s="143"/>
      <c r="I44" s="143">
        <v>0</v>
      </c>
      <c r="J44" s="143"/>
      <c r="K44" s="143">
        <v>0</v>
      </c>
      <c r="L44" s="143"/>
      <c r="M44" s="143">
        <v>0</v>
      </c>
      <c r="N44" s="143"/>
      <c r="O44" s="143">
        <v>0</v>
      </c>
      <c r="P44" s="143"/>
      <c r="Q44" s="143">
        <v>0</v>
      </c>
      <c r="R44" s="143"/>
      <c r="S44" s="143">
        <v>0</v>
      </c>
      <c r="T44" s="143"/>
      <c r="U44" s="143">
        <v>0</v>
      </c>
      <c r="V44" s="143"/>
      <c r="W44" s="143">
        <v>0</v>
      </c>
      <c r="X44" s="143"/>
      <c r="Y44" s="143">
        <v>0</v>
      </c>
      <c r="Z44" s="137"/>
      <c r="AA44" s="143">
        <v>0</v>
      </c>
      <c r="AB44" s="137"/>
      <c r="AC44" s="143">
        <f>SUM(E44:AA44)</f>
        <v>0</v>
      </c>
      <c r="AD44" s="143"/>
      <c r="AE44" s="148">
        <v>0</v>
      </c>
      <c r="AF44" s="148"/>
      <c r="AG44" s="143">
        <v>0</v>
      </c>
      <c r="AH44" s="143"/>
      <c r="AI44" s="143">
        <v>0</v>
      </c>
      <c r="AJ44" s="143"/>
      <c r="AK44" s="143">
        <v>0</v>
      </c>
      <c r="AL44" s="143"/>
      <c r="AM44" s="143">
        <f>+'Gen rev'!U44-'Gen exp'!AC44-AG44+'Gen rev'!W44+AI44+AK44-'Gen Bal'!S44-'Gen exp'!AE44</f>
        <v>0</v>
      </c>
      <c r="AN44" s="148"/>
      <c r="AO44" s="148"/>
      <c r="AP44" s="148"/>
      <c r="AQ44" s="148"/>
      <c r="AR44" s="150"/>
      <c r="AS44" s="151"/>
    </row>
    <row r="45" spans="1:45" s="49" customFormat="1" ht="12.75" customHeight="1">
      <c r="A45" s="28" t="s">
        <v>63</v>
      </c>
      <c r="C45" s="28" t="s">
        <v>64</v>
      </c>
      <c r="E45" s="45">
        <v>1324240</v>
      </c>
      <c r="F45" s="45"/>
      <c r="G45" s="45">
        <v>2605464</v>
      </c>
      <c r="H45" s="45"/>
      <c r="I45" s="45">
        <v>51974</v>
      </c>
      <c r="J45" s="45"/>
      <c r="K45" s="45">
        <v>68768</v>
      </c>
      <c r="L45" s="45"/>
      <c r="M45" s="45">
        <v>197605</v>
      </c>
      <c r="N45" s="45"/>
      <c r="O45" s="45">
        <v>280934</v>
      </c>
      <c r="P45" s="45"/>
      <c r="Q45" s="45">
        <v>406568</v>
      </c>
      <c r="R45" s="45"/>
      <c r="S45" s="45">
        <v>0</v>
      </c>
      <c r="T45" s="45"/>
      <c r="U45" s="45">
        <v>0</v>
      </c>
      <c r="V45" s="45"/>
      <c r="W45" s="45">
        <v>0</v>
      </c>
      <c r="X45" s="45"/>
      <c r="Y45" s="45">
        <v>0</v>
      </c>
      <c r="Z45" s="44"/>
      <c r="AA45" s="45">
        <v>0</v>
      </c>
      <c r="AB45" s="44"/>
      <c r="AC45" s="45">
        <f t="shared" si="0"/>
        <v>4935553</v>
      </c>
      <c r="AD45" s="45"/>
      <c r="AE45" s="48">
        <v>0</v>
      </c>
      <c r="AF45" s="48"/>
      <c r="AG45" s="45">
        <v>895229</v>
      </c>
      <c r="AH45" s="45"/>
      <c r="AI45" s="45">
        <v>1525695</v>
      </c>
      <c r="AJ45" s="45"/>
      <c r="AK45" s="45">
        <v>0</v>
      </c>
      <c r="AL45" s="45"/>
      <c r="AM45" s="45">
        <f>+'Gen rev'!U45-'Gen exp'!AC45-AG45+'Gen rev'!W45+AI45+AK45-'Gen Bal'!S45-'Gen exp'!AE45</f>
        <v>0</v>
      </c>
      <c r="AN45" s="48"/>
      <c r="AO45" s="48"/>
      <c r="AP45" s="48"/>
      <c r="AQ45" s="48"/>
      <c r="AR45" s="52"/>
      <c r="AS45" s="50"/>
    </row>
    <row r="46" spans="1:45" s="49" customFormat="1" ht="12.75" customHeight="1">
      <c r="A46" s="28" t="s">
        <v>65</v>
      </c>
      <c r="C46" s="28" t="s">
        <v>66</v>
      </c>
      <c r="E46" s="45">
        <v>4696552</v>
      </c>
      <c r="F46" s="45"/>
      <c r="G46" s="45">
        <v>5707925</v>
      </c>
      <c r="H46" s="45"/>
      <c r="I46" s="45">
        <v>268817</v>
      </c>
      <c r="J46" s="45"/>
      <c r="K46" s="45">
        <v>0</v>
      </c>
      <c r="L46" s="45"/>
      <c r="M46" s="45">
        <v>0</v>
      </c>
      <c r="N46" s="45"/>
      <c r="O46" s="45">
        <v>271017</v>
      </c>
      <c r="P46" s="45"/>
      <c r="Q46" s="45">
        <v>0</v>
      </c>
      <c r="R46" s="45"/>
      <c r="S46" s="45">
        <v>0</v>
      </c>
      <c r="T46" s="45"/>
      <c r="U46" s="45">
        <v>0</v>
      </c>
      <c r="V46" s="45"/>
      <c r="W46" s="45">
        <v>5706</v>
      </c>
      <c r="X46" s="45"/>
      <c r="Y46" s="45">
        <v>198</v>
      </c>
      <c r="Z46" s="44"/>
      <c r="AA46" s="45">
        <v>0</v>
      </c>
      <c r="AB46" s="44"/>
      <c r="AC46" s="45">
        <f t="shared" si="0"/>
        <v>10950215</v>
      </c>
      <c r="AD46" s="45"/>
      <c r="AE46" s="48">
        <v>0</v>
      </c>
      <c r="AF46" s="48"/>
      <c r="AG46" s="45">
        <v>2725000</v>
      </c>
      <c r="AH46" s="45"/>
      <c r="AI46" s="45">
        <v>7203769</v>
      </c>
      <c r="AJ46" s="45"/>
      <c r="AK46" s="45">
        <v>0</v>
      </c>
      <c r="AL46" s="45"/>
      <c r="AM46" s="45">
        <f>+'Gen rev'!U46-'Gen exp'!AC46-AG46+'Gen rev'!W46+AI46+AK46-'Gen Bal'!S46-'Gen exp'!AE46</f>
        <v>0</v>
      </c>
      <c r="AN46" s="45"/>
      <c r="AO46" s="45"/>
      <c r="AP46" s="45"/>
      <c r="AQ46" s="45"/>
      <c r="AR46" s="52"/>
      <c r="AS46" s="50"/>
    </row>
    <row r="47" spans="1:45" s="49" customFormat="1" ht="12.75" customHeight="1">
      <c r="A47" s="28" t="s">
        <v>67</v>
      </c>
      <c r="C47" s="28" t="s">
        <v>375</v>
      </c>
      <c r="E47" s="45">
        <v>2998265</v>
      </c>
      <c r="F47" s="45"/>
      <c r="G47" s="45">
        <v>1145281</v>
      </c>
      <c r="H47" s="45"/>
      <c r="I47" s="45">
        <v>238272</v>
      </c>
      <c r="J47" s="45"/>
      <c r="K47" s="45">
        <v>0</v>
      </c>
      <c r="L47" s="45"/>
      <c r="M47" s="45">
        <v>1059827</v>
      </c>
      <c r="N47" s="45"/>
      <c r="O47" s="45">
        <v>0</v>
      </c>
      <c r="P47" s="45"/>
      <c r="Q47" s="45">
        <v>13650</v>
      </c>
      <c r="R47" s="45"/>
      <c r="S47" s="45">
        <v>674713</v>
      </c>
      <c r="T47" s="45"/>
      <c r="U47" s="45">
        <v>0</v>
      </c>
      <c r="V47" s="45"/>
      <c r="W47" s="45">
        <v>25000</v>
      </c>
      <c r="X47" s="45"/>
      <c r="Y47" s="45">
        <v>0</v>
      </c>
      <c r="Z47" s="44"/>
      <c r="AA47" s="45">
        <v>0</v>
      </c>
      <c r="AB47" s="44"/>
      <c r="AC47" s="45">
        <f t="shared" si="0"/>
        <v>6155008</v>
      </c>
      <c r="AD47" s="45"/>
      <c r="AE47" s="48">
        <v>0</v>
      </c>
      <c r="AF47" s="48"/>
      <c r="AG47" s="45">
        <v>2061100</v>
      </c>
      <c r="AH47" s="45"/>
      <c r="AI47" s="45">
        <v>3374686</v>
      </c>
      <c r="AJ47" s="45"/>
      <c r="AK47" s="45">
        <v>0</v>
      </c>
      <c r="AL47" s="45"/>
      <c r="AM47" s="45">
        <f>+'Gen rev'!U47-'Gen exp'!AC47-AG47+'Gen rev'!W47+AI47+AK47-'Gen Bal'!S47-'Gen exp'!AE47</f>
        <v>0</v>
      </c>
      <c r="AN47" s="45"/>
      <c r="AO47" s="45"/>
      <c r="AP47" s="45"/>
      <c r="AQ47" s="45"/>
      <c r="AR47" s="52"/>
      <c r="AS47" s="50"/>
    </row>
    <row r="48" spans="1:45" s="49" customFormat="1" ht="12.75" customHeight="1">
      <c r="A48" s="28" t="s">
        <v>68</v>
      </c>
      <c r="C48" s="28" t="s">
        <v>45</v>
      </c>
      <c r="E48" s="45">
        <v>1352238</v>
      </c>
      <c r="F48" s="45"/>
      <c r="G48" s="45">
        <v>1908758</v>
      </c>
      <c r="H48" s="45"/>
      <c r="I48" s="45">
        <v>371218</v>
      </c>
      <c r="J48" s="45"/>
      <c r="K48" s="45">
        <v>6894</v>
      </c>
      <c r="L48" s="45"/>
      <c r="M48" s="45">
        <v>83561</v>
      </c>
      <c r="N48" s="45"/>
      <c r="O48" s="45">
        <v>141034</v>
      </c>
      <c r="P48" s="45"/>
      <c r="Q48" s="45">
        <v>0</v>
      </c>
      <c r="R48" s="45"/>
      <c r="S48" s="45">
        <v>55679</v>
      </c>
      <c r="T48" s="45"/>
      <c r="U48" s="45">
        <v>0</v>
      </c>
      <c r="V48" s="45"/>
      <c r="W48" s="45">
        <v>0</v>
      </c>
      <c r="X48" s="45"/>
      <c r="Y48" s="45">
        <v>0</v>
      </c>
      <c r="Z48" s="44"/>
      <c r="AA48" s="45">
        <v>0</v>
      </c>
      <c r="AB48" s="44"/>
      <c r="AC48" s="45">
        <f t="shared" si="0"/>
        <v>3919382</v>
      </c>
      <c r="AD48" s="45"/>
      <c r="AE48" s="48">
        <v>0</v>
      </c>
      <c r="AF48" s="48"/>
      <c r="AG48" s="45">
        <v>54155</v>
      </c>
      <c r="AH48" s="45"/>
      <c r="AI48" s="45">
        <v>493188</v>
      </c>
      <c r="AJ48" s="45"/>
      <c r="AK48" s="45">
        <v>0</v>
      </c>
      <c r="AL48" s="45"/>
      <c r="AM48" s="45">
        <f>+'Gen rev'!U48-'Gen exp'!AC48-AG48+'Gen rev'!W48+AI48+AK48-'Gen Bal'!S48-'Gen exp'!AE48</f>
        <v>0</v>
      </c>
      <c r="AN48" s="45"/>
      <c r="AO48" s="45"/>
      <c r="AP48" s="45"/>
      <c r="AQ48" s="45"/>
      <c r="AR48" s="52"/>
      <c r="AS48" s="50"/>
    </row>
    <row r="49" spans="1:45" s="49" customFormat="1" ht="12.75" customHeight="1">
      <c r="A49" s="28" t="s">
        <v>69</v>
      </c>
      <c r="C49" s="28" t="s">
        <v>70</v>
      </c>
      <c r="E49" s="45">
        <v>4665835</v>
      </c>
      <c r="F49" s="45"/>
      <c r="G49" s="45">
        <f>4523856+3948527</f>
        <v>8472383</v>
      </c>
      <c r="H49" s="45"/>
      <c r="I49" s="45">
        <v>292</v>
      </c>
      <c r="J49" s="45"/>
      <c r="K49" s="45">
        <v>0</v>
      </c>
      <c r="L49" s="45"/>
      <c r="M49" s="45">
        <v>217556</v>
      </c>
      <c r="N49" s="45"/>
      <c r="O49" s="45">
        <v>118906</v>
      </c>
      <c r="P49" s="45"/>
      <c r="Q49" s="45">
        <v>1069275</v>
      </c>
      <c r="R49" s="45"/>
      <c r="S49" s="45">
        <v>0</v>
      </c>
      <c r="T49" s="45"/>
      <c r="U49" s="45">
        <v>0</v>
      </c>
      <c r="V49" s="45"/>
      <c r="W49" s="45">
        <v>47309</v>
      </c>
      <c r="X49" s="45"/>
      <c r="Y49" s="45">
        <v>11040</v>
      </c>
      <c r="Z49" s="44"/>
      <c r="AA49" s="45">
        <v>0</v>
      </c>
      <c r="AB49" s="44"/>
      <c r="AC49" s="45">
        <f t="shared" si="0"/>
        <v>14602596</v>
      </c>
      <c r="AD49" s="45"/>
      <c r="AE49" s="48">
        <v>0</v>
      </c>
      <c r="AF49" s="48"/>
      <c r="AG49" s="45">
        <v>1886000</v>
      </c>
      <c r="AH49" s="45"/>
      <c r="AI49" s="45">
        <v>4001718</v>
      </c>
      <c r="AJ49" s="45"/>
      <c r="AK49" s="45">
        <v>0</v>
      </c>
      <c r="AL49" s="45"/>
      <c r="AM49" s="45">
        <f>+'Gen rev'!U49-'Gen exp'!AC49-AG49+'Gen rev'!W49+AI49+AK49-'Gen Bal'!S49-'Gen exp'!AE49</f>
        <v>0</v>
      </c>
      <c r="AN49" s="45"/>
      <c r="AO49" s="45"/>
      <c r="AP49" s="45"/>
      <c r="AQ49" s="45"/>
      <c r="AR49" s="52"/>
      <c r="AS49" s="50"/>
    </row>
    <row r="50" spans="1:45" s="49" customFormat="1" ht="12.75" customHeight="1">
      <c r="A50" s="28" t="s">
        <v>71</v>
      </c>
      <c r="C50" s="28" t="s">
        <v>45</v>
      </c>
      <c r="E50" s="45">
        <v>37482000</v>
      </c>
      <c r="F50" s="45"/>
      <c r="G50" s="45">
        <f>166883000+21953000</f>
        <v>188836000</v>
      </c>
      <c r="H50" s="45"/>
      <c r="I50" s="45">
        <v>5363000</v>
      </c>
      <c r="J50" s="45"/>
      <c r="K50" s="45">
        <f>21246000+75980000</f>
        <v>97226000</v>
      </c>
      <c r="L50" s="45"/>
      <c r="M50" s="45">
        <v>3117000</v>
      </c>
      <c r="N50" s="45"/>
      <c r="O50" s="45">
        <v>21498000</v>
      </c>
      <c r="P50" s="45"/>
      <c r="Q50" s="45">
        <v>0</v>
      </c>
      <c r="R50" s="45"/>
      <c r="S50" s="45">
        <v>0</v>
      </c>
      <c r="T50" s="45"/>
      <c r="U50" s="45">
        <v>0</v>
      </c>
      <c r="V50" s="45"/>
      <c r="W50" s="45">
        <v>0</v>
      </c>
      <c r="X50" s="45"/>
      <c r="Y50" s="45">
        <v>0</v>
      </c>
      <c r="Z50" s="44"/>
      <c r="AA50" s="45">
        <v>0</v>
      </c>
      <c r="AB50" s="44"/>
      <c r="AC50" s="45">
        <f t="shared" si="0"/>
        <v>353522000</v>
      </c>
      <c r="AD50" s="45"/>
      <c r="AE50" s="48">
        <v>0</v>
      </c>
      <c r="AF50" s="48"/>
      <c r="AG50" s="45">
        <v>4253000</v>
      </c>
      <c r="AH50" s="45"/>
      <c r="AI50" s="45">
        <v>71104000</v>
      </c>
      <c r="AJ50" s="45"/>
      <c r="AK50" s="45">
        <v>0</v>
      </c>
      <c r="AL50" s="45"/>
      <c r="AM50" s="45">
        <f>+'Gen rev'!U50-'Gen exp'!AC50-AG50+'Gen rev'!W50+AI50+AK50-'Gen Bal'!S50-'Gen exp'!AE50</f>
        <v>0</v>
      </c>
      <c r="AN50" s="45"/>
      <c r="AO50" s="45"/>
      <c r="AP50" s="45"/>
      <c r="AQ50" s="45"/>
      <c r="AR50" s="52"/>
      <c r="AS50" s="50"/>
    </row>
    <row r="51" spans="1:45" s="49" customFormat="1" ht="12.75" customHeight="1">
      <c r="A51" s="47" t="s">
        <v>464</v>
      </c>
      <c r="C51" s="47" t="s">
        <v>465</v>
      </c>
      <c r="E51" s="45">
        <v>2056812</v>
      </c>
      <c r="F51" s="45"/>
      <c r="G51" s="45">
        <f>1599607+755940+94485</f>
        <v>2450032</v>
      </c>
      <c r="H51" s="45"/>
      <c r="I51" s="45">
        <v>337269</v>
      </c>
      <c r="J51" s="45"/>
      <c r="K51" s="45">
        <v>173250</v>
      </c>
      <c r="L51" s="45"/>
      <c r="M51" s="45">
        <v>197131</v>
      </c>
      <c r="N51" s="45"/>
      <c r="O51" s="45">
        <f>103695+7500+21894</f>
        <v>133089</v>
      </c>
      <c r="P51" s="45"/>
      <c r="Q51" s="45">
        <v>2312</v>
      </c>
      <c r="R51" s="45"/>
      <c r="S51" s="45">
        <v>6471</v>
      </c>
      <c r="T51" s="45"/>
      <c r="U51" s="45">
        <v>0</v>
      </c>
      <c r="V51" s="45"/>
      <c r="W51" s="45">
        <v>34885</v>
      </c>
      <c r="X51" s="45"/>
      <c r="Y51" s="45">
        <v>6962</v>
      </c>
      <c r="Z51" s="44"/>
      <c r="AA51" s="45">
        <v>0</v>
      </c>
      <c r="AB51" s="44"/>
      <c r="AC51" s="45">
        <f t="shared" si="0"/>
        <v>5398213</v>
      </c>
      <c r="AD51" s="45"/>
      <c r="AE51" s="48">
        <v>0</v>
      </c>
      <c r="AF51" s="48"/>
      <c r="AG51" s="45">
        <v>10000</v>
      </c>
      <c r="AH51" s="45"/>
      <c r="AI51" s="45">
        <v>1426572</v>
      </c>
      <c r="AJ51" s="45"/>
      <c r="AK51" s="45">
        <v>0</v>
      </c>
      <c r="AL51" s="45"/>
      <c r="AM51" s="45">
        <f>+'Gen rev'!U51-'Gen exp'!AC51-AG51+'Gen rev'!W51+AI51+AK51-'Gen Bal'!S51-'Gen exp'!AE51</f>
        <v>0</v>
      </c>
      <c r="AN51" s="45"/>
      <c r="AO51" s="45"/>
      <c r="AP51" s="45"/>
      <c r="AQ51" s="45"/>
      <c r="AR51" s="52"/>
      <c r="AS51" s="50"/>
    </row>
    <row r="52" spans="1:45" s="49" customFormat="1" ht="12.75" customHeight="1">
      <c r="A52" s="28" t="s">
        <v>72</v>
      </c>
      <c r="C52" s="28" t="s">
        <v>66</v>
      </c>
      <c r="E52" s="45">
        <v>1264415</v>
      </c>
      <c r="F52" s="45"/>
      <c r="G52" s="45">
        <v>0</v>
      </c>
      <c r="H52" s="45"/>
      <c r="I52" s="45">
        <v>0</v>
      </c>
      <c r="J52" s="45"/>
      <c r="K52" s="45">
        <v>0</v>
      </c>
      <c r="L52" s="45"/>
      <c r="M52" s="45">
        <v>0</v>
      </c>
      <c r="N52" s="45"/>
      <c r="O52" s="45">
        <v>0</v>
      </c>
      <c r="P52" s="45"/>
      <c r="Q52" s="45">
        <v>0</v>
      </c>
      <c r="R52" s="45"/>
      <c r="S52" s="45">
        <v>0</v>
      </c>
      <c r="T52" s="45"/>
      <c r="U52" s="45">
        <v>0</v>
      </c>
      <c r="V52" s="45"/>
      <c r="W52" s="45">
        <v>0</v>
      </c>
      <c r="X52" s="45"/>
      <c r="Y52" s="45">
        <v>0</v>
      </c>
      <c r="Z52" s="44"/>
      <c r="AA52" s="45">
        <v>0</v>
      </c>
      <c r="AB52" s="44"/>
      <c r="AC52" s="45">
        <f t="shared" si="0"/>
        <v>1264415</v>
      </c>
      <c r="AD52" s="45"/>
      <c r="AE52" s="48">
        <v>0</v>
      </c>
      <c r="AF52" s="48"/>
      <c r="AG52" s="45">
        <v>1647870</v>
      </c>
      <c r="AH52" s="45"/>
      <c r="AI52" s="45">
        <v>1931960</v>
      </c>
      <c r="AJ52" s="45"/>
      <c r="AK52" s="45">
        <v>0</v>
      </c>
      <c r="AL52" s="45"/>
      <c r="AM52" s="45">
        <f>+'Gen rev'!U52-'Gen exp'!AC52-AG52+'Gen rev'!W52+AI52+AK52-'Gen Bal'!S52-'Gen exp'!AE52</f>
        <v>0</v>
      </c>
      <c r="AN52" s="45"/>
      <c r="AO52" s="45"/>
      <c r="AP52" s="45"/>
      <c r="AQ52" s="45"/>
      <c r="AR52" s="52"/>
      <c r="AS52" s="50"/>
    </row>
    <row r="53" spans="1:45" s="49" customFormat="1" ht="12.75" customHeight="1">
      <c r="A53" s="28" t="s">
        <v>73</v>
      </c>
      <c r="C53" s="28" t="s">
        <v>27</v>
      </c>
      <c r="E53" s="45">
        <v>74318000</v>
      </c>
      <c r="F53" s="45"/>
      <c r="G53" s="45">
        <f>35384000+305712000</f>
        <v>341096000</v>
      </c>
      <c r="H53" s="45"/>
      <c r="I53" s="45">
        <f>2286000+1540000+10539000</f>
        <v>14365000</v>
      </c>
      <c r="J53" s="45"/>
      <c r="K53" s="45">
        <v>5572000</v>
      </c>
      <c r="L53" s="45"/>
      <c r="M53" s="45">
        <v>0</v>
      </c>
      <c r="N53" s="45"/>
      <c r="O53" s="45">
        <v>35371000</v>
      </c>
      <c r="P53" s="45"/>
      <c r="Q53" s="45">
        <v>9206000</v>
      </c>
      <c r="R53" s="45"/>
      <c r="S53" s="45">
        <v>0</v>
      </c>
      <c r="T53" s="45"/>
      <c r="U53" s="45">
        <v>0</v>
      </c>
      <c r="V53" s="45"/>
      <c r="W53" s="45">
        <v>0</v>
      </c>
      <c r="X53" s="45"/>
      <c r="Y53" s="45">
        <v>0</v>
      </c>
      <c r="Z53" s="44"/>
      <c r="AA53" s="45">
        <v>0</v>
      </c>
      <c r="AB53" s="44"/>
      <c r="AC53" s="45">
        <f t="shared" si="0"/>
        <v>479928000</v>
      </c>
      <c r="AD53" s="45"/>
      <c r="AE53" s="48">
        <v>0</v>
      </c>
      <c r="AF53" s="48"/>
      <c r="AG53" s="45">
        <v>25157000</v>
      </c>
      <c r="AH53" s="45"/>
      <c r="AI53" s="45">
        <v>35531000</v>
      </c>
      <c r="AJ53" s="45"/>
      <c r="AK53" s="45">
        <v>0</v>
      </c>
      <c r="AL53" s="45"/>
      <c r="AM53" s="45">
        <f>+'Gen rev'!U53-'Gen exp'!AC53-AG53+'Gen rev'!W53+AI53+AK53-'Gen Bal'!S53-'Gen exp'!AE53</f>
        <v>0</v>
      </c>
      <c r="AN53" s="45"/>
      <c r="AO53" s="45"/>
      <c r="AP53" s="45"/>
      <c r="AQ53" s="45"/>
      <c r="AR53" s="52"/>
      <c r="AS53" s="50"/>
    </row>
    <row r="54" spans="1:45" s="49" customFormat="1" ht="12.75" customHeight="1">
      <c r="A54" s="28" t="s">
        <v>74</v>
      </c>
      <c r="C54" s="28" t="s">
        <v>27</v>
      </c>
      <c r="E54" s="45">
        <v>13246122</v>
      </c>
      <c r="F54" s="45"/>
      <c r="G54" s="45">
        <f>15091485</f>
        <v>15091485</v>
      </c>
      <c r="H54" s="45"/>
      <c r="I54" s="45">
        <v>2548160</v>
      </c>
      <c r="J54" s="45"/>
      <c r="K54" s="45">
        <v>413196</v>
      </c>
      <c r="L54" s="45"/>
      <c r="M54" s="45">
        <v>3719407</v>
      </c>
      <c r="N54" s="45"/>
      <c r="O54" s="45">
        <v>2303104</v>
      </c>
      <c r="P54" s="45"/>
      <c r="Q54" s="45">
        <v>2601162</v>
      </c>
      <c r="R54" s="45"/>
      <c r="S54" s="45">
        <v>444493</v>
      </c>
      <c r="T54" s="45"/>
      <c r="U54" s="45">
        <v>0</v>
      </c>
      <c r="V54" s="45"/>
      <c r="W54" s="45">
        <v>0</v>
      </c>
      <c r="X54" s="45"/>
      <c r="Y54" s="45">
        <v>0</v>
      </c>
      <c r="Z54" s="44"/>
      <c r="AA54" s="45">
        <v>0</v>
      </c>
      <c r="AB54" s="44"/>
      <c r="AC54" s="45">
        <f t="shared" si="0"/>
        <v>40367129</v>
      </c>
      <c r="AD54" s="45"/>
      <c r="AE54" s="48">
        <v>0</v>
      </c>
      <c r="AF54" s="48"/>
      <c r="AG54" s="45">
        <v>2615272</v>
      </c>
      <c r="AH54" s="45"/>
      <c r="AI54" s="45">
        <v>4982484</v>
      </c>
      <c r="AJ54" s="45"/>
      <c r="AK54" s="45">
        <v>0</v>
      </c>
      <c r="AL54" s="45"/>
      <c r="AM54" s="45">
        <f>+'Gen rev'!U54-'Gen exp'!AC54-AG54+'Gen rev'!W54+AI54+AK54-'Gen Bal'!S54-'Gen exp'!AE54</f>
        <v>0</v>
      </c>
      <c r="AN54" s="48"/>
      <c r="AO54" s="48"/>
      <c r="AP54" s="48"/>
      <c r="AQ54" s="48"/>
      <c r="AR54" s="52"/>
      <c r="AS54" s="50"/>
    </row>
    <row r="55" spans="1:45" s="49" customFormat="1" ht="12.75" customHeight="1">
      <c r="A55" s="28" t="s">
        <v>75</v>
      </c>
      <c r="C55" s="28" t="s">
        <v>76</v>
      </c>
      <c r="E55" s="45">
        <v>1143042</v>
      </c>
      <c r="F55" s="45"/>
      <c r="G55" s="45">
        <v>2468575</v>
      </c>
      <c r="H55" s="45"/>
      <c r="I55" s="45">
        <v>280950</v>
      </c>
      <c r="J55" s="45"/>
      <c r="K55" s="45">
        <v>711245</v>
      </c>
      <c r="L55" s="45"/>
      <c r="M55" s="45">
        <v>0</v>
      </c>
      <c r="N55" s="45"/>
      <c r="O55" s="45">
        <v>0</v>
      </c>
      <c r="P55" s="45"/>
      <c r="Q55" s="45">
        <v>63630</v>
      </c>
      <c r="R55" s="45"/>
      <c r="S55" s="45">
        <v>0</v>
      </c>
      <c r="T55" s="45"/>
      <c r="U55" s="45">
        <v>0</v>
      </c>
      <c r="V55" s="45"/>
      <c r="W55" s="45">
        <v>106307</v>
      </c>
      <c r="X55" s="45"/>
      <c r="Y55" s="45">
        <v>31527</v>
      </c>
      <c r="Z55" s="44"/>
      <c r="AA55" s="45">
        <v>0</v>
      </c>
      <c r="AB55" s="44"/>
      <c r="AC55" s="45">
        <f t="shared" si="0"/>
        <v>4805276</v>
      </c>
      <c r="AD55" s="45"/>
      <c r="AE55" s="48">
        <v>0</v>
      </c>
      <c r="AF55" s="48"/>
      <c r="AG55" s="45">
        <v>561801</v>
      </c>
      <c r="AH55" s="45"/>
      <c r="AI55" s="45">
        <v>1567652</v>
      </c>
      <c r="AJ55" s="45"/>
      <c r="AK55" s="45">
        <v>0</v>
      </c>
      <c r="AL55" s="45"/>
      <c r="AM55" s="45">
        <f>+'Gen rev'!U55-'Gen exp'!AC55-AG55+'Gen rev'!W55+AI55+AK55-'Gen Bal'!S55-'Gen exp'!AE55</f>
        <v>0</v>
      </c>
      <c r="AN55" s="45"/>
      <c r="AO55" s="45"/>
      <c r="AP55" s="45"/>
      <c r="AQ55" s="45"/>
      <c r="AR55" s="52"/>
      <c r="AS55" s="50"/>
    </row>
    <row r="56" spans="1:45" s="49" customFormat="1" ht="12.75" customHeight="1">
      <c r="A56" s="28" t="s">
        <v>77</v>
      </c>
      <c r="C56" s="28" t="s">
        <v>43</v>
      </c>
      <c r="E56" s="45">
        <v>85454000</v>
      </c>
      <c r="F56" s="45"/>
      <c r="G56" s="45">
        <f>43550000+434827000</f>
        <v>478377000</v>
      </c>
      <c r="H56" s="45"/>
      <c r="I56" s="45">
        <v>24957000</v>
      </c>
      <c r="J56" s="45"/>
      <c r="K56" s="45">
        <v>0</v>
      </c>
      <c r="L56" s="45"/>
      <c r="M56" s="45">
        <v>0</v>
      </c>
      <c r="N56" s="45"/>
      <c r="O56" s="45">
        <v>0</v>
      </c>
      <c r="P56" s="45"/>
      <c r="Q56" s="45">
        <v>0</v>
      </c>
      <c r="R56" s="45"/>
      <c r="S56" s="45">
        <v>11245000</v>
      </c>
      <c r="T56" s="45"/>
      <c r="U56" s="45">
        <v>0</v>
      </c>
      <c r="V56" s="45"/>
      <c r="W56" s="45">
        <v>0</v>
      </c>
      <c r="X56" s="45"/>
      <c r="Y56" s="45">
        <v>0</v>
      </c>
      <c r="Z56" s="44"/>
      <c r="AA56" s="45">
        <v>0</v>
      </c>
      <c r="AB56" s="44"/>
      <c r="AC56" s="45">
        <f t="shared" si="0"/>
        <v>600033000</v>
      </c>
      <c r="AD56" s="45"/>
      <c r="AE56" s="48">
        <v>0</v>
      </c>
      <c r="AF56" s="48"/>
      <c r="AG56" s="45">
        <v>49132000</v>
      </c>
      <c r="AH56" s="45"/>
      <c r="AI56" s="45">
        <v>118796000</v>
      </c>
      <c r="AJ56" s="45"/>
      <c r="AK56" s="45">
        <v>0</v>
      </c>
      <c r="AL56" s="45"/>
      <c r="AM56" s="45">
        <f>+'Gen rev'!U56-'Gen exp'!AC56-AG56+'Gen rev'!W56+AI56+AK56-'Gen Bal'!S56-'Gen exp'!AE56</f>
        <v>0</v>
      </c>
      <c r="AN56" s="35"/>
      <c r="AO56" s="35"/>
      <c r="AP56" s="35"/>
      <c r="AQ56" s="35"/>
      <c r="AR56" s="50"/>
      <c r="AS56" s="50"/>
    </row>
    <row r="57" spans="1:45" s="49" customFormat="1" ht="12.75" customHeight="1">
      <c r="A57" s="28" t="s">
        <v>94</v>
      </c>
      <c r="C57" s="28" t="s">
        <v>94</v>
      </c>
      <c r="E57" s="45">
        <v>916259</v>
      </c>
      <c r="F57" s="45"/>
      <c r="G57" s="45">
        <v>1334936</v>
      </c>
      <c r="H57" s="45"/>
      <c r="I57" s="45">
        <v>0</v>
      </c>
      <c r="J57" s="45"/>
      <c r="K57" s="45">
        <v>13501</v>
      </c>
      <c r="L57" s="45"/>
      <c r="M57" s="45">
        <v>0</v>
      </c>
      <c r="N57" s="45"/>
      <c r="O57" s="45">
        <v>0</v>
      </c>
      <c r="P57" s="45"/>
      <c r="Q57" s="45">
        <v>0</v>
      </c>
      <c r="R57" s="45"/>
      <c r="S57" s="45">
        <v>0</v>
      </c>
      <c r="T57" s="45"/>
      <c r="U57" s="45">
        <v>0</v>
      </c>
      <c r="V57" s="45"/>
      <c r="W57" s="45">
        <v>0</v>
      </c>
      <c r="X57" s="45"/>
      <c r="Y57" s="45">
        <v>937</v>
      </c>
      <c r="Z57" s="44"/>
      <c r="AA57" s="45">
        <v>0</v>
      </c>
      <c r="AB57" s="44"/>
      <c r="AC57" s="45">
        <f>SUM(E57:AA57)</f>
        <v>2265633</v>
      </c>
      <c r="AD57" s="45"/>
      <c r="AE57" s="48">
        <v>0</v>
      </c>
      <c r="AF57" s="48"/>
      <c r="AG57" s="45">
        <v>413000</v>
      </c>
      <c r="AH57" s="45"/>
      <c r="AI57" s="45">
        <v>766809</v>
      </c>
      <c r="AJ57" s="45"/>
      <c r="AK57" s="45">
        <v>0</v>
      </c>
      <c r="AL57" s="45"/>
      <c r="AM57" s="45">
        <f>+'Gen rev'!U57-'Gen exp'!AC57-AG57+'Gen rev'!W57+AI57+AK57-'Gen Bal'!S57-'Gen exp'!AE57</f>
        <v>0</v>
      </c>
      <c r="AN57" s="44"/>
      <c r="AO57" s="44"/>
      <c r="AP57" s="44"/>
      <c r="AQ57" s="44"/>
    </row>
    <row r="58" spans="1:45" s="49" customFormat="1" ht="12.75" customHeight="1">
      <c r="A58" s="28" t="s">
        <v>78</v>
      </c>
      <c r="C58" s="28" t="s">
        <v>19</v>
      </c>
      <c r="E58" s="45">
        <v>1176302</v>
      </c>
      <c r="F58" s="45"/>
      <c r="G58" s="45">
        <v>2378640</v>
      </c>
      <c r="H58" s="45"/>
      <c r="I58" s="45">
        <v>66993</v>
      </c>
      <c r="J58" s="45"/>
      <c r="K58" s="45">
        <v>335221</v>
      </c>
      <c r="L58" s="45"/>
      <c r="M58" s="45">
        <v>0</v>
      </c>
      <c r="N58" s="45"/>
      <c r="O58" s="45">
        <v>39422</v>
      </c>
      <c r="P58" s="45"/>
      <c r="Q58" s="45">
        <v>0</v>
      </c>
      <c r="R58" s="45"/>
      <c r="S58" s="45">
        <v>0</v>
      </c>
      <c r="T58" s="45"/>
      <c r="U58" s="45">
        <v>0</v>
      </c>
      <c r="V58" s="45"/>
      <c r="W58" s="45">
        <f>85393+7500</f>
        <v>92893</v>
      </c>
      <c r="X58" s="45"/>
      <c r="Y58" s="45">
        <v>21227</v>
      </c>
      <c r="Z58" s="44"/>
      <c r="AA58" s="45">
        <v>0</v>
      </c>
      <c r="AB58" s="44"/>
      <c r="AC58" s="45">
        <f t="shared" si="0"/>
        <v>4110698</v>
      </c>
      <c r="AD58" s="45"/>
      <c r="AE58" s="48">
        <v>0</v>
      </c>
      <c r="AF58" s="48"/>
      <c r="AG58" s="45">
        <f>7500+116750</f>
        <v>124250</v>
      </c>
      <c r="AH58" s="45"/>
      <c r="AI58" s="45">
        <v>815324</v>
      </c>
      <c r="AJ58" s="45"/>
      <c r="AK58" s="45">
        <v>0</v>
      </c>
      <c r="AL58" s="45"/>
      <c r="AM58" s="45">
        <f>+'Gen rev'!U58-'Gen exp'!AC58-AG58+'Gen rev'!W58+AI58+AK58-'Gen Bal'!S58-'Gen exp'!AE58</f>
        <v>0</v>
      </c>
      <c r="AN58" s="44"/>
      <c r="AO58" s="44"/>
      <c r="AP58" s="44"/>
      <c r="AQ58" s="44"/>
    </row>
    <row r="59" spans="1:45" s="49" customFormat="1" ht="12.75" customHeight="1">
      <c r="A59" s="28" t="s">
        <v>79</v>
      </c>
      <c r="C59" s="28" t="s">
        <v>80</v>
      </c>
      <c r="E59" s="45">
        <v>745106</v>
      </c>
      <c r="F59" s="45"/>
      <c r="G59" s="45">
        <v>41016</v>
      </c>
      <c r="H59" s="45"/>
      <c r="I59" s="45">
        <v>44857</v>
      </c>
      <c r="J59" s="45"/>
      <c r="K59" s="45">
        <v>36442</v>
      </c>
      <c r="L59" s="45"/>
      <c r="M59" s="45">
        <v>0</v>
      </c>
      <c r="N59" s="45"/>
      <c r="O59" s="45">
        <v>22101</v>
      </c>
      <c r="P59" s="45"/>
      <c r="Q59" s="45">
        <v>15242</v>
      </c>
      <c r="R59" s="45"/>
      <c r="S59" s="45">
        <v>0</v>
      </c>
      <c r="T59" s="45"/>
      <c r="U59" s="45">
        <v>0</v>
      </c>
      <c r="V59" s="45"/>
      <c r="W59" s="45">
        <v>0</v>
      </c>
      <c r="X59" s="45"/>
      <c r="Y59" s="45">
        <v>0</v>
      </c>
      <c r="Z59" s="44"/>
      <c r="AA59" s="45">
        <v>0</v>
      </c>
      <c r="AB59" s="44"/>
      <c r="AC59" s="45">
        <f t="shared" si="0"/>
        <v>904764</v>
      </c>
      <c r="AD59" s="45"/>
      <c r="AE59" s="48">
        <v>0</v>
      </c>
      <c r="AF59" s="48"/>
      <c r="AG59" s="45">
        <v>0</v>
      </c>
      <c r="AH59" s="45"/>
      <c r="AI59" s="45">
        <v>276154</v>
      </c>
      <c r="AJ59" s="45"/>
      <c r="AK59" s="45">
        <v>0</v>
      </c>
      <c r="AL59" s="45"/>
      <c r="AM59" s="45">
        <f>+'Gen rev'!U59-'Gen exp'!AC59-AG59+'Gen rev'!W59+AI59+AK59-'Gen Bal'!S59-'Gen exp'!AE59</f>
        <v>0</v>
      </c>
      <c r="AN59" s="44"/>
      <c r="AO59" s="44"/>
      <c r="AP59" s="44"/>
      <c r="AQ59" s="44"/>
    </row>
    <row r="60" spans="1:45" s="49" customFormat="1" ht="12.75" customHeight="1">
      <c r="A60" s="28" t="s">
        <v>81</v>
      </c>
      <c r="C60" s="28" t="s">
        <v>81</v>
      </c>
      <c r="E60" s="45">
        <v>2149805</v>
      </c>
      <c r="F60" s="45"/>
      <c r="G60" s="45">
        <v>2044138</v>
      </c>
      <c r="H60" s="45"/>
      <c r="I60" s="45">
        <v>12580</v>
      </c>
      <c r="J60" s="45"/>
      <c r="K60" s="45">
        <v>489929</v>
      </c>
      <c r="L60" s="45"/>
      <c r="M60" s="45">
        <v>0</v>
      </c>
      <c r="N60" s="45"/>
      <c r="O60" s="45">
        <v>119769</v>
      </c>
      <c r="P60" s="45"/>
      <c r="Q60" s="45">
        <v>0</v>
      </c>
      <c r="R60" s="45"/>
      <c r="S60" s="45">
        <v>0</v>
      </c>
      <c r="T60" s="45"/>
      <c r="U60" s="45">
        <v>0</v>
      </c>
      <c r="V60" s="45"/>
      <c r="W60" s="45">
        <v>0</v>
      </c>
      <c r="X60" s="45"/>
      <c r="Y60" s="45">
        <v>7425</v>
      </c>
      <c r="Z60" s="44"/>
      <c r="AA60" s="45">
        <v>0</v>
      </c>
      <c r="AB60" s="44"/>
      <c r="AC60" s="45">
        <f t="shared" si="0"/>
        <v>4823646</v>
      </c>
      <c r="AD60" s="45"/>
      <c r="AE60" s="48">
        <v>0</v>
      </c>
      <c r="AF60" s="48"/>
      <c r="AG60" s="45">
        <v>0</v>
      </c>
      <c r="AH60" s="45"/>
      <c r="AI60" s="45">
        <v>99320</v>
      </c>
      <c r="AJ60" s="45"/>
      <c r="AK60" s="45">
        <v>0</v>
      </c>
      <c r="AL60" s="45"/>
      <c r="AM60" s="45">
        <f>+'Gen rev'!U60-'Gen exp'!AC60-AG60+'Gen rev'!W60+AI60+AK60-'Gen Bal'!S60-'Gen exp'!AE60</f>
        <v>0</v>
      </c>
      <c r="AN60" s="44"/>
      <c r="AO60" s="44"/>
      <c r="AP60" s="44"/>
      <c r="AQ60" s="44"/>
    </row>
    <row r="61" spans="1:45" s="46" customFormat="1" ht="12.75" customHeight="1">
      <c r="A61" s="47" t="s">
        <v>466</v>
      </c>
      <c r="B61" s="47"/>
      <c r="C61" s="47" t="s">
        <v>57</v>
      </c>
      <c r="D61" s="49"/>
      <c r="E61" s="45">
        <v>328804</v>
      </c>
      <c r="F61" s="45"/>
      <c r="G61" s="45">
        <v>1112176</v>
      </c>
      <c r="H61" s="45"/>
      <c r="I61" s="45">
        <v>41492</v>
      </c>
      <c r="J61" s="45"/>
      <c r="K61" s="45">
        <v>0</v>
      </c>
      <c r="L61" s="45"/>
      <c r="M61" s="45">
        <v>0</v>
      </c>
      <c r="N61" s="45"/>
      <c r="O61" s="45">
        <v>48188</v>
      </c>
      <c r="P61" s="45"/>
      <c r="Q61" s="45">
        <v>0</v>
      </c>
      <c r="R61" s="45"/>
      <c r="S61" s="45">
        <v>0</v>
      </c>
      <c r="T61" s="45"/>
      <c r="U61" s="45">
        <v>0</v>
      </c>
      <c r="V61" s="45"/>
      <c r="W61" s="45">
        <v>2049</v>
      </c>
      <c r="X61" s="45"/>
      <c r="Y61" s="45">
        <v>4661</v>
      </c>
      <c r="Z61" s="44"/>
      <c r="AA61" s="45">
        <v>0</v>
      </c>
      <c r="AB61" s="44"/>
      <c r="AC61" s="45">
        <f t="shared" si="0"/>
        <v>1537370</v>
      </c>
      <c r="AD61" s="45"/>
      <c r="AE61" s="48">
        <v>0</v>
      </c>
      <c r="AF61" s="48"/>
      <c r="AG61" s="45">
        <v>0</v>
      </c>
      <c r="AH61" s="45"/>
      <c r="AI61" s="45">
        <v>12691</v>
      </c>
      <c r="AJ61" s="45"/>
      <c r="AK61" s="45">
        <v>0</v>
      </c>
      <c r="AL61" s="45"/>
      <c r="AM61" s="45">
        <f>+'Gen rev'!U61-'Gen exp'!AC61-AG61+'Gen rev'!W61+AI61+AK61-'Gen Bal'!S61-'Gen exp'!AE61</f>
        <v>0</v>
      </c>
    </row>
    <row r="62" spans="1:45" s="49" customFormat="1" ht="12.75" customHeight="1">
      <c r="A62" s="28" t="s">
        <v>82</v>
      </c>
      <c r="C62" s="28" t="s">
        <v>13</v>
      </c>
      <c r="E62" s="45">
        <v>8469184</v>
      </c>
      <c r="F62" s="45"/>
      <c r="G62" s="45">
        <v>17544970</v>
      </c>
      <c r="H62" s="45"/>
      <c r="I62" s="45">
        <v>1208830</v>
      </c>
      <c r="J62" s="45"/>
      <c r="K62" s="45">
        <v>0</v>
      </c>
      <c r="L62" s="45"/>
      <c r="M62" s="45">
        <v>0</v>
      </c>
      <c r="N62" s="45"/>
      <c r="O62" s="45">
        <v>2117415</v>
      </c>
      <c r="P62" s="45"/>
      <c r="Q62" s="45">
        <v>0</v>
      </c>
      <c r="R62" s="45"/>
      <c r="S62" s="45">
        <v>0</v>
      </c>
      <c r="T62" s="45"/>
      <c r="U62" s="45">
        <v>0</v>
      </c>
      <c r="V62" s="45"/>
      <c r="W62" s="45">
        <v>0</v>
      </c>
      <c r="X62" s="45"/>
      <c r="Y62" s="45">
        <v>0</v>
      </c>
      <c r="Z62" s="44"/>
      <c r="AA62" s="45">
        <v>0</v>
      </c>
      <c r="AB62" s="44"/>
      <c r="AC62" s="45">
        <f t="shared" si="0"/>
        <v>29340399</v>
      </c>
      <c r="AD62" s="45"/>
      <c r="AE62" s="48">
        <v>0</v>
      </c>
      <c r="AF62" s="48"/>
      <c r="AG62" s="45">
        <v>4168823</v>
      </c>
      <c r="AH62" s="45"/>
      <c r="AI62" s="45">
        <v>5102751</v>
      </c>
      <c r="AJ62" s="45"/>
      <c r="AK62" s="45">
        <f>-3882-10770</f>
        <v>-14652</v>
      </c>
      <c r="AL62" s="45"/>
      <c r="AM62" s="45">
        <f>+'Gen rev'!U62-'Gen exp'!AC62-AG62+'Gen rev'!W62+AI62+AK62-'Gen Bal'!S62-'Gen exp'!AE62</f>
        <v>0</v>
      </c>
      <c r="AN62" s="44"/>
      <c r="AO62" s="44"/>
      <c r="AP62" s="44"/>
      <c r="AQ62" s="44"/>
    </row>
    <row r="63" spans="1:45" s="49" customFormat="1" ht="12.75" customHeight="1">
      <c r="A63" s="64" t="s">
        <v>83</v>
      </c>
      <c r="B63" s="46"/>
      <c r="C63" s="64" t="s">
        <v>66</v>
      </c>
      <c r="D63" s="46"/>
      <c r="E63" s="45">
        <v>0</v>
      </c>
      <c r="F63" s="45"/>
      <c r="G63" s="45">
        <v>95967072</v>
      </c>
      <c r="H63" s="45"/>
      <c r="I63" s="45">
        <f>3903145+13841327+3519401</f>
        <v>21263873</v>
      </c>
      <c r="J63" s="45"/>
      <c r="K63" s="45">
        <v>121789</v>
      </c>
      <c r="L63" s="45"/>
      <c r="M63" s="45">
        <v>0</v>
      </c>
      <c r="N63" s="45"/>
      <c r="O63" s="45">
        <v>0</v>
      </c>
      <c r="P63" s="45"/>
      <c r="Q63" s="45">
        <f>24947850+15804603+1332285</f>
        <v>42084738</v>
      </c>
      <c r="R63" s="45"/>
      <c r="S63" s="45">
        <v>0</v>
      </c>
      <c r="T63" s="45"/>
      <c r="U63" s="45">
        <v>0</v>
      </c>
      <c r="V63" s="45"/>
      <c r="W63" s="45">
        <v>68403</v>
      </c>
      <c r="X63" s="45"/>
      <c r="Y63" s="45">
        <v>2893</v>
      </c>
      <c r="Z63" s="44"/>
      <c r="AA63" s="45">
        <v>0</v>
      </c>
      <c r="AB63" s="44"/>
      <c r="AC63" s="45">
        <f t="shared" si="0"/>
        <v>159508768</v>
      </c>
      <c r="AD63" s="45"/>
      <c r="AE63" s="48">
        <v>0</v>
      </c>
      <c r="AF63" s="48"/>
      <c r="AG63" s="45">
        <v>13335130</v>
      </c>
      <c r="AH63" s="45"/>
      <c r="AI63" s="45">
        <v>37341954</v>
      </c>
      <c r="AJ63" s="45"/>
      <c r="AK63" s="45">
        <v>0</v>
      </c>
      <c r="AL63" s="45"/>
      <c r="AM63" s="45">
        <f>+'Gen rev'!U63-'Gen exp'!AC63-AG63+'Gen rev'!W63+AI63+AK63-'Gen Bal'!S63-'Gen exp'!AE63</f>
        <v>0</v>
      </c>
      <c r="AN63" s="44"/>
      <c r="AO63" s="44"/>
      <c r="AP63" s="44"/>
      <c r="AQ63" s="44"/>
    </row>
    <row r="64" spans="1:45" s="146" customFormat="1" ht="12.75" hidden="1" customHeight="1">
      <c r="A64" s="145" t="s">
        <v>84</v>
      </c>
      <c r="B64" s="139"/>
      <c r="C64" s="145" t="s">
        <v>45</v>
      </c>
      <c r="D64" s="139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37"/>
      <c r="AA64" s="143"/>
      <c r="AB64" s="137"/>
      <c r="AC64" s="143">
        <f t="shared" si="0"/>
        <v>0</v>
      </c>
      <c r="AD64" s="143"/>
      <c r="AE64" s="148">
        <v>0</v>
      </c>
      <c r="AF64" s="148"/>
      <c r="AG64" s="143"/>
      <c r="AH64" s="143"/>
      <c r="AI64" s="143"/>
      <c r="AJ64" s="143"/>
      <c r="AK64" s="143"/>
      <c r="AL64" s="143"/>
      <c r="AM64" s="143">
        <f>+'Gen rev'!U64-'Gen exp'!AC64-AG64+'Gen rev'!W64+AI64+AK64-'Gen Bal'!S64-'Gen exp'!AE64</f>
        <v>0</v>
      </c>
      <c r="AN64" s="137"/>
      <c r="AO64" s="137"/>
      <c r="AP64" s="137"/>
      <c r="AQ64" s="137"/>
    </row>
    <row r="65" spans="1:45" s="46" customFormat="1" ht="12.75" customHeight="1">
      <c r="A65" s="28" t="s">
        <v>85</v>
      </c>
      <c r="B65" s="49"/>
      <c r="C65" s="28" t="s">
        <v>85</v>
      </c>
      <c r="D65" s="49"/>
      <c r="E65" s="45">
        <v>2726528</v>
      </c>
      <c r="F65" s="45"/>
      <c r="G65" s="45">
        <v>4437296</v>
      </c>
      <c r="H65" s="45"/>
      <c r="I65" s="45">
        <f>489268+267381</f>
        <v>756649</v>
      </c>
      <c r="J65" s="45"/>
      <c r="K65" s="45">
        <v>237907</v>
      </c>
      <c r="L65" s="45"/>
      <c r="M65" s="45">
        <v>0</v>
      </c>
      <c r="N65" s="45"/>
      <c r="O65" s="45">
        <v>783809</v>
      </c>
      <c r="P65" s="45"/>
      <c r="Q65" s="45">
        <v>0</v>
      </c>
      <c r="R65" s="45"/>
      <c r="S65" s="45">
        <v>4471</v>
      </c>
      <c r="T65" s="45"/>
      <c r="U65" s="45">
        <v>0</v>
      </c>
      <c r="V65" s="45"/>
      <c r="W65" s="45">
        <v>3983</v>
      </c>
      <c r="X65" s="45"/>
      <c r="Y65" s="45">
        <v>1446</v>
      </c>
      <c r="Z65" s="44"/>
      <c r="AA65" s="45">
        <v>0</v>
      </c>
      <c r="AB65" s="44"/>
      <c r="AC65" s="45">
        <f t="shared" si="0"/>
        <v>8952089</v>
      </c>
      <c r="AD65" s="45"/>
      <c r="AE65" s="48">
        <v>0</v>
      </c>
      <c r="AF65" s="48"/>
      <c r="AG65" s="45">
        <v>395000</v>
      </c>
      <c r="AH65" s="45"/>
      <c r="AI65" s="45">
        <v>3838628</v>
      </c>
      <c r="AJ65" s="45"/>
      <c r="AK65" s="45">
        <v>0</v>
      </c>
      <c r="AL65" s="45"/>
      <c r="AM65" s="45">
        <f>+'Gen rev'!U65-'Gen exp'!AC65-AG65+'Gen rev'!W65+AI65+AK65-'Gen Bal'!S65-'Gen exp'!AE65</f>
        <v>0</v>
      </c>
    </row>
    <row r="66" spans="1:45" s="46" customFormat="1" ht="12.75" customHeight="1">
      <c r="A66" s="28" t="s">
        <v>86</v>
      </c>
      <c r="B66" s="49"/>
      <c r="C66" s="28" t="s">
        <v>86</v>
      </c>
      <c r="D66" s="49"/>
      <c r="E66" s="45">
        <v>5247353</v>
      </c>
      <c r="F66" s="45"/>
      <c r="G66" s="45">
        <f>5466655+540454+507724</f>
        <v>6514833</v>
      </c>
      <c r="H66" s="45"/>
      <c r="I66" s="45">
        <v>104583</v>
      </c>
      <c r="J66" s="45"/>
      <c r="K66" s="45">
        <v>0</v>
      </c>
      <c r="L66" s="45"/>
      <c r="M66" s="45">
        <v>0</v>
      </c>
      <c r="N66" s="45"/>
      <c r="O66" s="45">
        <v>0</v>
      </c>
      <c r="P66" s="45"/>
      <c r="Q66" s="45">
        <v>0</v>
      </c>
      <c r="R66" s="45"/>
      <c r="S66" s="45">
        <v>0</v>
      </c>
      <c r="T66" s="45"/>
      <c r="U66" s="45">
        <v>0</v>
      </c>
      <c r="V66" s="45"/>
      <c r="W66" s="45">
        <v>15723</v>
      </c>
      <c r="X66" s="45"/>
      <c r="Y66" s="45">
        <v>295</v>
      </c>
      <c r="Z66" s="44"/>
      <c r="AA66" s="45">
        <v>0</v>
      </c>
      <c r="AB66" s="44"/>
      <c r="AC66" s="45">
        <f t="shared" si="0"/>
        <v>11882787</v>
      </c>
      <c r="AD66" s="45"/>
      <c r="AE66" s="48">
        <v>0</v>
      </c>
      <c r="AF66" s="48"/>
      <c r="AG66" s="45">
        <v>3515000</v>
      </c>
      <c r="AH66" s="45"/>
      <c r="AI66" s="45">
        <v>3531253</v>
      </c>
      <c r="AJ66" s="45"/>
      <c r="AK66" s="45">
        <v>0</v>
      </c>
      <c r="AL66" s="45"/>
      <c r="AM66" s="45">
        <f>+'Gen rev'!U66-'Gen exp'!AC66-AG66+'Gen rev'!W66+AI66+AK66-'Gen Bal'!S66-'Gen exp'!AE66</f>
        <v>0</v>
      </c>
    </row>
    <row r="67" spans="1:45" s="46" customFormat="1" ht="12.75" customHeight="1">
      <c r="A67" s="64" t="s">
        <v>87</v>
      </c>
      <c r="C67" s="64" t="s">
        <v>88</v>
      </c>
      <c r="E67" s="45">
        <v>95850</v>
      </c>
      <c r="F67" s="45"/>
      <c r="G67" s="45">
        <v>1518296</v>
      </c>
      <c r="H67" s="45"/>
      <c r="I67" s="45">
        <v>0</v>
      </c>
      <c r="J67" s="45"/>
      <c r="K67" s="45">
        <v>127459</v>
      </c>
      <c r="L67" s="45"/>
      <c r="M67" s="45">
        <v>0</v>
      </c>
      <c r="N67" s="45"/>
      <c r="O67" s="45">
        <v>398132</v>
      </c>
      <c r="P67" s="45"/>
      <c r="Q67" s="45">
        <v>0</v>
      </c>
      <c r="R67" s="45"/>
      <c r="S67" s="45">
        <v>663305</v>
      </c>
      <c r="T67" s="45"/>
      <c r="U67" s="45">
        <v>0</v>
      </c>
      <c r="V67" s="45"/>
      <c r="W67" s="45">
        <v>0</v>
      </c>
      <c r="X67" s="45"/>
      <c r="Y67" s="45">
        <v>0</v>
      </c>
      <c r="Z67" s="44"/>
      <c r="AA67" s="45">
        <v>0</v>
      </c>
      <c r="AB67" s="44"/>
      <c r="AC67" s="45">
        <f t="shared" si="0"/>
        <v>2803042</v>
      </c>
      <c r="AD67" s="45"/>
      <c r="AE67" s="48">
        <v>0</v>
      </c>
      <c r="AF67" s="48"/>
      <c r="AG67" s="45">
        <v>819344</v>
      </c>
      <c r="AH67" s="45"/>
      <c r="AI67" s="45">
        <v>1273153</v>
      </c>
      <c r="AJ67" s="45"/>
      <c r="AK67" s="45">
        <v>0</v>
      </c>
      <c r="AL67" s="45"/>
      <c r="AM67" s="45">
        <f>+'Gen rev'!U67-'Gen exp'!AC67-AG67+'Gen rev'!W67+AI67+AK67-'Gen Bal'!S67-'Gen exp'!AE67</f>
        <v>0</v>
      </c>
    </row>
    <row r="68" spans="1:45" s="49" customFormat="1" ht="12.75" customHeight="1">
      <c r="A68" s="64" t="s">
        <v>394</v>
      </c>
      <c r="B68" s="46"/>
      <c r="C68" s="64" t="s">
        <v>89</v>
      </c>
      <c r="D68" s="46"/>
      <c r="E68" s="45">
        <v>1237668</v>
      </c>
      <c r="F68" s="45"/>
      <c r="G68" s="45">
        <v>3323214</v>
      </c>
      <c r="H68" s="45"/>
      <c r="I68" s="45">
        <v>80843</v>
      </c>
      <c r="J68" s="45"/>
      <c r="K68" s="45">
        <v>12250</v>
      </c>
      <c r="L68" s="45"/>
      <c r="M68" s="45">
        <v>0</v>
      </c>
      <c r="N68" s="45"/>
      <c r="O68" s="45">
        <v>710690</v>
      </c>
      <c r="P68" s="45"/>
      <c r="Q68" s="45">
        <v>578515</v>
      </c>
      <c r="R68" s="45"/>
      <c r="S68" s="45">
        <v>0</v>
      </c>
      <c r="T68" s="45"/>
      <c r="U68" s="45">
        <v>0</v>
      </c>
      <c r="V68" s="45"/>
      <c r="W68" s="45">
        <v>0</v>
      </c>
      <c r="X68" s="45"/>
      <c r="Y68" s="45">
        <v>0</v>
      </c>
      <c r="Z68" s="44"/>
      <c r="AA68" s="45">
        <v>0</v>
      </c>
      <c r="AB68" s="44"/>
      <c r="AC68" s="45">
        <f t="shared" si="0"/>
        <v>5943180</v>
      </c>
      <c r="AD68" s="45"/>
      <c r="AE68" s="48">
        <v>0</v>
      </c>
      <c r="AF68" s="48"/>
      <c r="AG68" s="45">
        <v>0</v>
      </c>
      <c r="AH68" s="45"/>
      <c r="AI68" s="45">
        <v>299505</v>
      </c>
      <c r="AJ68" s="45"/>
      <c r="AK68" s="45">
        <v>0</v>
      </c>
      <c r="AL68" s="45"/>
      <c r="AM68" s="45">
        <f>+'Gen rev'!U68-'Gen exp'!AC68-AG68+'Gen rev'!W68+AI68+AK68-'Gen Bal'!S68-'Gen exp'!AE68</f>
        <v>0</v>
      </c>
      <c r="AN68" s="44"/>
      <c r="AO68" s="44"/>
      <c r="AP68" s="44"/>
      <c r="AQ68" s="44"/>
    </row>
    <row r="69" spans="1:45" s="49" customFormat="1" ht="12.75" customHeight="1">
      <c r="A69" s="28" t="s">
        <v>90</v>
      </c>
      <c r="C69" s="28" t="s">
        <v>43</v>
      </c>
      <c r="E69" s="45">
        <v>20803461</v>
      </c>
      <c r="F69" s="45"/>
      <c r="G69" s="45">
        <v>229225</v>
      </c>
      <c r="H69" s="45"/>
      <c r="I69" s="45">
        <v>6401483</v>
      </c>
      <c r="J69" s="45"/>
      <c r="K69" s="45">
        <v>199603</v>
      </c>
      <c r="L69" s="45"/>
      <c r="M69" s="45">
        <v>0</v>
      </c>
      <c r="N69" s="45"/>
      <c r="O69" s="45">
        <v>5490732</v>
      </c>
      <c r="P69" s="45"/>
      <c r="Q69" s="45">
        <v>2555967</v>
      </c>
      <c r="R69" s="45"/>
      <c r="S69" s="45">
        <v>374219</v>
      </c>
      <c r="T69" s="45"/>
      <c r="U69" s="45">
        <v>0</v>
      </c>
      <c r="V69" s="45"/>
      <c r="W69" s="45">
        <v>0</v>
      </c>
      <c r="X69" s="45"/>
      <c r="Y69" s="45">
        <v>0</v>
      </c>
      <c r="Z69" s="44"/>
      <c r="AA69" s="45">
        <v>0</v>
      </c>
      <c r="AB69" s="44"/>
      <c r="AC69" s="45">
        <f t="shared" si="0"/>
        <v>36054690</v>
      </c>
      <c r="AD69" s="45"/>
      <c r="AE69" s="48">
        <v>0</v>
      </c>
      <c r="AF69" s="48"/>
      <c r="AG69" s="45">
        <v>24700000</v>
      </c>
      <c r="AH69" s="45"/>
      <c r="AI69" s="45">
        <v>35203583</v>
      </c>
      <c r="AJ69" s="45"/>
      <c r="AK69" s="45">
        <v>0</v>
      </c>
      <c r="AL69" s="45"/>
      <c r="AM69" s="45">
        <f>+'Gen rev'!U69-'Gen exp'!AC69-AG69+'Gen rev'!W69+AI69+AK69-'Gen Bal'!S69-'Gen exp'!AE69</f>
        <v>0</v>
      </c>
      <c r="AN69" s="44"/>
      <c r="AO69" s="44"/>
      <c r="AP69" s="44"/>
      <c r="AQ69" s="44"/>
    </row>
    <row r="70" spans="1:45" s="49" customFormat="1" ht="12.75" customHeight="1">
      <c r="A70" s="28" t="s">
        <v>93</v>
      </c>
      <c r="C70" s="28" t="s">
        <v>94</v>
      </c>
      <c r="E70" s="45">
        <v>1339758</v>
      </c>
      <c r="F70" s="45"/>
      <c r="G70" s="45">
        <v>0</v>
      </c>
      <c r="H70" s="45"/>
      <c r="I70" s="45">
        <v>110792</v>
      </c>
      <c r="J70" s="45"/>
      <c r="K70" s="45">
        <v>146699</v>
      </c>
      <c r="L70" s="45"/>
      <c r="M70" s="45">
        <v>0</v>
      </c>
      <c r="N70" s="45"/>
      <c r="O70" s="45">
        <v>125627</v>
      </c>
      <c r="P70" s="45"/>
      <c r="Q70" s="45">
        <v>0</v>
      </c>
      <c r="R70" s="45"/>
      <c r="S70" s="45">
        <v>0</v>
      </c>
      <c r="T70" s="45"/>
      <c r="U70" s="45">
        <v>0</v>
      </c>
      <c r="V70" s="45"/>
      <c r="W70" s="45">
        <v>0</v>
      </c>
      <c r="X70" s="45"/>
      <c r="Y70" s="45">
        <v>0</v>
      </c>
      <c r="Z70" s="44"/>
      <c r="AA70" s="45">
        <v>0</v>
      </c>
      <c r="AB70" s="44"/>
      <c r="AC70" s="45">
        <f t="shared" si="0"/>
        <v>1722876</v>
      </c>
      <c r="AD70" s="45"/>
      <c r="AE70" s="48">
        <v>0</v>
      </c>
      <c r="AF70" s="48"/>
      <c r="AG70" s="45">
        <v>2454556</v>
      </c>
      <c r="AH70" s="45"/>
      <c r="AI70" s="45">
        <v>508657</v>
      </c>
      <c r="AJ70" s="45"/>
      <c r="AK70" s="45">
        <v>0</v>
      </c>
      <c r="AL70" s="45"/>
      <c r="AM70" s="45">
        <f>+'Gen rev'!U70-'Gen exp'!AC70-AG70+'Gen rev'!W70+AI70+AK70-'Gen Bal'!S70-'Gen exp'!AE70</f>
        <v>0</v>
      </c>
      <c r="AN70" s="44"/>
      <c r="AO70" s="44"/>
      <c r="AP70" s="44"/>
      <c r="AQ70" s="44"/>
    </row>
    <row r="71" spans="1:45" s="49" customFormat="1" ht="12.75" customHeight="1">
      <c r="A71" s="28" t="s">
        <v>492</v>
      </c>
      <c r="C71" s="28" t="s">
        <v>27</v>
      </c>
      <c r="E71" s="45">
        <v>5441104</v>
      </c>
      <c r="F71" s="45"/>
      <c r="G71" s="45">
        <v>8882670</v>
      </c>
      <c r="H71" s="45"/>
      <c r="I71" s="45">
        <v>222431</v>
      </c>
      <c r="J71" s="45"/>
      <c r="K71" s="45">
        <v>0</v>
      </c>
      <c r="L71" s="45"/>
      <c r="M71" s="45">
        <v>389923</v>
      </c>
      <c r="N71" s="45"/>
      <c r="O71" s="45">
        <v>200223</v>
      </c>
      <c r="P71" s="45"/>
      <c r="Q71" s="45">
        <v>955329</v>
      </c>
      <c r="R71" s="45"/>
      <c r="S71" s="45">
        <v>0</v>
      </c>
      <c r="T71" s="45"/>
      <c r="U71" s="45">
        <v>0</v>
      </c>
      <c r="V71" s="45"/>
      <c r="W71" s="45">
        <v>235190</v>
      </c>
      <c r="X71" s="45"/>
      <c r="Y71" s="45">
        <v>115611</v>
      </c>
      <c r="Z71" s="44"/>
      <c r="AA71" s="45">
        <v>0</v>
      </c>
      <c r="AB71" s="44"/>
      <c r="AC71" s="45">
        <f>SUM(E71:AA71)</f>
        <v>16442481</v>
      </c>
      <c r="AD71" s="45"/>
      <c r="AE71" s="48">
        <v>0</v>
      </c>
      <c r="AF71" s="48"/>
      <c r="AG71" s="45">
        <v>80000</v>
      </c>
      <c r="AH71" s="45"/>
      <c r="AI71" s="45">
        <v>-550544</v>
      </c>
      <c r="AJ71" s="45"/>
      <c r="AK71" s="45">
        <v>0</v>
      </c>
      <c r="AL71" s="45"/>
      <c r="AM71" s="45">
        <f>+'Gen rev'!U71-'Gen exp'!AC71-AG71+'Gen rev'!W71+AI71+AK71-'Gen Bal'!S71-'Gen exp'!AE71</f>
        <v>0</v>
      </c>
      <c r="AN71" s="44"/>
      <c r="AO71" s="44"/>
      <c r="AP71" s="44"/>
      <c r="AQ71" s="44"/>
    </row>
    <row r="72" spans="1:45" s="49" customFormat="1" ht="12.75" customHeight="1">
      <c r="A72" s="28"/>
      <c r="C72" s="28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4"/>
      <c r="AA72" s="45"/>
      <c r="AB72" s="44"/>
      <c r="AC72" s="45"/>
      <c r="AD72" s="45"/>
      <c r="AE72" s="48"/>
      <c r="AF72" s="48"/>
      <c r="AG72" s="48" t="s">
        <v>485</v>
      </c>
      <c r="AH72" s="45"/>
      <c r="AI72" s="45"/>
      <c r="AJ72" s="45"/>
      <c r="AK72" s="45"/>
      <c r="AL72" s="45"/>
      <c r="AM72" s="45"/>
      <c r="AN72" s="44"/>
      <c r="AO72" s="44"/>
      <c r="AP72" s="44"/>
      <c r="AQ72" s="44"/>
    </row>
    <row r="73" spans="1:45" s="46" customFormat="1" ht="12.75" customHeight="1">
      <c r="A73" s="64" t="s">
        <v>95</v>
      </c>
      <c r="C73" s="64" t="s">
        <v>94</v>
      </c>
      <c r="E73" s="94">
        <v>570755</v>
      </c>
      <c r="F73" s="94"/>
      <c r="G73" s="94">
        <v>1096537</v>
      </c>
      <c r="H73" s="94"/>
      <c r="I73" s="94">
        <v>0</v>
      </c>
      <c r="J73" s="94"/>
      <c r="K73" s="94">
        <v>48783</v>
      </c>
      <c r="L73" s="94"/>
      <c r="M73" s="94">
        <v>0</v>
      </c>
      <c r="N73" s="94"/>
      <c r="O73" s="94">
        <v>0</v>
      </c>
      <c r="P73" s="94"/>
      <c r="Q73" s="94">
        <v>0</v>
      </c>
      <c r="R73" s="94"/>
      <c r="S73" s="94">
        <v>0</v>
      </c>
      <c r="T73" s="94"/>
      <c r="U73" s="94">
        <v>0</v>
      </c>
      <c r="V73" s="94"/>
      <c r="W73" s="94">
        <v>0</v>
      </c>
      <c r="X73" s="94"/>
      <c r="Y73" s="94">
        <v>0</v>
      </c>
      <c r="AA73" s="94">
        <v>0</v>
      </c>
      <c r="AC73" s="94">
        <f t="shared" ref="AC73:AC79" si="1">SUM(E73:AA73)</f>
        <v>1716075</v>
      </c>
      <c r="AD73" s="94"/>
      <c r="AE73" s="68">
        <v>0</v>
      </c>
      <c r="AF73" s="68"/>
      <c r="AG73" s="94">
        <v>125058</v>
      </c>
      <c r="AH73" s="94"/>
      <c r="AI73" s="94">
        <v>-646448</v>
      </c>
      <c r="AJ73" s="94"/>
      <c r="AK73" s="94">
        <v>0</v>
      </c>
      <c r="AL73" s="94"/>
      <c r="AM73" s="94">
        <f>+'Gen rev'!U73-'Gen exp'!AC73-AG73+'Gen rev'!W73+AI73+AK73-'Gen Bal'!S73-'Gen exp'!AE73</f>
        <v>0</v>
      </c>
    </row>
    <row r="74" spans="1:45" s="49" customFormat="1" ht="12.75" customHeight="1">
      <c r="A74" s="28" t="s">
        <v>91</v>
      </c>
      <c r="C74" s="28" t="s">
        <v>92</v>
      </c>
      <c r="E74" s="45">
        <v>3781718</v>
      </c>
      <c r="F74" s="45"/>
      <c r="G74" s="45">
        <v>6031303</v>
      </c>
      <c r="H74" s="45"/>
      <c r="I74" s="45">
        <v>298901</v>
      </c>
      <c r="J74" s="45"/>
      <c r="K74" s="45">
        <v>174954</v>
      </c>
      <c r="L74" s="45"/>
      <c r="M74" s="45">
        <v>233488</v>
      </c>
      <c r="N74" s="45"/>
      <c r="O74" s="45">
        <v>389284</v>
      </c>
      <c r="P74" s="45"/>
      <c r="Q74" s="45">
        <v>784071</v>
      </c>
      <c r="R74" s="45"/>
      <c r="S74" s="45">
        <v>174663</v>
      </c>
      <c r="T74" s="45"/>
      <c r="U74" s="45">
        <v>0</v>
      </c>
      <c r="V74" s="45"/>
      <c r="W74" s="45">
        <v>0</v>
      </c>
      <c r="X74" s="45"/>
      <c r="Y74" s="45">
        <v>0</v>
      </c>
      <c r="Z74" s="44"/>
      <c r="AA74" s="45">
        <v>0</v>
      </c>
      <c r="AB74" s="44"/>
      <c r="AC74" s="45">
        <f t="shared" si="1"/>
        <v>11868382</v>
      </c>
      <c r="AD74" s="45"/>
      <c r="AE74" s="48">
        <v>0</v>
      </c>
      <c r="AF74" s="48"/>
      <c r="AG74" s="45">
        <f>2045000+4181</f>
        <v>2049181</v>
      </c>
      <c r="AH74" s="45"/>
      <c r="AI74" s="45">
        <v>3383051</v>
      </c>
      <c r="AJ74" s="45"/>
      <c r="AK74" s="45">
        <v>0</v>
      </c>
      <c r="AL74" s="45"/>
      <c r="AM74" s="45">
        <f>+'Gen rev'!U74-'Gen exp'!AC74-AG74+'Gen rev'!W74+AI74+AK74-'Gen Bal'!S74-'Gen exp'!AE74</f>
        <v>0</v>
      </c>
      <c r="AN74" s="44"/>
      <c r="AO74" s="44"/>
      <c r="AP74" s="44"/>
      <c r="AQ74" s="44"/>
    </row>
    <row r="75" spans="1:45" s="49" customFormat="1" ht="12.75" customHeight="1">
      <c r="A75" s="28" t="s">
        <v>96</v>
      </c>
      <c r="C75" s="28" t="s">
        <v>97</v>
      </c>
      <c r="E75" s="45">
        <v>1335140</v>
      </c>
      <c r="F75" s="45"/>
      <c r="G75" s="45">
        <v>1116917</v>
      </c>
      <c r="H75" s="45"/>
      <c r="I75" s="45">
        <v>238791</v>
      </c>
      <c r="J75" s="45"/>
      <c r="K75" s="45">
        <v>27129</v>
      </c>
      <c r="L75" s="45"/>
      <c r="M75" s="45">
        <v>109129</v>
      </c>
      <c r="N75" s="45"/>
      <c r="O75" s="45">
        <v>0</v>
      </c>
      <c r="P75" s="45"/>
      <c r="Q75" s="45">
        <v>0</v>
      </c>
      <c r="R75" s="45"/>
      <c r="S75" s="45">
        <v>57465</v>
      </c>
      <c r="T75" s="45"/>
      <c r="U75" s="45">
        <v>0</v>
      </c>
      <c r="V75" s="45"/>
      <c r="W75" s="45">
        <v>0</v>
      </c>
      <c r="X75" s="45"/>
      <c r="Y75" s="45">
        <v>0</v>
      </c>
      <c r="Z75" s="44"/>
      <c r="AA75" s="45">
        <v>0</v>
      </c>
      <c r="AB75" s="44"/>
      <c r="AC75" s="45">
        <f t="shared" si="1"/>
        <v>2884571</v>
      </c>
      <c r="AD75" s="45"/>
      <c r="AE75" s="48">
        <v>0</v>
      </c>
      <c r="AF75" s="48"/>
      <c r="AG75" s="45">
        <v>88434</v>
      </c>
      <c r="AH75" s="45"/>
      <c r="AI75" s="45">
        <v>1905195</v>
      </c>
      <c r="AJ75" s="45"/>
      <c r="AK75" s="45">
        <v>0</v>
      </c>
      <c r="AL75" s="45"/>
      <c r="AM75" s="45">
        <f>+'Gen rev'!U75-'Gen exp'!AC75-AG75+'Gen rev'!W75+AI75+AK75-'Gen Bal'!S75-'Gen exp'!AE75</f>
        <v>0</v>
      </c>
      <c r="AN75" s="44"/>
      <c r="AO75" s="44"/>
      <c r="AP75" s="44"/>
      <c r="AQ75" s="44"/>
    </row>
    <row r="76" spans="1:45" s="49" customFormat="1" ht="12.75" customHeight="1">
      <c r="A76" s="28" t="s">
        <v>98</v>
      </c>
      <c r="C76" s="28" t="s">
        <v>17</v>
      </c>
      <c r="E76" s="45">
        <v>7129400</v>
      </c>
      <c r="F76" s="45"/>
      <c r="G76" s="45">
        <v>16385974</v>
      </c>
      <c r="H76" s="45"/>
      <c r="I76" s="45">
        <v>798698</v>
      </c>
      <c r="J76" s="45"/>
      <c r="K76" s="45">
        <v>1760429</v>
      </c>
      <c r="L76" s="45"/>
      <c r="M76" s="45">
        <v>0</v>
      </c>
      <c r="N76" s="45"/>
      <c r="O76" s="45">
        <v>2184062</v>
      </c>
      <c r="P76" s="45"/>
      <c r="Q76" s="45">
        <v>0</v>
      </c>
      <c r="R76" s="45"/>
      <c r="S76" s="45">
        <v>245179</v>
      </c>
      <c r="T76" s="45"/>
      <c r="U76" s="45">
        <v>0</v>
      </c>
      <c r="V76" s="45"/>
      <c r="W76" s="45">
        <v>0</v>
      </c>
      <c r="X76" s="45"/>
      <c r="Y76" s="45">
        <v>0</v>
      </c>
      <c r="Z76" s="44"/>
      <c r="AA76" s="45">
        <v>0</v>
      </c>
      <c r="AB76" s="44"/>
      <c r="AC76" s="45">
        <f t="shared" si="1"/>
        <v>28503742</v>
      </c>
      <c r="AD76" s="45"/>
      <c r="AE76" s="48">
        <v>0</v>
      </c>
      <c r="AF76" s="48"/>
      <c r="AG76" s="45">
        <v>399519</v>
      </c>
      <c r="AH76" s="45"/>
      <c r="AI76" s="45">
        <v>5375514</v>
      </c>
      <c r="AJ76" s="45"/>
      <c r="AK76" s="45">
        <v>0</v>
      </c>
      <c r="AL76" s="45"/>
      <c r="AM76" s="45">
        <f>+'Gen rev'!U76-'Gen exp'!AC76-AG76+'Gen rev'!W76+AI76+AK76-'Gen Bal'!S76-'Gen exp'!AE76</f>
        <v>0</v>
      </c>
      <c r="AN76" s="44"/>
      <c r="AO76" s="44"/>
      <c r="AP76" s="44"/>
      <c r="AQ76" s="44"/>
    </row>
    <row r="77" spans="1:45" s="49" customFormat="1" ht="12.75" customHeight="1">
      <c r="A77" s="28" t="s">
        <v>99</v>
      </c>
      <c r="C77" s="28" t="s">
        <v>66</v>
      </c>
      <c r="E77" s="45">
        <v>1249680</v>
      </c>
      <c r="F77" s="45"/>
      <c r="G77" s="45">
        <v>0</v>
      </c>
      <c r="H77" s="45"/>
      <c r="I77" s="45">
        <v>399009</v>
      </c>
      <c r="J77" s="45"/>
      <c r="K77" s="45">
        <v>6149</v>
      </c>
      <c r="L77" s="45"/>
      <c r="M77" s="45">
        <v>0</v>
      </c>
      <c r="N77" s="45"/>
      <c r="O77" s="45">
        <v>143880</v>
      </c>
      <c r="P77" s="45"/>
      <c r="Q77" s="45">
        <v>0</v>
      </c>
      <c r="R77" s="45"/>
      <c r="S77" s="45">
        <v>0</v>
      </c>
      <c r="T77" s="45"/>
      <c r="U77" s="45">
        <v>0</v>
      </c>
      <c r="V77" s="45"/>
      <c r="W77" s="45">
        <v>0</v>
      </c>
      <c r="X77" s="45"/>
      <c r="Y77" s="45">
        <v>0</v>
      </c>
      <c r="Z77" s="44"/>
      <c r="AA77" s="45">
        <v>0</v>
      </c>
      <c r="AB77" s="44"/>
      <c r="AC77" s="45">
        <f t="shared" si="1"/>
        <v>1798718</v>
      </c>
      <c r="AD77" s="45"/>
      <c r="AE77" s="48">
        <v>0</v>
      </c>
      <c r="AF77" s="48"/>
      <c r="AG77" s="45">
        <v>6229547</v>
      </c>
      <c r="AH77" s="45"/>
      <c r="AI77" s="45">
        <v>2126658</v>
      </c>
      <c r="AJ77" s="45"/>
      <c r="AK77" s="45">
        <v>0</v>
      </c>
      <c r="AL77" s="45"/>
      <c r="AM77" s="45">
        <f>+'Gen rev'!U77-'Gen exp'!AC77-AG77+'Gen rev'!W77+AI77+AK77-'Gen Bal'!S77-'Gen exp'!AE77</f>
        <v>0</v>
      </c>
      <c r="AN77" s="44"/>
      <c r="AO77" s="44"/>
      <c r="AP77" s="44"/>
      <c r="AQ77" s="44"/>
    </row>
    <row r="78" spans="1:45" s="49" customFormat="1" ht="12.75" customHeight="1">
      <c r="A78" s="28" t="s">
        <v>100</v>
      </c>
      <c r="C78" s="28" t="s">
        <v>27</v>
      </c>
      <c r="E78" s="45">
        <v>11864548</v>
      </c>
      <c r="F78" s="45"/>
      <c r="G78" s="45">
        <v>20658228</v>
      </c>
      <c r="H78" s="45"/>
      <c r="I78" s="45">
        <v>1392917</v>
      </c>
      <c r="J78" s="45"/>
      <c r="K78" s="45">
        <v>277809</v>
      </c>
      <c r="L78" s="45"/>
      <c r="M78" s="45">
        <v>0</v>
      </c>
      <c r="N78" s="45"/>
      <c r="O78" s="45">
        <v>867405</v>
      </c>
      <c r="P78" s="45"/>
      <c r="Q78" s="45">
        <v>2204171</v>
      </c>
      <c r="R78" s="45"/>
      <c r="S78" s="45">
        <v>0</v>
      </c>
      <c r="T78" s="45"/>
      <c r="U78" s="45">
        <v>0</v>
      </c>
      <c r="V78" s="45"/>
      <c r="W78" s="45">
        <v>196978</v>
      </c>
      <c r="X78" s="45"/>
      <c r="Y78" s="45">
        <v>128315</v>
      </c>
      <c r="Z78" s="44"/>
      <c r="AA78" s="45">
        <v>0</v>
      </c>
      <c r="AB78" s="44"/>
      <c r="AC78" s="45">
        <f t="shared" si="1"/>
        <v>37590371</v>
      </c>
      <c r="AD78" s="45"/>
      <c r="AE78" s="48">
        <v>0</v>
      </c>
      <c r="AF78" s="48"/>
      <c r="AG78" s="45">
        <v>393844</v>
      </c>
      <c r="AH78" s="45"/>
      <c r="AI78" s="45">
        <v>8175552</v>
      </c>
      <c r="AJ78" s="45"/>
      <c r="AK78" s="45">
        <v>0</v>
      </c>
      <c r="AL78" s="45"/>
      <c r="AM78" s="45">
        <f>+'Gen rev'!U78-'Gen exp'!AC78-AG78+'Gen rev'!W78+AI78+AK78-'Gen Bal'!S78-'Gen exp'!AE78</f>
        <v>0</v>
      </c>
      <c r="AN78" s="44"/>
      <c r="AO78" s="44"/>
      <c r="AP78" s="44"/>
      <c r="AQ78" s="44"/>
    </row>
    <row r="79" spans="1:45" s="49" customFormat="1" ht="12.75" customHeight="1">
      <c r="A79" s="28" t="s">
        <v>101</v>
      </c>
      <c r="C79" s="28" t="s">
        <v>30</v>
      </c>
      <c r="E79" s="45">
        <v>5766208</v>
      </c>
      <c r="F79" s="45"/>
      <c r="G79" s="45">
        <v>5613445</v>
      </c>
      <c r="H79" s="45"/>
      <c r="I79" s="45">
        <v>667293</v>
      </c>
      <c r="J79" s="45"/>
      <c r="K79" s="45">
        <v>0</v>
      </c>
      <c r="L79" s="45"/>
      <c r="M79" s="45">
        <v>0</v>
      </c>
      <c r="N79" s="45"/>
      <c r="O79" s="45">
        <v>206331</v>
      </c>
      <c r="P79" s="45"/>
      <c r="Q79" s="45">
        <v>0</v>
      </c>
      <c r="R79" s="45"/>
      <c r="S79" s="45">
        <v>175935</v>
      </c>
      <c r="T79" s="45"/>
      <c r="U79" s="45">
        <v>0</v>
      </c>
      <c r="V79" s="45"/>
      <c r="W79" s="45">
        <v>6876</v>
      </c>
      <c r="X79" s="45"/>
      <c r="Y79" s="45">
        <v>280</v>
      </c>
      <c r="Z79" s="44"/>
      <c r="AA79" s="45">
        <v>0</v>
      </c>
      <c r="AB79" s="44"/>
      <c r="AC79" s="45">
        <f t="shared" si="1"/>
        <v>12436368</v>
      </c>
      <c r="AD79" s="45"/>
      <c r="AE79" s="48">
        <v>0</v>
      </c>
      <c r="AF79" s="48"/>
      <c r="AG79" s="45">
        <v>4029891</v>
      </c>
      <c r="AH79" s="45"/>
      <c r="AI79" s="45">
        <v>5447906</v>
      </c>
      <c r="AJ79" s="45"/>
      <c r="AK79" s="45">
        <v>-765</v>
      </c>
      <c r="AL79" s="45"/>
      <c r="AM79" s="45">
        <f>+'Gen rev'!U79-'Gen exp'!AC79-AG79+'Gen rev'!W79+AI79+AK79-'Gen Bal'!S79-'Gen exp'!AE79</f>
        <v>0</v>
      </c>
      <c r="AN79" s="45"/>
      <c r="AO79" s="45"/>
      <c r="AP79" s="45"/>
      <c r="AQ79" s="45"/>
      <c r="AR79" s="52"/>
      <c r="AS79" s="50"/>
    </row>
    <row r="80" spans="1:45" s="49" customFormat="1" ht="12.75" customHeight="1">
      <c r="A80" s="28" t="s">
        <v>102</v>
      </c>
      <c r="C80" s="28" t="s">
        <v>103</v>
      </c>
      <c r="E80" s="45">
        <v>6424045</v>
      </c>
      <c r="F80" s="45"/>
      <c r="G80" s="45">
        <v>9005354</v>
      </c>
      <c r="H80" s="45"/>
      <c r="I80" s="45">
        <v>1285742</v>
      </c>
      <c r="J80" s="45"/>
      <c r="K80" s="45">
        <v>24166</v>
      </c>
      <c r="L80" s="45"/>
      <c r="M80" s="45">
        <v>0</v>
      </c>
      <c r="N80" s="45"/>
      <c r="O80" s="45">
        <v>2215832</v>
      </c>
      <c r="P80" s="45"/>
      <c r="Q80" s="45">
        <v>461934</v>
      </c>
      <c r="R80" s="45"/>
      <c r="S80" s="45">
        <v>515770</v>
      </c>
      <c r="T80" s="45"/>
      <c r="U80" s="45">
        <v>0</v>
      </c>
      <c r="V80" s="45"/>
      <c r="W80" s="45">
        <v>0</v>
      </c>
      <c r="X80" s="45"/>
      <c r="Y80" s="45">
        <v>0</v>
      </c>
      <c r="Z80" s="44"/>
      <c r="AA80" s="45">
        <v>0</v>
      </c>
      <c r="AB80" s="44"/>
      <c r="AC80" s="45">
        <f t="shared" ref="AC80:AC146" si="2">SUM(E80:AA80)</f>
        <v>19932843</v>
      </c>
      <c r="AD80" s="45"/>
      <c r="AE80" s="48">
        <v>0</v>
      </c>
      <c r="AF80" s="48"/>
      <c r="AG80" s="45">
        <v>2380618</v>
      </c>
      <c r="AH80" s="45"/>
      <c r="AI80" s="45">
        <v>10585076</v>
      </c>
      <c r="AJ80" s="45"/>
      <c r="AK80" s="45">
        <v>0</v>
      </c>
      <c r="AL80" s="45"/>
      <c r="AM80" s="45">
        <f>+'Gen rev'!U80-'Gen exp'!AC80-AG80+'Gen rev'!W80+AI80+AK80-'Gen Bal'!S80-'Gen exp'!AE80</f>
        <v>0</v>
      </c>
      <c r="AN80" s="45"/>
      <c r="AO80" s="45"/>
      <c r="AP80" s="45"/>
      <c r="AQ80" s="45"/>
      <c r="AR80" s="52"/>
      <c r="AS80" s="50"/>
    </row>
    <row r="81" spans="1:45" s="49" customFormat="1" ht="12.75" customHeight="1">
      <c r="A81" s="28" t="s">
        <v>104</v>
      </c>
      <c r="C81" s="28" t="s">
        <v>13</v>
      </c>
      <c r="E81" s="45">
        <v>2580161</v>
      </c>
      <c r="F81" s="45"/>
      <c r="G81" s="45">
        <v>5373068</v>
      </c>
      <c r="H81" s="45"/>
      <c r="I81" s="45">
        <v>37512</v>
      </c>
      <c r="J81" s="45"/>
      <c r="K81" s="45">
        <v>112448</v>
      </c>
      <c r="L81" s="45"/>
      <c r="M81" s="45">
        <v>1646962</v>
      </c>
      <c r="N81" s="45"/>
      <c r="O81" s="45">
        <v>30156</v>
      </c>
      <c r="P81" s="45"/>
      <c r="Q81" s="45">
        <v>179103</v>
      </c>
      <c r="R81" s="45"/>
      <c r="S81" s="45">
        <v>0</v>
      </c>
      <c r="T81" s="45"/>
      <c r="U81" s="45">
        <v>0</v>
      </c>
      <c r="V81" s="45"/>
      <c r="W81" s="45">
        <v>0</v>
      </c>
      <c r="X81" s="45"/>
      <c r="Y81" s="45">
        <v>0</v>
      </c>
      <c r="Z81" s="44"/>
      <c r="AA81" s="45">
        <v>0</v>
      </c>
      <c r="AB81" s="44"/>
      <c r="AC81" s="45">
        <f t="shared" si="2"/>
        <v>9959410</v>
      </c>
      <c r="AD81" s="45"/>
      <c r="AE81" s="48">
        <v>0</v>
      </c>
      <c r="AF81" s="48"/>
      <c r="AG81" s="45">
        <v>930186</v>
      </c>
      <c r="AH81" s="45"/>
      <c r="AI81" s="45">
        <v>6802004</v>
      </c>
      <c r="AJ81" s="45"/>
      <c r="AK81" s="45">
        <v>-58113</v>
      </c>
      <c r="AL81" s="45"/>
      <c r="AM81" s="45">
        <f>+'Gen rev'!U81-'Gen exp'!AC81-AG81+'Gen rev'!W81+AI81+AK81-'Gen Bal'!S81-'Gen exp'!AE81</f>
        <v>0</v>
      </c>
      <c r="AN81" s="45"/>
      <c r="AO81" s="45"/>
      <c r="AP81" s="45"/>
      <c r="AQ81" s="45"/>
      <c r="AR81" s="52"/>
      <c r="AS81" s="50"/>
    </row>
    <row r="82" spans="1:45" s="49" customFormat="1" ht="12.75" customHeight="1">
      <c r="A82" s="28" t="s">
        <v>105</v>
      </c>
      <c r="C82" s="28" t="s">
        <v>27</v>
      </c>
      <c r="E82" s="45">
        <v>1554005</v>
      </c>
      <c r="F82" s="45"/>
      <c r="G82" s="45">
        <v>4791918</v>
      </c>
      <c r="H82" s="45"/>
      <c r="I82" s="45">
        <v>1720999</v>
      </c>
      <c r="J82" s="45"/>
      <c r="K82" s="45">
        <v>2405</v>
      </c>
      <c r="L82" s="45"/>
      <c r="M82" s="45">
        <v>372757</v>
      </c>
      <c r="N82" s="45"/>
      <c r="O82" s="45">
        <v>402058</v>
      </c>
      <c r="P82" s="45"/>
      <c r="Q82" s="45">
        <v>0</v>
      </c>
      <c r="R82" s="45"/>
      <c r="S82" s="45">
        <v>113044</v>
      </c>
      <c r="T82" s="45"/>
      <c r="U82" s="45">
        <v>0</v>
      </c>
      <c r="V82" s="45"/>
      <c r="W82" s="45">
        <v>30430</v>
      </c>
      <c r="X82" s="45"/>
      <c r="Y82" s="45">
        <v>2091</v>
      </c>
      <c r="Z82" s="44"/>
      <c r="AA82" s="45">
        <v>0</v>
      </c>
      <c r="AB82" s="44"/>
      <c r="AC82" s="45">
        <f t="shared" si="2"/>
        <v>8989707</v>
      </c>
      <c r="AD82" s="45"/>
      <c r="AE82" s="48">
        <v>0</v>
      </c>
      <c r="AF82" s="48"/>
      <c r="AG82" s="45">
        <v>474634</v>
      </c>
      <c r="AH82" s="45"/>
      <c r="AI82" s="45">
        <v>1359107</v>
      </c>
      <c r="AJ82" s="45"/>
      <c r="AK82" s="45"/>
      <c r="AL82" s="45"/>
      <c r="AM82" s="45">
        <f>+'Gen rev'!U82-'Gen exp'!AC82-AG82+'Gen rev'!W82+AI82+AK82-'Gen Bal'!S82-'Gen exp'!AE82</f>
        <v>0</v>
      </c>
      <c r="AN82" s="44"/>
      <c r="AO82" s="44"/>
      <c r="AP82" s="44"/>
      <c r="AQ82" s="44"/>
    </row>
    <row r="83" spans="1:45" s="49" customFormat="1" ht="12.75" customHeight="1">
      <c r="A83" s="28" t="s">
        <v>106</v>
      </c>
      <c r="C83" s="28" t="s">
        <v>107</v>
      </c>
      <c r="E83" s="45">
        <v>6328295</v>
      </c>
      <c r="F83" s="45"/>
      <c r="G83" s="45">
        <v>13797301</v>
      </c>
      <c r="H83" s="45"/>
      <c r="I83" s="45">
        <v>0</v>
      </c>
      <c r="J83" s="45"/>
      <c r="K83" s="45">
        <v>1585446</v>
      </c>
      <c r="L83" s="45"/>
      <c r="M83" s="45">
        <v>0</v>
      </c>
      <c r="N83" s="45"/>
      <c r="O83" s="45">
        <v>1408200</v>
      </c>
      <c r="P83" s="45"/>
      <c r="Q83" s="45">
        <v>0</v>
      </c>
      <c r="R83" s="45"/>
      <c r="S83" s="45">
        <v>5318906</v>
      </c>
      <c r="T83" s="45"/>
      <c r="U83" s="45">
        <v>0</v>
      </c>
      <c r="V83" s="45"/>
      <c r="W83" s="45">
        <v>0</v>
      </c>
      <c r="X83" s="45"/>
      <c r="Y83" s="45">
        <v>297867</v>
      </c>
      <c r="Z83" s="44"/>
      <c r="AA83" s="45">
        <v>7236</v>
      </c>
      <c r="AB83" s="44"/>
      <c r="AC83" s="45">
        <f t="shared" si="2"/>
        <v>28743251</v>
      </c>
      <c r="AD83" s="45"/>
      <c r="AE83" s="48">
        <v>0</v>
      </c>
      <c r="AF83" s="48"/>
      <c r="AG83" s="45">
        <v>1303736</v>
      </c>
      <c r="AH83" s="45"/>
      <c r="AI83" s="45">
        <v>6872285</v>
      </c>
      <c r="AJ83" s="45"/>
      <c r="AK83" s="45">
        <f>870-192824</f>
        <v>-191954</v>
      </c>
      <c r="AL83" s="45"/>
      <c r="AM83" s="45">
        <f>+'Gen rev'!U83-'Gen exp'!AC83-AG83+'Gen rev'!W83+AI83+AK83-'Gen Bal'!S83-'Gen exp'!AE83</f>
        <v>0</v>
      </c>
      <c r="AN83" s="48"/>
      <c r="AO83" s="48"/>
      <c r="AP83" s="48"/>
      <c r="AQ83" s="48"/>
      <c r="AR83" s="52"/>
      <c r="AS83" s="50"/>
    </row>
    <row r="84" spans="1:45" s="49" customFormat="1" ht="12.75" customHeight="1">
      <c r="A84" s="28" t="s">
        <v>108</v>
      </c>
      <c r="C84" s="28" t="s">
        <v>45</v>
      </c>
      <c r="E84" s="45">
        <v>2438242</v>
      </c>
      <c r="F84" s="45"/>
      <c r="G84" s="45">
        <v>4730014</v>
      </c>
      <c r="H84" s="45"/>
      <c r="I84" s="45">
        <v>676802</v>
      </c>
      <c r="J84" s="45"/>
      <c r="K84" s="45">
        <v>21436</v>
      </c>
      <c r="L84" s="45"/>
      <c r="M84" s="45">
        <v>1388951</v>
      </c>
      <c r="N84" s="45"/>
      <c r="O84" s="45">
        <v>408299</v>
      </c>
      <c r="P84" s="45"/>
      <c r="Q84" s="45">
        <v>0</v>
      </c>
      <c r="R84" s="45"/>
      <c r="S84" s="45">
        <v>0</v>
      </c>
      <c r="T84" s="45"/>
      <c r="U84" s="45">
        <v>0</v>
      </c>
      <c r="V84" s="45"/>
      <c r="W84" s="45">
        <v>0</v>
      </c>
      <c r="X84" s="45"/>
      <c r="Y84" s="45">
        <v>0</v>
      </c>
      <c r="Z84" s="44"/>
      <c r="AA84" s="45">
        <v>0</v>
      </c>
      <c r="AB84" s="44"/>
      <c r="AC84" s="45">
        <f t="shared" si="2"/>
        <v>9663744</v>
      </c>
      <c r="AD84" s="45"/>
      <c r="AE84" s="48">
        <v>0</v>
      </c>
      <c r="AF84" s="48"/>
      <c r="AG84" s="45">
        <v>754006</v>
      </c>
      <c r="AH84" s="45"/>
      <c r="AI84" s="45">
        <v>2806753</v>
      </c>
      <c r="AJ84" s="45"/>
      <c r="AK84" s="45">
        <v>0</v>
      </c>
      <c r="AL84" s="45"/>
      <c r="AM84" s="45">
        <f>+'Gen rev'!U84-'Gen exp'!AC84-AG84+'Gen rev'!W84+AI84+AK84-'Gen Bal'!S84-'Gen exp'!AE84</f>
        <v>0</v>
      </c>
      <c r="AN84" s="44"/>
      <c r="AO84" s="44"/>
      <c r="AP84" s="44"/>
      <c r="AQ84" s="44"/>
    </row>
    <row r="85" spans="1:45" s="44" customFormat="1" ht="12.75" customHeight="1">
      <c r="A85" s="35" t="s">
        <v>109</v>
      </c>
      <c r="C85" s="35" t="s">
        <v>110</v>
      </c>
      <c r="E85" s="45">
        <v>1613935</v>
      </c>
      <c r="F85" s="45"/>
      <c r="G85" s="45">
        <v>5091215</v>
      </c>
      <c r="H85" s="45"/>
      <c r="I85" s="45">
        <v>160509</v>
      </c>
      <c r="J85" s="45"/>
      <c r="K85" s="45">
        <v>271707</v>
      </c>
      <c r="L85" s="45"/>
      <c r="M85" s="45">
        <v>48646</v>
      </c>
      <c r="N85" s="45"/>
      <c r="O85" s="45">
        <v>0</v>
      </c>
      <c r="P85" s="45"/>
      <c r="Q85" s="45">
        <v>2457</v>
      </c>
      <c r="R85" s="45"/>
      <c r="S85" s="45">
        <v>0</v>
      </c>
      <c r="T85" s="45"/>
      <c r="U85" s="45">
        <v>0</v>
      </c>
      <c r="V85" s="45"/>
      <c r="W85" s="45">
        <v>0</v>
      </c>
      <c r="X85" s="45"/>
      <c r="Y85" s="45">
        <v>0</v>
      </c>
      <c r="AA85" s="45">
        <v>0</v>
      </c>
      <c r="AC85" s="45">
        <f t="shared" si="2"/>
        <v>7188469</v>
      </c>
      <c r="AD85" s="45"/>
      <c r="AE85" s="48">
        <v>0</v>
      </c>
      <c r="AF85" s="48"/>
      <c r="AG85" s="45">
        <v>1226400</v>
      </c>
      <c r="AH85" s="45"/>
      <c r="AI85" s="45">
        <v>1576583</v>
      </c>
      <c r="AJ85" s="45"/>
      <c r="AK85" s="45">
        <v>0</v>
      </c>
      <c r="AL85" s="45"/>
      <c r="AM85" s="45">
        <f>+'Gen rev'!U85-'Gen exp'!AC85-AG85+'Gen rev'!W85+AI85+AK85-'Gen Bal'!S85-'Gen exp'!AE85</f>
        <v>0</v>
      </c>
    </row>
    <row r="86" spans="1:45" s="49" customFormat="1" ht="12.75" customHeight="1">
      <c r="A86" s="28" t="s">
        <v>43</v>
      </c>
      <c r="C86" s="28" t="s">
        <v>111</v>
      </c>
      <c r="E86" s="45">
        <v>2559392</v>
      </c>
      <c r="F86" s="45"/>
      <c r="G86" s="45">
        <f>3116089+205372</f>
        <v>3321461</v>
      </c>
      <c r="H86" s="45"/>
      <c r="I86" s="45">
        <v>0</v>
      </c>
      <c r="J86" s="45"/>
      <c r="K86" s="45">
        <v>0</v>
      </c>
      <c r="L86" s="45"/>
      <c r="M86" s="45">
        <v>3772</v>
      </c>
      <c r="N86" s="45"/>
      <c r="O86" s="45">
        <v>33400</v>
      </c>
      <c r="P86" s="45"/>
      <c r="Q86" s="45">
        <v>0</v>
      </c>
      <c r="R86" s="45"/>
      <c r="S86" s="45">
        <v>0</v>
      </c>
      <c r="T86" s="45"/>
      <c r="U86" s="45">
        <v>0</v>
      </c>
      <c r="V86" s="45"/>
      <c r="W86" s="45">
        <v>0</v>
      </c>
      <c r="X86" s="45"/>
      <c r="Y86" s="45">
        <v>597</v>
      </c>
      <c r="Z86" s="44"/>
      <c r="AA86" s="45">
        <v>0</v>
      </c>
      <c r="AB86" s="44"/>
      <c r="AC86" s="45">
        <f t="shared" si="2"/>
        <v>5918622</v>
      </c>
      <c r="AD86" s="45"/>
      <c r="AE86" s="48">
        <v>0</v>
      </c>
      <c r="AF86" s="48"/>
      <c r="AG86" s="45">
        <v>4594800</v>
      </c>
      <c r="AH86" s="45"/>
      <c r="AI86" s="45">
        <v>3628618</v>
      </c>
      <c r="AJ86" s="45"/>
      <c r="AK86" s="45">
        <v>0</v>
      </c>
      <c r="AL86" s="45"/>
      <c r="AM86" s="45">
        <f>+'Gen rev'!U86-'Gen exp'!AC86-AG86+'Gen rev'!W86+AI86+AK86-'Gen Bal'!S86-'Gen exp'!AE86</f>
        <v>0</v>
      </c>
      <c r="AN86" s="45"/>
      <c r="AO86" s="45"/>
      <c r="AP86" s="45"/>
      <c r="AQ86" s="45"/>
      <c r="AR86" s="52"/>
      <c r="AS86" s="50"/>
    </row>
    <row r="87" spans="1:45" s="49" customFormat="1" ht="12.75" customHeight="1">
      <c r="A87" s="28" t="s">
        <v>112</v>
      </c>
      <c r="C87" s="28" t="s">
        <v>76</v>
      </c>
      <c r="E87" s="45">
        <v>1740441</v>
      </c>
      <c r="F87" s="45"/>
      <c r="G87" s="45">
        <v>4827533</v>
      </c>
      <c r="H87" s="45"/>
      <c r="I87" s="45">
        <f>126721+103086</f>
        <v>229807</v>
      </c>
      <c r="J87" s="45"/>
      <c r="K87" s="45">
        <v>11532</v>
      </c>
      <c r="L87" s="45"/>
      <c r="M87" s="45">
        <v>0</v>
      </c>
      <c r="N87" s="45"/>
      <c r="O87" s="45">
        <v>797927</v>
      </c>
      <c r="P87" s="45"/>
      <c r="Q87" s="45">
        <v>0</v>
      </c>
      <c r="R87" s="45"/>
      <c r="S87" s="45">
        <v>0</v>
      </c>
      <c r="T87" s="45"/>
      <c r="U87" s="45">
        <v>0</v>
      </c>
      <c r="V87" s="45"/>
      <c r="W87" s="45">
        <v>0</v>
      </c>
      <c r="X87" s="45"/>
      <c r="Y87" s="45">
        <v>0</v>
      </c>
      <c r="Z87" s="44"/>
      <c r="AA87" s="45">
        <v>0</v>
      </c>
      <c r="AB87" s="44"/>
      <c r="AC87" s="45">
        <f t="shared" si="2"/>
        <v>7607240</v>
      </c>
      <c r="AD87" s="45"/>
      <c r="AE87" s="48">
        <v>0</v>
      </c>
      <c r="AF87" s="48"/>
      <c r="AG87" s="45">
        <v>545000</v>
      </c>
      <c r="AH87" s="45"/>
      <c r="AI87" s="45">
        <v>2874693</v>
      </c>
      <c r="AJ87" s="45"/>
      <c r="AK87" s="45">
        <v>0</v>
      </c>
      <c r="AL87" s="45"/>
      <c r="AM87" s="45">
        <f>+'Gen rev'!U87-'Gen exp'!AC87-AG87+'Gen rev'!W87+AI87+AK87-'Gen Bal'!S87-'Gen exp'!AE87</f>
        <v>0</v>
      </c>
      <c r="AN87" s="44"/>
      <c r="AO87" s="44"/>
      <c r="AP87" s="44"/>
      <c r="AQ87" s="44"/>
    </row>
    <row r="88" spans="1:45" s="49" customFormat="1" ht="12.75" customHeight="1">
      <c r="A88" s="28" t="s">
        <v>113</v>
      </c>
      <c r="C88" s="28" t="s">
        <v>43</v>
      </c>
      <c r="E88" s="45">
        <v>3720940</v>
      </c>
      <c r="F88" s="45"/>
      <c r="G88" s="45">
        <v>6844537</v>
      </c>
      <c r="H88" s="45"/>
      <c r="I88" s="45">
        <v>3543930</v>
      </c>
      <c r="J88" s="45"/>
      <c r="K88" s="45">
        <v>174923</v>
      </c>
      <c r="L88" s="45"/>
      <c r="M88" s="45">
        <v>1658302</v>
      </c>
      <c r="N88" s="45"/>
      <c r="O88" s="45">
        <v>2218050</v>
      </c>
      <c r="P88" s="45"/>
      <c r="Q88" s="45">
        <v>1457644</v>
      </c>
      <c r="R88" s="45"/>
      <c r="S88" s="45">
        <v>9688823</v>
      </c>
      <c r="T88" s="45"/>
      <c r="U88" s="45">
        <v>0</v>
      </c>
      <c r="V88" s="45"/>
      <c r="W88" s="45">
        <v>28255</v>
      </c>
      <c r="X88" s="45"/>
      <c r="Y88" s="45">
        <v>5801</v>
      </c>
      <c r="Z88" s="44"/>
      <c r="AA88" s="45">
        <v>72303</v>
      </c>
      <c r="AB88" s="44"/>
      <c r="AC88" s="45">
        <f t="shared" si="2"/>
        <v>29413508</v>
      </c>
      <c r="AD88" s="45"/>
      <c r="AE88" s="48">
        <v>0</v>
      </c>
      <c r="AF88" s="48"/>
      <c r="AG88" s="45">
        <v>0</v>
      </c>
      <c r="AH88" s="45"/>
      <c r="AI88" s="45">
        <v>26191356</v>
      </c>
      <c r="AJ88" s="45"/>
      <c r="AK88" s="45">
        <v>0</v>
      </c>
      <c r="AL88" s="45"/>
      <c r="AM88" s="45">
        <f>+'Gen rev'!U88-'Gen exp'!AC88-AG88+'Gen rev'!W88+AI88+AK88-'Gen Bal'!S88-'Gen exp'!AE88</f>
        <v>0</v>
      </c>
      <c r="AN88" s="44"/>
      <c r="AO88" s="44"/>
      <c r="AP88" s="44"/>
      <c r="AQ88" s="44"/>
    </row>
    <row r="89" spans="1:45" s="49" customFormat="1" ht="12.75" customHeight="1">
      <c r="A89" s="64" t="s">
        <v>494</v>
      </c>
      <c r="B89" s="46"/>
      <c r="C89" s="64" t="s">
        <v>57</v>
      </c>
      <c r="D89" s="46"/>
      <c r="E89" s="45">
        <v>1196894</v>
      </c>
      <c r="F89" s="45"/>
      <c r="G89" s="45">
        <f>589166+283280</f>
        <v>872446</v>
      </c>
      <c r="H89" s="45"/>
      <c r="I89" s="45">
        <v>0</v>
      </c>
      <c r="J89" s="45"/>
      <c r="K89" s="45">
        <v>357579</v>
      </c>
      <c r="L89" s="45"/>
      <c r="M89" s="45">
        <v>0</v>
      </c>
      <c r="N89" s="45"/>
      <c r="O89" s="45">
        <v>0</v>
      </c>
      <c r="P89" s="45"/>
      <c r="Q89" s="45">
        <v>0</v>
      </c>
      <c r="R89" s="45"/>
      <c r="S89" s="45">
        <v>0</v>
      </c>
      <c r="T89" s="45"/>
      <c r="U89" s="45">
        <v>0</v>
      </c>
      <c r="V89" s="45"/>
      <c r="W89" s="45">
        <v>15539</v>
      </c>
      <c r="X89" s="45"/>
      <c r="Y89" s="45">
        <v>42571</v>
      </c>
      <c r="Z89" s="44"/>
      <c r="AA89" s="45">
        <v>0</v>
      </c>
      <c r="AB89" s="44"/>
      <c r="AC89" s="45">
        <f>SUM(E89:AA89)</f>
        <v>2485029</v>
      </c>
      <c r="AD89" s="45"/>
      <c r="AE89" s="48">
        <v>0</v>
      </c>
      <c r="AF89" s="48"/>
      <c r="AG89" s="45">
        <v>1125553</v>
      </c>
      <c r="AH89" s="45"/>
      <c r="AI89" s="45">
        <v>581479</v>
      </c>
      <c r="AJ89" s="45"/>
      <c r="AK89" s="45">
        <v>0</v>
      </c>
      <c r="AL89" s="45"/>
      <c r="AM89" s="45">
        <f>+'Gen rev'!U89-'Gen exp'!AC89-AG89+'Gen rev'!W89+AI89+AK89-'Gen Bal'!S89-'Gen exp'!AE89</f>
        <v>0</v>
      </c>
      <c r="AN89" s="45"/>
      <c r="AO89" s="45"/>
      <c r="AP89" s="45"/>
      <c r="AQ89" s="45"/>
      <c r="AR89" s="52"/>
      <c r="AS89" s="50"/>
    </row>
    <row r="90" spans="1:45" s="49" customFormat="1" ht="12.75" customHeight="1">
      <c r="A90" s="28" t="s">
        <v>114</v>
      </c>
      <c r="C90" s="28" t="s">
        <v>27</v>
      </c>
      <c r="E90" s="45">
        <v>8784106</v>
      </c>
      <c r="F90" s="45"/>
      <c r="G90" s="45">
        <v>10885201</v>
      </c>
      <c r="H90" s="45"/>
      <c r="I90" s="45">
        <v>170864</v>
      </c>
      <c r="J90" s="45"/>
      <c r="K90" s="45">
        <v>182852</v>
      </c>
      <c r="L90" s="45"/>
      <c r="M90" s="45">
        <v>0</v>
      </c>
      <c r="N90" s="45"/>
      <c r="O90" s="45">
        <v>0</v>
      </c>
      <c r="P90" s="45"/>
      <c r="Q90" s="45">
        <v>1329129</v>
      </c>
      <c r="R90" s="45"/>
      <c r="S90" s="45">
        <v>0</v>
      </c>
      <c r="T90" s="45"/>
      <c r="U90" s="45">
        <v>0</v>
      </c>
      <c r="V90" s="45"/>
      <c r="W90" s="45">
        <v>218542</v>
      </c>
      <c r="X90" s="45"/>
      <c r="Y90" s="45">
        <v>9500</v>
      </c>
      <c r="Z90" s="44"/>
      <c r="AA90" s="45">
        <v>0</v>
      </c>
      <c r="AB90" s="44"/>
      <c r="AC90" s="45">
        <f>SUM(E90:AA90)</f>
        <v>21580194</v>
      </c>
      <c r="AD90" s="45"/>
      <c r="AE90" s="48">
        <v>0</v>
      </c>
      <c r="AF90" s="48"/>
      <c r="AG90" s="45">
        <v>1646077</v>
      </c>
      <c r="AH90" s="45"/>
      <c r="AI90" s="45">
        <v>-1748079</v>
      </c>
      <c r="AJ90" s="45"/>
      <c r="AK90" s="45">
        <v>0</v>
      </c>
      <c r="AL90" s="45"/>
      <c r="AM90" s="45">
        <f>+'Gen rev'!U90-'Gen exp'!AC90-AG90+'Gen rev'!W90+AI90+AK90-'Gen Bal'!S90-'Gen exp'!AE90</f>
        <v>0</v>
      </c>
      <c r="AN90" s="45"/>
      <c r="AO90" s="45"/>
      <c r="AP90" s="45"/>
      <c r="AQ90" s="45"/>
      <c r="AR90" s="52"/>
      <c r="AS90" s="50"/>
    </row>
    <row r="91" spans="1:45" s="49" customFormat="1" ht="12.75" customHeight="1">
      <c r="A91" s="28" t="s">
        <v>115</v>
      </c>
      <c r="C91" s="28" t="s">
        <v>19</v>
      </c>
      <c r="E91" s="45">
        <v>733992</v>
      </c>
      <c r="F91" s="45"/>
      <c r="G91" s="45">
        <v>1783649</v>
      </c>
      <c r="H91" s="45"/>
      <c r="I91" s="45">
        <v>83223</v>
      </c>
      <c r="J91" s="45"/>
      <c r="K91" s="45">
        <v>0</v>
      </c>
      <c r="L91" s="45"/>
      <c r="M91" s="45">
        <v>0</v>
      </c>
      <c r="N91" s="45"/>
      <c r="O91" s="45">
        <v>150374</v>
      </c>
      <c r="P91" s="45"/>
      <c r="Q91" s="45">
        <v>0</v>
      </c>
      <c r="R91" s="45"/>
      <c r="S91" s="45">
        <v>0</v>
      </c>
      <c r="T91" s="45"/>
      <c r="U91" s="45">
        <v>0</v>
      </c>
      <c r="V91" s="45"/>
      <c r="W91" s="45">
        <v>2290</v>
      </c>
      <c r="X91" s="45"/>
      <c r="Y91" s="45">
        <v>0</v>
      </c>
      <c r="Z91" s="44"/>
      <c r="AA91" s="45">
        <v>0</v>
      </c>
      <c r="AB91" s="44"/>
      <c r="AC91" s="45">
        <f t="shared" si="2"/>
        <v>2753528</v>
      </c>
      <c r="AD91" s="45"/>
      <c r="AE91" s="48">
        <v>0</v>
      </c>
      <c r="AF91" s="48"/>
      <c r="AG91" s="45">
        <v>844726</v>
      </c>
      <c r="AH91" s="45"/>
      <c r="AI91" s="45">
        <v>1159826</v>
      </c>
      <c r="AJ91" s="45"/>
      <c r="AK91" s="45">
        <v>0</v>
      </c>
      <c r="AL91" s="45"/>
      <c r="AM91" s="45">
        <f>+'Gen rev'!U91-'Gen exp'!AC91-AG91+'Gen rev'!W91+AI91+AK91-'Gen Bal'!S91-'Gen exp'!AE91</f>
        <v>0</v>
      </c>
      <c r="AN91" s="45"/>
      <c r="AO91" s="45"/>
      <c r="AP91" s="45"/>
      <c r="AQ91" s="45"/>
      <c r="AR91" s="52"/>
      <c r="AS91" s="50"/>
    </row>
    <row r="92" spans="1:45" s="49" customFormat="1" ht="12.75" customHeight="1">
      <c r="A92" s="64" t="s">
        <v>116</v>
      </c>
      <c r="B92" s="46"/>
      <c r="C92" s="64" t="s">
        <v>80</v>
      </c>
      <c r="D92" s="46"/>
      <c r="E92" s="45">
        <v>1833814</v>
      </c>
      <c r="F92" s="45"/>
      <c r="G92" s="45">
        <v>2531394</v>
      </c>
      <c r="H92" s="45"/>
      <c r="I92" s="45">
        <v>1270</v>
      </c>
      <c r="J92" s="45"/>
      <c r="K92" s="45">
        <v>27350</v>
      </c>
      <c r="L92" s="45"/>
      <c r="M92" s="45">
        <v>16013</v>
      </c>
      <c r="N92" s="45"/>
      <c r="O92" s="45">
        <v>0</v>
      </c>
      <c r="P92" s="45"/>
      <c r="Q92" s="45">
        <v>0</v>
      </c>
      <c r="R92" s="45"/>
      <c r="S92" s="45">
        <v>0</v>
      </c>
      <c r="T92" s="45"/>
      <c r="U92" s="45">
        <v>0</v>
      </c>
      <c r="V92" s="45"/>
      <c r="W92" s="45">
        <v>0</v>
      </c>
      <c r="X92" s="45"/>
      <c r="Y92" s="45">
        <v>0</v>
      </c>
      <c r="Z92" s="44"/>
      <c r="AA92" s="45">
        <v>0</v>
      </c>
      <c r="AB92" s="44"/>
      <c r="AC92" s="45">
        <f t="shared" si="2"/>
        <v>4409841</v>
      </c>
      <c r="AD92" s="45"/>
      <c r="AE92" s="48">
        <v>0</v>
      </c>
      <c r="AF92" s="48"/>
      <c r="AG92" s="45">
        <v>15838</v>
      </c>
      <c r="AH92" s="45"/>
      <c r="AI92" s="45">
        <v>-174101</v>
      </c>
      <c r="AJ92" s="45"/>
      <c r="AK92" s="45">
        <v>0</v>
      </c>
      <c r="AL92" s="45"/>
      <c r="AM92" s="45">
        <f>+'Gen rev'!U92-'Gen exp'!AC92-AG92+'Gen rev'!W92+AI92+AK92-'Gen Bal'!S92-'Gen exp'!AE92</f>
        <v>0</v>
      </c>
      <c r="AN92" s="45"/>
      <c r="AO92" s="45"/>
      <c r="AP92" s="45"/>
      <c r="AQ92" s="45"/>
      <c r="AR92" s="52"/>
      <c r="AS92" s="50"/>
    </row>
    <row r="93" spans="1:45" s="49" customFormat="1" ht="12.75" customHeight="1">
      <c r="A93" s="47" t="s">
        <v>117</v>
      </c>
      <c r="C93" s="28" t="s">
        <v>43</v>
      </c>
      <c r="E93" s="45">
        <v>1765081</v>
      </c>
      <c r="F93" s="45"/>
      <c r="G93" s="45">
        <v>3983165</v>
      </c>
      <c r="H93" s="45"/>
      <c r="I93" s="45">
        <v>0</v>
      </c>
      <c r="J93" s="45"/>
      <c r="K93" s="45">
        <v>0</v>
      </c>
      <c r="L93" s="45"/>
      <c r="M93" s="45">
        <v>952742</v>
      </c>
      <c r="N93" s="45"/>
      <c r="O93" s="45">
        <v>651976</v>
      </c>
      <c r="P93" s="45"/>
      <c r="Q93" s="45">
        <v>107153</v>
      </c>
      <c r="R93" s="45"/>
      <c r="S93" s="45">
        <v>90676</v>
      </c>
      <c r="T93" s="45"/>
      <c r="U93" s="45">
        <v>0</v>
      </c>
      <c r="V93" s="45"/>
      <c r="W93" s="45">
        <v>11663</v>
      </c>
      <c r="X93" s="45"/>
      <c r="Y93" s="45">
        <v>3482</v>
      </c>
      <c r="Z93" s="44"/>
      <c r="AA93" s="45">
        <v>0</v>
      </c>
      <c r="AB93" s="44"/>
      <c r="AC93" s="45">
        <f t="shared" si="2"/>
        <v>7565938</v>
      </c>
      <c r="AD93" s="45"/>
      <c r="AE93" s="48">
        <v>0</v>
      </c>
      <c r="AF93" s="48"/>
      <c r="AG93" s="45">
        <v>638412</v>
      </c>
      <c r="AH93" s="45"/>
      <c r="AI93" s="45">
        <v>1609715</v>
      </c>
      <c r="AJ93" s="45"/>
      <c r="AK93" s="45">
        <v>0</v>
      </c>
      <c r="AL93" s="45"/>
      <c r="AM93" s="45">
        <f>+'Gen rev'!U93-'Gen exp'!AC93-AG93+'Gen rev'!W93+AI93+AK93-'Gen Bal'!S93-'Gen exp'!AE93</f>
        <v>0</v>
      </c>
      <c r="AN93" s="45"/>
      <c r="AO93" s="45"/>
      <c r="AP93" s="45"/>
      <c r="AQ93" s="45"/>
      <c r="AR93" s="52"/>
      <c r="AS93" s="50"/>
    </row>
    <row r="94" spans="1:45" s="49" customFormat="1" ht="12.75" customHeight="1">
      <c r="A94" s="28" t="s">
        <v>118</v>
      </c>
      <c r="C94" s="28" t="s">
        <v>13</v>
      </c>
      <c r="E94" s="45">
        <v>4245016</v>
      </c>
      <c r="F94" s="45"/>
      <c r="G94" s="45">
        <v>1493119</v>
      </c>
      <c r="H94" s="45"/>
      <c r="I94" s="45">
        <v>0</v>
      </c>
      <c r="J94" s="45"/>
      <c r="K94" s="45">
        <v>231660</v>
      </c>
      <c r="L94" s="45"/>
      <c r="M94" s="45">
        <v>0</v>
      </c>
      <c r="N94" s="45"/>
      <c r="O94" s="45">
        <v>0</v>
      </c>
      <c r="P94" s="45"/>
      <c r="Q94" s="45">
        <v>0</v>
      </c>
      <c r="R94" s="45"/>
      <c r="S94" s="45">
        <v>36733</v>
      </c>
      <c r="T94" s="45"/>
      <c r="U94" s="45">
        <v>0</v>
      </c>
      <c r="V94" s="45"/>
      <c r="W94" s="45">
        <v>340615</v>
      </c>
      <c r="X94" s="45"/>
      <c r="Y94" s="45">
        <v>714445</v>
      </c>
      <c r="Z94" s="44"/>
      <c r="AA94" s="45">
        <v>0</v>
      </c>
      <c r="AB94" s="44"/>
      <c r="AC94" s="45">
        <f t="shared" si="2"/>
        <v>7061588</v>
      </c>
      <c r="AD94" s="45"/>
      <c r="AE94" s="48">
        <v>0</v>
      </c>
      <c r="AF94" s="48"/>
      <c r="AG94" s="45">
        <v>9488212</v>
      </c>
      <c r="AH94" s="45"/>
      <c r="AI94" s="45">
        <v>12433554</v>
      </c>
      <c r="AJ94" s="45"/>
      <c r="AK94" s="45">
        <v>0</v>
      </c>
      <c r="AL94" s="45"/>
      <c r="AM94" s="45">
        <f>+'Gen rev'!U94-'Gen exp'!AC94-AG94+'Gen rev'!W94+AI94+AK94-'Gen Bal'!S94-'Gen exp'!AE94</f>
        <v>0</v>
      </c>
      <c r="AN94" s="45"/>
      <c r="AO94" s="45"/>
      <c r="AP94" s="45"/>
      <c r="AQ94" s="45"/>
      <c r="AR94" s="52"/>
      <c r="AS94" s="50"/>
    </row>
    <row r="95" spans="1:45" s="49" customFormat="1" ht="12.75" customHeight="1">
      <c r="A95" s="28" t="s">
        <v>120</v>
      </c>
      <c r="C95" s="28" t="s">
        <v>121</v>
      </c>
      <c r="E95" s="45">
        <v>1882845</v>
      </c>
      <c r="F95" s="45"/>
      <c r="G95" s="45">
        <v>3688427</v>
      </c>
      <c r="H95" s="45"/>
      <c r="I95" s="45">
        <v>993</v>
      </c>
      <c r="J95" s="45"/>
      <c r="K95" s="45">
        <v>18297</v>
      </c>
      <c r="L95" s="45"/>
      <c r="M95" s="45">
        <v>280247</v>
      </c>
      <c r="N95" s="45"/>
      <c r="O95" s="45">
        <v>575466</v>
      </c>
      <c r="P95" s="45"/>
      <c r="Q95" s="45">
        <v>210168</v>
      </c>
      <c r="R95" s="45"/>
      <c r="S95" s="45">
        <v>477996</v>
      </c>
      <c r="T95" s="45"/>
      <c r="U95" s="45">
        <v>0</v>
      </c>
      <c r="V95" s="45"/>
      <c r="W95" s="45">
        <v>57312</v>
      </c>
      <c r="X95" s="45"/>
      <c r="Y95" s="45">
        <v>28793</v>
      </c>
      <c r="Z95" s="44"/>
      <c r="AA95" s="45">
        <v>0</v>
      </c>
      <c r="AB95" s="44"/>
      <c r="AC95" s="45">
        <f t="shared" si="2"/>
        <v>7220544</v>
      </c>
      <c r="AD95" s="45"/>
      <c r="AE95" s="48">
        <v>0</v>
      </c>
      <c r="AF95" s="48"/>
      <c r="AG95" s="45">
        <v>956845</v>
      </c>
      <c r="AH95" s="45"/>
      <c r="AI95" s="45">
        <v>3236431</v>
      </c>
      <c r="AJ95" s="45"/>
      <c r="AK95" s="45">
        <v>0</v>
      </c>
      <c r="AL95" s="45"/>
      <c r="AM95" s="45">
        <f>+'Gen rev'!U95-'Gen exp'!AC95-AG95+'Gen rev'!W95+AI95+AK95-'Gen Bal'!S95-'Gen exp'!AE95</f>
        <v>0</v>
      </c>
      <c r="AN95" s="45"/>
      <c r="AO95" s="45"/>
      <c r="AP95" s="45"/>
      <c r="AQ95" s="45"/>
      <c r="AR95" s="52"/>
      <c r="AS95" s="50"/>
    </row>
    <row r="96" spans="1:45" s="49" customFormat="1" ht="12.75" customHeight="1">
      <c r="A96" s="28" t="s">
        <v>122</v>
      </c>
      <c r="C96" s="28" t="s">
        <v>43</v>
      </c>
      <c r="E96" s="45">
        <v>6485530</v>
      </c>
      <c r="F96" s="45"/>
      <c r="G96" s="45">
        <v>7895954</v>
      </c>
      <c r="H96" s="45"/>
      <c r="I96" s="45">
        <v>876086</v>
      </c>
      <c r="J96" s="45"/>
      <c r="K96" s="45">
        <v>220120</v>
      </c>
      <c r="L96" s="45"/>
      <c r="M96" s="45">
        <v>51</v>
      </c>
      <c r="N96" s="45"/>
      <c r="O96" s="45">
        <v>454511</v>
      </c>
      <c r="P96" s="45"/>
      <c r="Q96" s="45">
        <v>0</v>
      </c>
      <c r="R96" s="45"/>
      <c r="S96" s="45">
        <v>5701769</v>
      </c>
      <c r="T96" s="45"/>
      <c r="U96" s="45">
        <v>0</v>
      </c>
      <c r="V96" s="45"/>
      <c r="W96" s="45">
        <v>444400</v>
      </c>
      <c r="X96" s="45"/>
      <c r="Y96" s="45">
        <v>299033</v>
      </c>
      <c r="Z96" s="44"/>
      <c r="AA96" s="45">
        <v>0</v>
      </c>
      <c r="AB96" s="44"/>
      <c r="AC96" s="45">
        <f t="shared" si="2"/>
        <v>22377454</v>
      </c>
      <c r="AD96" s="45"/>
      <c r="AE96" s="48">
        <v>0</v>
      </c>
      <c r="AF96" s="48"/>
      <c r="AG96" s="45">
        <v>0</v>
      </c>
      <c r="AH96" s="45"/>
      <c r="AI96" s="45">
        <v>21578381</v>
      </c>
      <c r="AJ96" s="45"/>
      <c r="AK96" s="45">
        <v>0</v>
      </c>
      <c r="AL96" s="45"/>
      <c r="AM96" s="45">
        <f>+'Gen rev'!U96-'Gen exp'!AC96-AG96+'Gen rev'!W96+AI96+AK96-'Gen Bal'!S96-'Gen exp'!AE96</f>
        <v>0</v>
      </c>
      <c r="AN96" s="45"/>
      <c r="AO96" s="45"/>
      <c r="AP96" s="45"/>
      <c r="AQ96" s="45"/>
      <c r="AR96" s="52"/>
      <c r="AS96" s="50"/>
    </row>
    <row r="97" spans="1:45" s="49" customFormat="1" ht="12.75" customHeight="1">
      <c r="A97" s="47" t="s">
        <v>45</v>
      </c>
      <c r="C97" s="28" t="s">
        <v>103</v>
      </c>
      <c r="E97" s="45">
        <v>6643934</v>
      </c>
      <c r="F97" s="45"/>
      <c r="G97" s="45">
        <v>23606724</v>
      </c>
      <c r="H97" s="45"/>
      <c r="I97" s="45">
        <v>1053479</v>
      </c>
      <c r="J97" s="45"/>
      <c r="K97" s="45">
        <v>1904641</v>
      </c>
      <c r="L97" s="45"/>
      <c r="M97" s="45">
        <v>0</v>
      </c>
      <c r="N97" s="45"/>
      <c r="O97" s="45">
        <v>1735330</v>
      </c>
      <c r="P97" s="45"/>
      <c r="Q97" s="45">
        <v>590500</v>
      </c>
      <c r="R97" s="45"/>
      <c r="S97" s="45">
        <v>0</v>
      </c>
      <c r="T97" s="45"/>
      <c r="U97" s="45">
        <v>0</v>
      </c>
      <c r="V97" s="45"/>
      <c r="W97" s="45">
        <v>0</v>
      </c>
      <c r="X97" s="45"/>
      <c r="Y97" s="45">
        <v>0</v>
      </c>
      <c r="Z97" s="44"/>
      <c r="AA97" s="45">
        <v>0</v>
      </c>
      <c r="AB97" s="44"/>
      <c r="AC97" s="45">
        <f t="shared" si="2"/>
        <v>35534608</v>
      </c>
      <c r="AD97" s="45"/>
      <c r="AE97" s="48">
        <v>0</v>
      </c>
      <c r="AF97" s="48"/>
      <c r="AG97" s="45">
        <v>184289</v>
      </c>
      <c r="AH97" s="45"/>
      <c r="AI97" s="45">
        <v>6333962</v>
      </c>
      <c r="AJ97" s="45"/>
      <c r="AK97" s="45">
        <v>-124</v>
      </c>
      <c r="AL97" s="45"/>
      <c r="AM97" s="45">
        <f>+'Gen rev'!U97-'Gen exp'!AC97-AG97+'Gen rev'!W97+AI97+AK97-'Gen Bal'!S97-'Gen exp'!AE97</f>
        <v>0</v>
      </c>
      <c r="AN97" s="44"/>
      <c r="AO97" s="44"/>
      <c r="AP97" s="44"/>
      <c r="AQ97" s="44"/>
    </row>
    <row r="98" spans="1:45" s="49" customFormat="1" ht="12.75" customHeight="1">
      <c r="A98" s="47" t="s">
        <v>123</v>
      </c>
      <c r="C98" s="28" t="s">
        <v>45</v>
      </c>
      <c r="E98" s="45">
        <v>836722</v>
      </c>
      <c r="F98" s="45"/>
      <c r="G98" s="45">
        <v>2005031</v>
      </c>
      <c r="H98" s="45"/>
      <c r="I98" s="45">
        <v>124646</v>
      </c>
      <c r="J98" s="45"/>
      <c r="K98" s="45">
        <v>0</v>
      </c>
      <c r="L98" s="45"/>
      <c r="M98" s="45">
        <v>0</v>
      </c>
      <c r="N98" s="45"/>
      <c r="O98" s="45">
        <v>54184</v>
      </c>
      <c r="P98" s="45"/>
      <c r="Q98" s="45">
        <v>0</v>
      </c>
      <c r="R98" s="45"/>
      <c r="S98" s="45">
        <v>962164</v>
      </c>
      <c r="T98" s="45"/>
      <c r="U98" s="45">
        <v>0</v>
      </c>
      <c r="V98" s="45"/>
      <c r="W98" s="45">
        <v>63531</v>
      </c>
      <c r="X98" s="45"/>
      <c r="Y98" s="45">
        <v>3092</v>
      </c>
      <c r="Z98" s="44"/>
      <c r="AA98" s="45">
        <v>0</v>
      </c>
      <c r="AB98" s="44"/>
      <c r="AC98" s="45">
        <f t="shared" si="2"/>
        <v>4049370</v>
      </c>
      <c r="AD98" s="45"/>
      <c r="AE98" s="48">
        <v>0</v>
      </c>
      <c r="AF98" s="48"/>
      <c r="AG98" s="45">
        <v>593251</v>
      </c>
      <c r="AH98" s="45"/>
      <c r="AI98" s="45">
        <v>1245893</v>
      </c>
      <c r="AJ98" s="45"/>
      <c r="AK98" s="45">
        <v>0</v>
      </c>
      <c r="AL98" s="45"/>
      <c r="AM98" s="45">
        <f>+'Gen rev'!U98-'Gen exp'!AC98-AG98+'Gen rev'!W98+AI98+AK98-'Gen Bal'!S98-'Gen exp'!AE98</f>
        <v>0</v>
      </c>
      <c r="AN98" s="44"/>
      <c r="AO98" s="44"/>
      <c r="AP98" s="44"/>
      <c r="AQ98" s="44"/>
    </row>
    <row r="99" spans="1:45" s="49" customFormat="1" ht="12.75" customHeight="1">
      <c r="A99" s="28" t="s">
        <v>124</v>
      </c>
      <c r="C99" s="28" t="s">
        <v>125</v>
      </c>
      <c r="E99" s="45">
        <v>1415187</v>
      </c>
      <c r="F99" s="45"/>
      <c r="G99" s="45">
        <v>3470346</v>
      </c>
      <c r="H99" s="45"/>
      <c r="I99" s="45">
        <v>248553</v>
      </c>
      <c r="J99" s="45"/>
      <c r="K99" s="45">
        <v>55000</v>
      </c>
      <c r="L99" s="45"/>
      <c r="M99" s="45">
        <v>0</v>
      </c>
      <c r="N99" s="45"/>
      <c r="O99" s="45">
        <v>756188</v>
      </c>
      <c r="P99" s="45"/>
      <c r="Q99" s="45">
        <v>0</v>
      </c>
      <c r="R99" s="45"/>
      <c r="S99" s="45">
        <v>0</v>
      </c>
      <c r="T99" s="45"/>
      <c r="U99" s="45">
        <v>0</v>
      </c>
      <c r="V99" s="45"/>
      <c r="W99" s="45">
        <v>2196</v>
      </c>
      <c r="X99" s="45"/>
      <c r="Y99" s="45">
        <v>78</v>
      </c>
      <c r="Z99" s="44"/>
      <c r="AA99" s="45">
        <v>0</v>
      </c>
      <c r="AB99" s="44"/>
      <c r="AC99" s="45">
        <f t="shared" si="2"/>
        <v>5947548</v>
      </c>
      <c r="AD99" s="45"/>
      <c r="AE99" s="48">
        <v>0</v>
      </c>
      <c r="AF99" s="48"/>
      <c r="AG99" s="45">
        <v>485000</v>
      </c>
      <c r="AH99" s="45"/>
      <c r="AI99" s="45">
        <v>3233934</v>
      </c>
      <c r="AJ99" s="45"/>
      <c r="AK99" s="45">
        <v>28855</v>
      </c>
      <c r="AL99" s="45"/>
      <c r="AM99" s="45">
        <f>+'Gen rev'!U99-'Gen exp'!AC99-AG99+'Gen rev'!W99+AI99+AK99-'Gen Bal'!S99-'Gen exp'!AE99</f>
        <v>0</v>
      </c>
      <c r="AN99" s="44"/>
      <c r="AO99" s="44"/>
      <c r="AP99" s="44"/>
      <c r="AQ99" s="44"/>
    </row>
    <row r="100" spans="1:45" s="49" customFormat="1" ht="12.75" customHeight="1">
      <c r="A100" s="28" t="s">
        <v>126</v>
      </c>
      <c r="C100" s="28" t="s">
        <v>27</v>
      </c>
      <c r="E100" s="45">
        <v>1971113</v>
      </c>
      <c r="F100" s="45"/>
      <c r="G100" s="45">
        <v>4949279</v>
      </c>
      <c r="H100" s="45"/>
      <c r="I100" s="45">
        <v>114711</v>
      </c>
      <c r="J100" s="45"/>
      <c r="K100" s="45">
        <v>32985</v>
      </c>
      <c r="L100" s="45"/>
      <c r="M100" s="45">
        <v>0</v>
      </c>
      <c r="N100" s="45"/>
      <c r="O100" s="45">
        <v>7656</v>
      </c>
      <c r="P100" s="45"/>
      <c r="Q100" s="45">
        <v>1436091</v>
      </c>
      <c r="R100" s="45"/>
      <c r="S100" s="45">
        <v>0</v>
      </c>
      <c r="T100" s="45"/>
      <c r="U100" s="45">
        <v>0</v>
      </c>
      <c r="V100" s="45"/>
      <c r="W100" s="45">
        <v>0</v>
      </c>
      <c r="X100" s="45"/>
      <c r="Y100" s="45">
        <v>0</v>
      </c>
      <c r="Z100" s="44"/>
      <c r="AA100" s="45">
        <v>0</v>
      </c>
      <c r="AB100" s="44"/>
      <c r="AC100" s="45">
        <f t="shared" si="2"/>
        <v>8511835</v>
      </c>
      <c r="AD100" s="45"/>
      <c r="AE100" s="48">
        <v>0</v>
      </c>
      <c r="AF100" s="48"/>
      <c r="AG100" s="45">
        <v>1016981</v>
      </c>
      <c r="AH100" s="45"/>
      <c r="AI100" s="45">
        <v>2500271</v>
      </c>
      <c r="AJ100" s="45"/>
      <c r="AK100" s="45">
        <v>-2922</v>
      </c>
      <c r="AL100" s="45"/>
      <c r="AM100" s="45">
        <f>+'Gen rev'!U100-'Gen exp'!AC100-AG100+'Gen rev'!W100+AI100+AK100-'Gen Bal'!S100-'Gen exp'!AE100</f>
        <v>0</v>
      </c>
      <c r="AN100" s="44"/>
      <c r="AO100" s="44"/>
      <c r="AP100" s="44"/>
      <c r="AQ100" s="44"/>
    </row>
    <row r="101" spans="1:45" s="49" customFormat="1" ht="12.75" customHeight="1">
      <c r="A101" s="28" t="s">
        <v>127</v>
      </c>
      <c r="C101" s="28" t="s">
        <v>43</v>
      </c>
      <c r="E101" s="45">
        <v>3816704</v>
      </c>
      <c r="F101" s="45"/>
      <c r="G101" s="45">
        <v>7247894</v>
      </c>
      <c r="H101" s="45"/>
      <c r="I101" s="45">
        <v>2484928</v>
      </c>
      <c r="J101" s="45"/>
      <c r="K101" s="45">
        <v>146530</v>
      </c>
      <c r="L101" s="45"/>
      <c r="M101" s="45">
        <v>2965</v>
      </c>
      <c r="N101" s="45"/>
      <c r="O101" s="45">
        <v>2472857</v>
      </c>
      <c r="P101" s="45"/>
      <c r="Q101" s="45">
        <v>2000</v>
      </c>
      <c r="R101" s="45"/>
      <c r="S101" s="45">
        <v>0</v>
      </c>
      <c r="T101" s="45"/>
      <c r="U101" s="45">
        <v>0</v>
      </c>
      <c r="V101" s="45"/>
      <c r="W101" s="45">
        <v>0</v>
      </c>
      <c r="X101" s="45"/>
      <c r="Y101" s="45">
        <v>0</v>
      </c>
      <c r="Z101" s="44"/>
      <c r="AA101" s="45">
        <v>0</v>
      </c>
      <c r="AB101" s="44"/>
      <c r="AC101" s="45">
        <f t="shared" si="2"/>
        <v>16173878</v>
      </c>
      <c r="AD101" s="45"/>
      <c r="AE101" s="48">
        <v>0</v>
      </c>
      <c r="AF101" s="48"/>
      <c r="AG101" s="45">
        <v>0</v>
      </c>
      <c r="AH101" s="45"/>
      <c r="AI101" s="45">
        <v>3185731</v>
      </c>
      <c r="AJ101" s="45"/>
      <c r="AK101" s="45">
        <v>0</v>
      </c>
      <c r="AL101" s="45"/>
      <c r="AM101" s="45">
        <f>+'Gen rev'!U101-'Gen exp'!AC101-AG101+'Gen rev'!W101+AI101+AK101-'Gen Bal'!S101-'Gen exp'!AE101</f>
        <v>0</v>
      </c>
      <c r="AN101" s="44"/>
      <c r="AO101" s="44"/>
      <c r="AP101" s="44"/>
      <c r="AQ101" s="44"/>
    </row>
    <row r="102" spans="1:45" s="49" customFormat="1" ht="12.75" customHeight="1">
      <c r="A102" s="28" t="s">
        <v>128</v>
      </c>
      <c r="C102" s="28" t="s">
        <v>119</v>
      </c>
      <c r="E102" s="45">
        <f>1035536+257314</f>
        <v>1292850</v>
      </c>
      <c r="F102" s="45"/>
      <c r="G102" s="45">
        <v>2839667</v>
      </c>
      <c r="H102" s="45"/>
      <c r="I102" s="45">
        <v>25922</v>
      </c>
      <c r="J102" s="45"/>
      <c r="K102" s="45">
        <v>22956</v>
      </c>
      <c r="L102" s="45"/>
      <c r="M102" s="45">
        <v>0</v>
      </c>
      <c r="N102" s="45"/>
      <c r="O102" s="45">
        <v>0</v>
      </c>
      <c r="P102" s="45"/>
      <c r="Q102" s="45">
        <v>0</v>
      </c>
      <c r="R102" s="45"/>
      <c r="S102" s="45">
        <v>539660</v>
      </c>
      <c r="T102" s="45"/>
      <c r="U102" s="45">
        <v>0</v>
      </c>
      <c r="V102" s="45"/>
      <c r="W102" s="45">
        <v>45242</v>
      </c>
      <c r="X102" s="45"/>
      <c r="Y102" s="45">
        <v>7966</v>
      </c>
      <c r="Z102" s="44"/>
      <c r="AA102" s="45">
        <v>0</v>
      </c>
      <c r="AB102" s="44"/>
      <c r="AC102" s="45">
        <f t="shared" si="2"/>
        <v>4774263</v>
      </c>
      <c r="AD102" s="45"/>
      <c r="AE102" s="48">
        <v>0</v>
      </c>
      <c r="AF102" s="48"/>
      <c r="AG102" s="45">
        <v>768800</v>
      </c>
      <c r="AH102" s="45"/>
      <c r="AI102" s="45">
        <v>2571145</v>
      </c>
      <c r="AJ102" s="45"/>
      <c r="AK102" s="45">
        <v>0</v>
      </c>
      <c r="AL102" s="45"/>
      <c r="AM102" s="45">
        <f>+'Gen rev'!U102-'Gen exp'!AC102-AG102+'Gen rev'!W102+AI102+AK102-'Gen Bal'!S102-'Gen exp'!AE102</f>
        <v>0</v>
      </c>
      <c r="AN102" s="44"/>
      <c r="AO102" s="44"/>
      <c r="AP102" s="44"/>
      <c r="AQ102" s="44"/>
    </row>
    <row r="103" spans="1:45" s="49" customFormat="1" ht="12.75" customHeight="1">
      <c r="A103" s="28" t="s">
        <v>129</v>
      </c>
      <c r="C103" s="28" t="s">
        <v>80</v>
      </c>
      <c r="E103" s="45">
        <v>358967</v>
      </c>
      <c r="F103" s="45"/>
      <c r="G103" s="45">
        <v>1599514</v>
      </c>
      <c r="H103" s="45"/>
      <c r="I103" s="45">
        <v>320</v>
      </c>
      <c r="J103" s="45"/>
      <c r="K103" s="45">
        <v>15594</v>
      </c>
      <c r="L103" s="45"/>
      <c r="M103" s="45">
        <v>0</v>
      </c>
      <c r="N103" s="45"/>
      <c r="O103" s="45">
        <v>5460</v>
      </c>
      <c r="P103" s="45"/>
      <c r="Q103" s="45">
        <v>0</v>
      </c>
      <c r="R103" s="45"/>
      <c r="S103" s="45">
        <v>0</v>
      </c>
      <c r="T103" s="45"/>
      <c r="U103" s="45">
        <v>0</v>
      </c>
      <c r="V103" s="45"/>
      <c r="W103" s="45">
        <v>0</v>
      </c>
      <c r="X103" s="45"/>
      <c r="Y103" s="45">
        <v>0</v>
      </c>
      <c r="Z103" s="44"/>
      <c r="AA103" s="45">
        <v>0</v>
      </c>
      <c r="AB103" s="44"/>
      <c r="AC103" s="45">
        <f t="shared" si="2"/>
        <v>1979855</v>
      </c>
      <c r="AD103" s="45"/>
      <c r="AE103" s="48">
        <v>0</v>
      </c>
      <c r="AF103" s="48"/>
      <c r="AG103" s="45">
        <v>1014731</v>
      </c>
      <c r="AH103" s="45"/>
      <c r="AI103" s="45">
        <v>536107</v>
      </c>
      <c r="AJ103" s="45"/>
      <c r="AK103" s="45">
        <v>0</v>
      </c>
      <c r="AL103" s="45"/>
      <c r="AM103" s="45">
        <f>+'Gen rev'!U103-'Gen exp'!AC103-AG103+'Gen rev'!W103+AI103+AK103-'Gen Bal'!S103-'Gen exp'!AE103</f>
        <v>0</v>
      </c>
      <c r="AN103" s="45"/>
      <c r="AO103" s="45"/>
      <c r="AP103" s="45"/>
      <c r="AQ103" s="45"/>
      <c r="AR103" s="52"/>
      <c r="AS103" s="50"/>
    </row>
    <row r="104" spans="1:45" s="49" customFormat="1" ht="12.75" customHeight="1">
      <c r="A104" s="64" t="s">
        <v>130</v>
      </c>
      <c r="B104" s="46"/>
      <c r="C104" s="64" t="s">
        <v>66</v>
      </c>
      <c r="D104" s="46"/>
      <c r="E104" s="45">
        <v>2852374</v>
      </c>
      <c r="F104" s="45"/>
      <c r="G104" s="45">
        <v>858334</v>
      </c>
      <c r="H104" s="45"/>
      <c r="I104" s="45">
        <v>884252</v>
      </c>
      <c r="J104" s="45"/>
      <c r="K104" s="45">
        <v>0</v>
      </c>
      <c r="L104" s="45"/>
      <c r="M104" s="45">
        <v>0</v>
      </c>
      <c r="N104" s="45"/>
      <c r="O104" s="45">
        <v>0</v>
      </c>
      <c r="P104" s="45"/>
      <c r="Q104" s="45">
        <v>0</v>
      </c>
      <c r="R104" s="45"/>
      <c r="S104" s="45">
        <v>275394</v>
      </c>
      <c r="T104" s="45"/>
      <c r="U104" s="45">
        <v>0</v>
      </c>
      <c r="V104" s="45"/>
      <c r="W104" s="45">
        <v>9715</v>
      </c>
      <c r="X104" s="45"/>
      <c r="Y104" s="45">
        <v>1148</v>
      </c>
      <c r="Z104" s="44"/>
      <c r="AA104" s="45">
        <v>0</v>
      </c>
      <c r="AB104" s="44"/>
      <c r="AC104" s="45">
        <f t="shared" si="2"/>
        <v>4881217</v>
      </c>
      <c r="AD104" s="45"/>
      <c r="AE104" s="48">
        <v>0</v>
      </c>
      <c r="AF104" s="48"/>
      <c r="AG104" s="45">
        <v>6016338</v>
      </c>
      <c r="AH104" s="45"/>
      <c r="AI104" s="45">
        <v>6816933</v>
      </c>
      <c r="AJ104" s="45"/>
      <c r="AK104" s="45">
        <v>9261</v>
      </c>
      <c r="AL104" s="45"/>
      <c r="AM104" s="45">
        <f>+'Gen rev'!U104-'Gen exp'!AC104-AG104+'Gen rev'!W104+AI104+AK104-'Gen Bal'!S104-'Gen exp'!AE104</f>
        <v>0</v>
      </c>
      <c r="AN104" s="45"/>
      <c r="AO104" s="45"/>
      <c r="AP104" s="45"/>
      <c r="AQ104" s="45"/>
      <c r="AR104" s="52"/>
      <c r="AS104" s="50"/>
    </row>
    <row r="105" spans="1:45" s="49" customFormat="1" ht="12.75" customHeight="1">
      <c r="A105" s="28" t="s">
        <v>131</v>
      </c>
      <c r="C105" s="28" t="s">
        <v>13</v>
      </c>
      <c r="E105" s="45">
        <v>4325012</v>
      </c>
      <c r="F105" s="45"/>
      <c r="G105" s="45">
        <v>3432131</v>
      </c>
      <c r="H105" s="45"/>
      <c r="I105" s="45">
        <v>1231100</v>
      </c>
      <c r="J105" s="45"/>
      <c r="K105" s="45">
        <v>295805</v>
      </c>
      <c r="L105" s="45"/>
      <c r="M105" s="45">
        <v>0</v>
      </c>
      <c r="N105" s="45"/>
      <c r="O105" s="45">
        <v>0</v>
      </c>
      <c r="P105" s="45"/>
      <c r="Q105" s="45">
        <v>0</v>
      </c>
      <c r="R105" s="45"/>
      <c r="S105" s="45">
        <v>259639</v>
      </c>
      <c r="T105" s="45"/>
      <c r="U105" s="45">
        <v>0</v>
      </c>
      <c r="V105" s="45"/>
      <c r="W105" s="45">
        <v>0</v>
      </c>
      <c r="X105" s="45"/>
      <c r="Y105" s="45">
        <v>0</v>
      </c>
      <c r="Z105" s="44"/>
      <c r="AA105" s="45">
        <v>0</v>
      </c>
      <c r="AB105" s="44"/>
      <c r="AC105" s="45">
        <f t="shared" si="2"/>
        <v>9543687</v>
      </c>
      <c r="AD105" s="45"/>
      <c r="AE105" s="48">
        <v>0</v>
      </c>
      <c r="AF105" s="48"/>
      <c r="AG105" s="45">
        <v>11377514</v>
      </c>
      <c r="AH105" s="45"/>
      <c r="AI105" s="45">
        <v>10399856</v>
      </c>
      <c r="AJ105" s="45"/>
      <c r="AK105" s="45">
        <v>0</v>
      </c>
      <c r="AL105" s="45"/>
      <c r="AM105" s="45">
        <f>+'Gen rev'!U105-'Gen exp'!AC105-AG105+'Gen rev'!W105+AI105+AK105-'Gen Bal'!S105-'Gen exp'!AE105</f>
        <v>0</v>
      </c>
      <c r="AN105" s="45"/>
      <c r="AO105" s="45"/>
      <c r="AP105" s="45"/>
      <c r="AQ105" s="45"/>
      <c r="AR105" s="52"/>
      <c r="AS105" s="50"/>
    </row>
    <row r="106" spans="1:45" s="49" customFormat="1" ht="12.75" customHeight="1">
      <c r="A106" s="28" t="s">
        <v>38</v>
      </c>
      <c r="C106" s="28" t="s">
        <v>132</v>
      </c>
      <c r="E106" s="45">
        <v>889846</v>
      </c>
      <c r="F106" s="45"/>
      <c r="G106" s="45">
        <v>1366060</v>
      </c>
      <c r="H106" s="45"/>
      <c r="I106" s="45">
        <v>0</v>
      </c>
      <c r="J106" s="45"/>
      <c r="K106" s="45">
        <v>0</v>
      </c>
      <c r="L106" s="45"/>
      <c r="M106" s="45">
        <v>0</v>
      </c>
      <c r="N106" s="45"/>
      <c r="O106" s="45">
        <v>0</v>
      </c>
      <c r="P106" s="45"/>
      <c r="Q106" s="45">
        <v>595123</v>
      </c>
      <c r="R106" s="45"/>
      <c r="S106" s="45">
        <v>0</v>
      </c>
      <c r="T106" s="45"/>
      <c r="U106" s="45">
        <v>0</v>
      </c>
      <c r="V106" s="45"/>
      <c r="W106" s="45">
        <v>0</v>
      </c>
      <c r="X106" s="45"/>
      <c r="Y106" s="45">
        <v>0</v>
      </c>
      <c r="Z106" s="44"/>
      <c r="AA106" s="45">
        <v>0</v>
      </c>
      <c r="AB106" s="44"/>
      <c r="AC106" s="45">
        <f t="shared" si="2"/>
        <v>2851029</v>
      </c>
      <c r="AD106" s="45"/>
      <c r="AE106" s="48">
        <v>0</v>
      </c>
      <c r="AF106" s="48"/>
      <c r="AG106" s="45">
        <v>1008016</v>
      </c>
      <c r="AH106" s="45"/>
      <c r="AI106" s="45">
        <v>341443</v>
      </c>
      <c r="AJ106" s="45"/>
      <c r="AK106" s="45"/>
      <c r="AL106" s="45"/>
      <c r="AM106" s="45">
        <f>+'Gen rev'!U106-'Gen exp'!AC106-AG106+'Gen rev'!W106+AI106+AK106-'Gen Bal'!S106-'Gen exp'!AE106</f>
        <v>0</v>
      </c>
      <c r="AN106" s="45"/>
      <c r="AO106" s="45"/>
      <c r="AP106" s="45"/>
      <c r="AQ106" s="45"/>
      <c r="AR106" s="52"/>
      <c r="AS106" s="50"/>
    </row>
    <row r="107" spans="1:45" s="49" customFormat="1" ht="12.75" customHeight="1">
      <c r="A107" s="28" t="s">
        <v>133</v>
      </c>
      <c r="C107" s="28" t="s">
        <v>27</v>
      </c>
      <c r="E107" s="45">
        <v>5474837</v>
      </c>
      <c r="F107" s="45"/>
      <c r="G107" s="45">
        <v>7405987</v>
      </c>
      <c r="H107" s="45"/>
      <c r="I107" s="45">
        <v>2315832</v>
      </c>
      <c r="J107" s="45"/>
      <c r="K107" s="45">
        <v>49480</v>
      </c>
      <c r="L107" s="45"/>
      <c r="M107" s="45">
        <v>890163</v>
      </c>
      <c r="N107" s="45"/>
      <c r="O107" s="45">
        <v>2626436</v>
      </c>
      <c r="P107" s="45"/>
      <c r="Q107" s="45">
        <v>592856</v>
      </c>
      <c r="R107" s="45"/>
      <c r="S107" s="45">
        <v>0</v>
      </c>
      <c r="T107" s="45"/>
      <c r="U107" s="45">
        <v>0</v>
      </c>
      <c r="V107" s="45"/>
      <c r="W107" s="45">
        <v>0</v>
      </c>
      <c r="X107" s="45"/>
      <c r="Y107" s="45">
        <v>0</v>
      </c>
      <c r="Z107" s="44"/>
      <c r="AA107" s="45">
        <v>0</v>
      </c>
      <c r="AB107" s="44"/>
      <c r="AC107" s="45">
        <f t="shared" si="2"/>
        <v>19355591</v>
      </c>
      <c r="AD107" s="45"/>
      <c r="AE107" s="48">
        <v>0</v>
      </c>
      <c r="AF107" s="48"/>
      <c r="AG107" s="45">
        <v>8219766</v>
      </c>
      <c r="AH107" s="45"/>
      <c r="AI107" s="45">
        <v>11121850</v>
      </c>
      <c r="AJ107" s="45"/>
      <c r="AK107" s="45">
        <v>0</v>
      </c>
      <c r="AL107" s="45"/>
      <c r="AM107" s="45">
        <f>+'Gen rev'!U107-'Gen exp'!AC107-AG107+'Gen rev'!W107+AI107+AK107-'Gen Bal'!S107-'Gen exp'!AE107</f>
        <v>0</v>
      </c>
      <c r="AN107" s="45"/>
      <c r="AO107" s="45"/>
      <c r="AP107" s="45"/>
      <c r="AQ107" s="45"/>
      <c r="AR107" s="52"/>
      <c r="AS107" s="50"/>
    </row>
    <row r="108" spans="1:45" s="49" customFormat="1" ht="12.75" customHeight="1">
      <c r="A108" s="28" t="s">
        <v>483</v>
      </c>
      <c r="C108" s="28" t="s">
        <v>45</v>
      </c>
      <c r="E108" s="45">
        <v>1630829</v>
      </c>
      <c r="F108" s="45"/>
      <c r="G108" s="45">
        <v>4255999</v>
      </c>
      <c r="H108" s="45"/>
      <c r="I108" s="45">
        <v>1436050</v>
      </c>
      <c r="J108" s="45"/>
      <c r="K108" s="45">
        <v>146124</v>
      </c>
      <c r="L108" s="45"/>
      <c r="M108" s="45">
        <v>0</v>
      </c>
      <c r="N108" s="45"/>
      <c r="O108" s="45">
        <v>836547</v>
      </c>
      <c r="P108" s="45"/>
      <c r="Q108" s="45">
        <v>0</v>
      </c>
      <c r="R108" s="45"/>
      <c r="S108" s="45">
        <v>0</v>
      </c>
      <c r="T108" s="45"/>
      <c r="U108" s="45">
        <v>0</v>
      </c>
      <c r="V108" s="45"/>
      <c r="W108" s="45">
        <v>0</v>
      </c>
      <c r="X108" s="45"/>
      <c r="Y108" s="45">
        <v>0</v>
      </c>
      <c r="Z108" s="44"/>
      <c r="AA108" s="45">
        <v>0</v>
      </c>
      <c r="AB108" s="44"/>
      <c r="AC108" s="45">
        <f t="shared" si="2"/>
        <v>8305549</v>
      </c>
      <c r="AD108" s="45"/>
      <c r="AE108" s="48">
        <v>0</v>
      </c>
      <c r="AF108" s="48"/>
      <c r="AG108" s="45">
        <v>2724384</v>
      </c>
      <c r="AH108" s="45"/>
      <c r="AI108" s="45">
        <v>1912040</v>
      </c>
      <c r="AJ108" s="45"/>
      <c r="AK108" s="45">
        <v>-17010</v>
      </c>
      <c r="AL108" s="45"/>
      <c r="AM108" s="45">
        <f>+'Gen rev'!U108-'Gen exp'!AC108-AG108+'Gen rev'!W108+AI108+AK108-'Gen Bal'!S108-'Gen exp'!AE108</f>
        <v>0</v>
      </c>
      <c r="AN108" s="45"/>
      <c r="AO108" s="45"/>
      <c r="AP108" s="45"/>
      <c r="AQ108" s="45"/>
      <c r="AR108" s="52"/>
      <c r="AS108" s="50"/>
    </row>
    <row r="109" spans="1:45" s="49" customFormat="1" ht="12.75" customHeight="1">
      <c r="A109" s="28" t="s">
        <v>134</v>
      </c>
      <c r="C109" s="28" t="s">
        <v>135</v>
      </c>
      <c r="E109" s="45">
        <v>1756525</v>
      </c>
      <c r="F109" s="45"/>
      <c r="G109" s="45">
        <v>2520698</v>
      </c>
      <c r="H109" s="45"/>
      <c r="I109" s="45">
        <v>0</v>
      </c>
      <c r="J109" s="45"/>
      <c r="K109" s="45">
        <v>11238</v>
      </c>
      <c r="L109" s="45"/>
      <c r="M109" s="45">
        <v>0</v>
      </c>
      <c r="N109" s="45"/>
      <c r="O109" s="45">
        <v>0</v>
      </c>
      <c r="P109" s="45"/>
      <c r="Q109" s="45">
        <v>0</v>
      </c>
      <c r="R109" s="45"/>
      <c r="S109" s="45">
        <v>0</v>
      </c>
      <c r="T109" s="45"/>
      <c r="U109" s="45">
        <v>0</v>
      </c>
      <c r="V109" s="45"/>
      <c r="W109" s="45">
        <v>57189</v>
      </c>
      <c r="X109" s="45"/>
      <c r="Y109" s="45">
        <v>75549</v>
      </c>
      <c r="Z109" s="44"/>
      <c r="AA109" s="45">
        <v>0</v>
      </c>
      <c r="AB109" s="44"/>
      <c r="AC109" s="45">
        <f t="shared" si="2"/>
        <v>4421199</v>
      </c>
      <c r="AD109" s="45"/>
      <c r="AE109" s="48">
        <v>0</v>
      </c>
      <c r="AF109" s="48"/>
      <c r="AG109" s="45">
        <v>0</v>
      </c>
      <c r="AH109" s="45"/>
      <c r="AI109" s="45">
        <v>1178593</v>
      </c>
      <c r="AJ109" s="45"/>
      <c r="AK109" s="45">
        <v>0</v>
      </c>
      <c r="AL109" s="45"/>
      <c r="AM109" s="45">
        <f>+'Gen rev'!U109-'Gen exp'!AC109-AG109+'Gen rev'!W109+AI109+AK109-'Gen Bal'!S109-'Gen exp'!AE109</f>
        <v>0</v>
      </c>
      <c r="AN109" s="44"/>
      <c r="AO109" s="44"/>
      <c r="AP109" s="44"/>
      <c r="AQ109" s="44"/>
    </row>
    <row r="110" spans="1:45" s="49" customFormat="1" ht="12.75" customHeight="1">
      <c r="A110" s="28" t="s">
        <v>136</v>
      </c>
      <c r="C110" s="28" t="s">
        <v>136</v>
      </c>
      <c r="E110" s="45">
        <v>1375554</v>
      </c>
      <c r="F110" s="45"/>
      <c r="G110" s="45">
        <v>1964183</v>
      </c>
      <c r="H110" s="45"/>
      <c r="I110" s="45">
        <v>0</v>
      </c>
      <c r="J110" s="45"/>
      <c r="K110" s="45">
        <v>0</v>
      </c>
      <c r="L110" s="45"/>
      <c r="M110" s="45">
        <v>96966</v>
      </c>
      <c r="N110" s="45"/>
      <c r="O110" s="45">
        <v>0</v>
      </c>
      <c r="P110" s="45"/>
      <c r="Q110" s="45">
        <v>0</v>
      </c>
      <c r="R110" s="45"/>
      <c r="S110" s="45">
        <v>0</v>
      </c>
      <c r="T110" s="45"/>
      <c r="U110" s="45">
        <v>0</v>
      </c>
      <c r="V110" s="45"/>
      <c r="W110" s="45">
        <v>9847</v>
      </c>
      <c r="X110" s="45"/>
      <c r="Y110" s="45">
        <v>2500</v>
      </c>
      <c r="Z110" s="44"/>
      <c r="AA110" s="45">
        <v>0</v>
      </c>
      <c r="AB110" s="44"/>
      <c r="AC110" s="45">
        <f t="shared" si="2"/>
        <v>3449050</v>
      </c>
      <c r="AD110" s="45"/>
      <c r="AE110" s="48">
        <v>0</v>
      </c>
      <c r="AF110" s="48"/>
      <c r="AG110" s="45">
        <v>462700</v>
      </c>
      <c r="AH110" s="45"/>
      <c r="AI110" s="45">
        <v>2792502</v>
      </c>
      <c r="AJ110" s="45"/>
      <c r="AK110" s="45">
        <v>0</v>
      </c>
      <c r="AL110" s="45"/>
      <c r="AM110" s="45">
        <f>+'Gen rev'!U110-'Gen exp'!AC110-AG110+'Gen rev'!W110+AI110+AK110-'Gen Bal'!S110-'Gen exp'!AE110</f>
        <v>0</v>
      </c>
      <c r="AN110" s="45"/>
      <c r="AO110" s="45"/>
      <c r="AP110" s="45"/>
      <c r="AQ110" s="45"/>
      <c r="AR110" s="52"/>
      <c r="AS110" s="50"/>
    </row>
    <row r="111" spans="1:45" s="49" customFormat="1" ht="12.75" customHeight="1">
      <c r="A111" s="28" t="s">
        <v>137</v>
      </c>
      <c r="C111" s="28" t="s">
        <v>22</v>
      </c>
      <c r="E111" s="45">
        <v>2077732</v>
      </c>
      <c r="F111" s="45"/>
      <c r="G111" s="45">
        <v>3850511</v>
      </c>
      <c r="H111" s="45"/>
      <c r="I111" s="45">
        <v>1449610</v>
      </c>
      <c r="J111" s="45"/>
      <c r="K111" s="45">
        <v>440130</v>
      </c>
      <c r="L111" s="45"/>
      <c r="M111" s="45">
        <v>0</v>
      </c>
      <c r="N111" s="45"/>
      <c r="O111" s="45">
        <v>0</v>
      </c>
      <c r="P111" s="45"/>
      <c r="Q111" s="45">
        <v>0</v>
      </c>
      <c r="R111" s="45"/>
      <c r="S111" s="45">
        <v>252691</v>
      </c>
      <c r="T111" s="45"/>
      <c r="U111" s="45">
        <v>0</v>
      </c>
      <c r="V111" s="45"/>
      <c r="W111" s="45">
        <v>0</v>
      </c>
      <c r="X111" s="45"/>
      <c r="Y111" s="45">
        <v>0</v>
      </c>
      <c r="Z111" s="44"/>
      <c r="AA111" s="45">
        <v>0</v>
      </c>
      <c r="AB111" s="44"/>
      <c r="AC111" s="45">
        <f t="shared" si="2"/>
        <v>8070674</v>
      </c>
      <c r="AD111" s="45"/>
      <c r="AE111" s="48">
        <v>0</v>
      </c>
      <c r="AF111" s="48"/>
      <c r="AG111" s="45">
        <v>0</v>
      </c>
      <c r="AH111" s="45"/>
      <c r="AI111" s="45">
        <v>9016879</v>
      </c>
      <c r="AJ111" s="45"/>
      <c r="AK111" s="45">
        <v>0</v>
      </c>
      <c r="AL111" s="45"/>
      <c r="AM111" s="45">
        <f>+'Gen rev'!U111-'Gen exp'!AC111-AG111+'Gen rev'!W111+AI111+AK111-'Gen Bal'!S111-'Gen exp'!AE111</f>
        <v>0</v>
      </c>
      <c r="AN111" s="45"/>
      <c r="AO111" s="45"/>
      <c r="AP111" s="45"/>
      <c r="AQ111" s="45"/>
      <c r="AR111" s="52"/>
      <c r="AS111" s="50"/>
    </row>
    <row r="112" spans="1:45" s="49" customFormat="1" ht="12.75" hidden="1" customHeight="1">
      <c r="A112" s="28" t="s">
        <v>138</v>
      </c>
      <c r="C112" s="28" t="s">
        <v>139</v>
      </c>
      <c r="E112" s="45">
        <v>954634</v>
      </c>
      <c r="F112" s="45"/>
      <c r="G112" s="45">
        <v>2094109</v>
      </c>
      <c r="H112" s="45"/>
      <c r="I112" s="45">
        <v>4585</v>
      </c>
      <c r="J112" s="45"/>
      <c r="K112" s="45">
        <v>73500</v>
      </c>
      <c r="L112" s="45"/>
      <c r="M112" s="45">
        <v>0</v>
      </c>
      <c r="N112" s="45"/>
      <c r="O112" s="45">
        <v>0</v>
      </c>
      <c r="P112" s="45"/>
      <c r="Q112" s="45">
        <v>0</v>
      </c>
      <c r="R112" s="45"/>
      <c r="S112" s="45">
        <v>124454</v>
      </c>
      <c r="T112" s="45"/>
      <c r="U112" s="45">
        <v>0</v>
      </c>
      <c r="V112" s="45"/>
      <c r="W112" s="45">
        <v>0</v>
      </c>
      <c r="X112" s="45"/>
      <c r="Y112" s="45">
        <v>0</v>
      </c>
      <c r="Z112" s="44"/>
      <c r="AA112" s="45">
        <v>0</v>
      </c>
      <c r="AB112" s="44"/>
      <c r="AC112" s="45">
        <f t="shared" si="2"/>
        <v>3251282</v>
      </c>
      <c r="AD112" s="45"/>
      <c r="AE112" s="48">
        <v>0</v>
      </c>
      <c r="AF112" s="48"/>
      <c r="AG112" s="45">
        <v>458165</v>
      </c>
      <c r="AH112" s="45"/>
      <c r="AI112" s="45">
        <v>758314</v>
      </c>
      <c r="AJ112" s="45"/>
      <c r="AK112" s="45"/>
      <c r="AL112" s="45"/>
      <c r="AM112" s="45">
        <f>+'Gen rev'!U112-'Gen exp'!AC112-AG112+'Gen rev'!W112+AI112+AK112-'Gen Bal'!S112-'Gen exp'!AE112</f>
        <v>888640</v>
      </c>
      <c r="AN112" s="45"/>
      <c r="AO112" s="45"/>
      <c r="AP112" s="45"/>
      <c r="AQ112" s="45"/>
      <c r="AR112" s="52"/>
      <c r="AS112" s="50"/>
    </row>
    <row r="113" spans="1:45" s="49" customFormat="1" ht="12.75" customHeight="1">
      <c r="A113" s="28" t="s">
        <v>140</v>
      </c>
      <c r="C113" s="28" t="s">
        <v>66</v>
      </c>
      <c r="E113" s="45">
        <v>10942922</v>
      </c>
      <c r="F113" s="45"/>
      <c r="G113" s="45">
        <v>20049764</v>
      </c>
      <c r="H113" s="45"/>
      <c r="I113" s="45">
        <v>0</v>
      </c>
      <c r="J113" s="45"/>
      <c r="K113" s="45">
        <v>0</v>
      </c>
      <c r="L113" s="45"/>
      <c r="M113" s="45">
        <v>0</v>
      </c>
      <c r="N113" s="45"/>
      <c r="O113" s="45">
        <v>0</v>
      </c>
      <c r="P113" s="45"/>
      <c r="Q113" s="45">
        <v>2715514</v>
      </c>
      <c r="R113" s="45"/>
      <c r="S113" s="45">
        <v>0</v>
      </c>
      <c r="T113" s="45"/>
      <c r="U113" s="45">
        <v>0</v>
      </c>
      <c r="V113" s="45"/>
      <c r="W113" s="45">
        <v>0</v>
      </c>
      <c r="X113" s="45"/>
      <c r="Y113" s="45">
        <v>0</v>
      </c>
      <c r="Z113" s="44"/>
      <c r="AA113" s="45">
        <v>0</v>
      </c>
      <c r="AB113" s="44"/>
      <c r="AC113" s="45">
        <f t="shared" si="2"/>
        <v>33708200</v>
      </c>
      <c r="AD113" s="45"/>
      <c r="AE113" s="48">
        <v>0</v>
      </c>
      <c r="AF113" s="48"/>
      <c r="AG113" s="45">
        <v>8733378</v>
      </c>
      <c r="AH113" s="45"/>
      <c r="AI113" s="45">
        <v>22867454</v>
      </c>
      <c r="AJ113" s="45"/>
      <c r="AK113" s="45">
        <v>0</v>
      </c>
      <c r="AL113" s="45"/>
      <c r="AM113" s="45">
        <f>+'Gen rev'!U113-'Gen exp'!AC113-AG113+'Gen rev'!W113+AI113+AK113-'Gen Bal'!S113-'Gen exp'!AE113</f>
        <v>0</v>
      </c>
      <c r="AN113" s="45"/>
      <c r="AO113" s="45"/>
      <c r="AP113" s="45"/>
      <c r="AQ113" s="45"/>
      <c r="AR113" s="52"/>
      <c r="AS113" s="50"/>
    </row>
    <row r="114" spans="1:45" s="49" customFormat="1" ht="12.75" customHeight="1">
      <c r="A114" s="28" t="s">
        <v>479</v>
      </c>
      <c r="C114" s="28" t="s">
        <v>92</v>
      </c>
      <c r="E114" s="45">
        <v>1962273</v>
      </c>
      <c r="F114" s="45"/>
      <c r="G114" s="45">
        <v>1630894</v>
      </c>
      <c r="H114" s="45"/>
      <c r="I114" s="45">
        <v>77504</v>
      </c>
      <c r="J114" s="45"/>
      <c r="K114" s="45">
        <v>74289</v>
      </c>
      <c r="L114" s="45"/>
      <c r="M114" s="45">
        <v>1131716</v>
      </c>
      <c r="N114" s="45"/>
      <c r="O114" s="45">
        <v>133106</v>
      </c>
      <c r="P114" s="45"/>
      <c r="Q114" s="45">
        <v>0</v>
      </c>
      <c r="R114" s="45"/>
      <c r="S114" s="45">
        <v>0</v>
      </c>
      <c r="T114" s="45"/>
      <c r="U114" s="45">
        <v>0</v>
      </c>
      <c r="V114" s="45"/>
      <c r="W114" s="45">
        <v>9989</v>
      </c>
      <c r="X114" s="45"/>
      <c r="Y114" s="45">
        <v>13192</v>
      </c>
      <c r="Z114" s="44"/>
      <c r="AA114" s="45">
        <v>0</v>
      </c>
      <c r="AB114" s="44"/>
      <c r="AC114" s="45">
        <f t="shared" si="2"/>
        <v>5032963</v>
      </c>
      <c r="AD114" s="45"/>
      <c r="AE114" s="48">
        <v>0</v>
      </c>
      <c r="AF114" s="48"/>
      <c r="AG114" s="45">
        <v>370635</v>
      </c>
      <c r="AH114" s="45"/>
      <c r="AI114" s="45">
        <v>1040554</v>
      </c>
      <c r="AJ114" s="45"/>
      <c r="AK114" s="45">
        <v>0</v>
      </c>
      <c r="AL114" s="45"/>
      <c r="AM114" s="45">
        <f>+'Gen rev'!U114-'Gen exp'!AC114-AG114+'Gen rev'!W114+AI114+AK114-'Gen Bal'!S114-'Gen exp'!AE114</f>
        <v>0</v>
      </c>
      <c r="AN114" s="45"/>
      <c r="AO114" s="45"/>
      <c r="AP114" s="45"/>
      <c r="AQ114" s="45"/>
      <c r="AR114" s="52"/>
      <c r="AS114" s="50"/>
    </row>
    <row r="115" spans="1:45" s="49" customFormat="1" ht="12.75" customHeight="1">
      <c r="A115" s="28" t="s">
        <v>141</v>
      </c>
      <c r="C115" s="28" t="s">
        <v>27</v>
      </c>
      <c r="E115" s="45">
        <v>8392138</v>
      </c>
      <c r="F115" s="45"/>
      <c r="G115" s="45">
        <f>10332503+7519465</f>
        <v>17851968</v>
      </c>
      <c r="H115" s="45"/>
      <c r="I115" s="45">
        <v>2925422</v>
      </c>
      <c r="J115" s="45"/>
      <c r="K115" s="45">
        <v>804849</v>
      </c>
      <c r="L115" s="45"/>
      <c r="M115" s="45">
        <v>0</v>
      </c>
      <c r="N115" s="45"/>
      <c r="O115" s="45">
        <v>1944398</v>
      </c>
      <c r="P115" s="45"/>
      <c r="Q115" s="45">
        <v>5089792</v>
      </c>
      <c r="R115" s="45"/>
      <c r="S115" s="45">
        <v>0</v>
      </c>
      <c r="T115" s="45"/>
      <c r="U115" s="45">
        <v>0</v>
      </c>
      <c r="V115" s="45"/>
      <c r="W115" s="45">
        <v>17853</v>
      </c>
      <c r="X115" s="45"/>
      <c r="Y115" s="45">
        <v>58</v>
      </c>
      <c r="Z115" s="44"/>
      <c r="AA115" s="45">
        <v>0</v>
      </c>
      <c r="AB115" s="44"/>
      <c r="AC115" s="45">
        <f t="shared" si="2"/>
        <v>37026478</v>
      </c>
      <c r="AD115" s="45"/>
      <c r="AE115" s="48">
        <v>0</v>
      </c>
      <c r="AF115" s="48"/>
      <c r="AG115" s="45">
        <v>2378748</v>
      </c>
      <c r="AH115" s="45"/>
      <c r="AI115" s="45">
        <v>3307028</v>
      </c>
      <c r="AJ115" s="45"/>
      <c r="AK115" s="45">
        <v>0</v>
      </c>
      <c r="AL115" s="45"/>
      <c r="AM115" s="45">
        <f>+'Gen rev'!U115-'Gen exp'!AC115-AG115+'Gen rev'!W115+AI115+AK115-'Gen Bal'!S115-'Gen exp'!AE115</f>
        <v>0</v>
      </c>
      <c r="AN115" s="45"/>
      <c r="AO115" s="45"/>
      <c r="AP115" s="45"/>
      <c r="AQ115" s="45"/>
      <c r="AR115" s="52"/>
      <c r="AS115" s="50"/>
    </row>
    <row r="116" spans="1:45" s="46" customFormat="1" ht="12.75" customHeight="1">
      <c r="A116" s="28" t="s">
        <v>142</v>
      </c>
      <c r="B116" s="49"/>
      <c r="C116" s="28" t="s">
        <v>102</v>
      </c>
      <c r="D116" s="49"/>
      <c r="E116" s="45">
        <v>6963458</v>
      </c>
      <c r="F116" s="45"/>
      <c r="G116" s="45">
        <v>16055662</v>
      </c>
      <c r="H116" s="45"/>
      <c r="I116" s="45">
        <v>115262</v>
      </c>
      <c r="J116" s="45"/>
      <c r="K116" s="45">
        <v>294822</v>
      </c>
      <c r="L116" s="45"/>
      <c r="M116" s="45">
        <v>0</v>
      </c>
      <c r="N116" s="45"/>
      <c r="O116" s="45">
        <v>0</v>
      </c>
      <c r="P116" s="45"/>
      <c r="Q116" s="45">
        <v>0</v>
      </c>
      <c r="R116" s="45"/>
      <c r="S116" s="45">
        <v>0</v>
      </c>
      <c r="T116" s="45"/>
      <c r="U116" s="45">
        <v>0</v>
      </c>
      <c r="V116" s="45"/>
      <c r="W116" s="45">
        <v>0</v>
      </c>
      <c r="X116" s="45"/>
      <c r="Y116" s="45">
        <v>0</v>
      </c>
      <c r="Z116" s="44"/>
      <c r="AA116" s="45">
        <v>0</v>
      </c>
      <c r="AB116" s="44"/>
      <c r="AC116" s="45">
        <f>SUM(E116:AA116)</f>
        <v>23429204</v>
      </c>
      <c r="AD116" s="45"/>
      <c r="AE116" s="48">
        <v>0</v>
      </c>
      <c r="AF116" s="48"/>
      <c r="AG116" s="45">
        <v>1719071</v>
      </c>
      <c r="AH116" s="45"/>
      <c r="AI116" s="45">
        <v>4490320</v>
      </c>
      <c r="AJ116" s="45"/>
      <c r="AK116" s="45">
        <v>-65978</v>
      </c>
      <c r="AL116" s="45"/>
      <c r="AM116" s="45">
        <f>+'Gen rev'!U116-'Gen exp'!AC116-AG116+'Gen rev'!W116+AI116+AK116-'Gen Bal'!S116-'Gen exp'!AE116</f>
        <v>0</v>
      </c>
      <c r="AR116" s="90"/>
      <c r="AS116" s="64"/>
    </row>
    <row r="117" spans="1:45" s="49" customFormat="1" ht="12.75" customHeight="1">
      <c r="A117" s="28" t="s">
        <v>143</v>
      </c>
      <c r="C117" s="28" t="s">
        <v>111</v>
      </c>
      <c r="E117" s="45">
        <v>4887532</v>
      </c>
      <c r="F117" s="45"/>
      <c r="G117" s="45">
        <v>3723735</v>
      </c>
      <c r="H117" s="45"/>
      <c r="I117" s="45">
        <v>631975</v>
      </c>
      <c r="J117" s="45"/>
      <c r="K117" s="45">
        <v>0</v>
      </c>
      <c r="L117" s="45"/>
      <c r="M117" s="45">
        <v>0</v>
      </c>
      <c r="N117" s="45"/>
      <c r="O117" s="45">
        <v>312359</v>
      </c>
      <c r="P117" s="45"/>
      <c r="Q117" s="45">
        <v>0</v>
      </c>
      <c r="R117" s="45"/>
      <c r="S117" s="45">
        <v>2995</v>
      </c>
      <c r="T117" s="45"/>
      <c r="U117" s="45">
        <v>0</v>
      </c>
      <c r="V117" s="45"/>
      <c r="W117" s="45">
        <v>386</v>
      </c>
      <c r="X117" s="45"/>
      <c r="Y117" s="45">
        <v>879</v>
      </c>
      <c r="Z117" s="44"/>
      <c r="AA117" s="45">
        <v>0</v>
      </c>
      <c r="AB117" s="44"/>
      <c r="AC117" s="45">
        <f>SUM(E117:AA117)</f>
        <v>9559861</v>
      </c>
      <c r="AD117" s="45"/>
      <c r="AE117" s="48">
        <v>0</v>
      </c>
      <c r="AF117" s="48"/>
      <c r="AG117" s="45">
        <v>652843</v>
      </c>
      <c r="AH117" s="45"/>
      <c r="AI117" s="45">
        <v>4856727</v>
      </c>
      <c r="AJ117" s="45"/>
      <c r="AK117" s="45">
        <v>0</v>
      </c>
      <c r="AL117" s="45"/>
      <c r="AM117" s="45">
        <f>+'Gen rev'!U117-'Gen exp'!AC117-AG117+'Gen rev'!W117+AI117+AK117-'Gen Bal'!S117-'Gen exp'!AE117</f>
        <v>0</v>
      </c>
      <c r="AN117" s="45"/>
      <c r="AO117" s="45"/>
      <c r="AP117" s="45"/>
      <c r="AQ117" s="45"/>
      <c r="AR117" s="52"/>
      <c r="AS117" s="50"/>
    </row>
    <row r="118" spans="1:45" s="49" customFormat="1" ht="12.75" customHeight="1">
      <c r="A118" s="28" t="s">
        <v>144</v>
      </c>
      <c r="C118" s="28" t="s">
        <v>88</v>
      </c>
      <c r="E118" s="45">
        <v>7459021</v>
      </c>
      <c r="F118" s="45"/>
      <c r="G118" s="45">
        <v>14695394</v>
      </c>
      <c r="H118" s="45"/>
      <c r="I118" s="45">
        <v>914372</v>
      </c>
      <c r="J118" s="45"/>
      <c r="K118" s="45">
        <v>0</v>
      </c>
      <c r="L118" s="45"/>
      <c r="M118" s="45">
        <v>1932284</v>
      </c>
      <c r="N118" s="45"/>
      <c r="O118" s="45">
        <v>967946</v>
      </c>
      <c r="P118" s="45"/>
      <c r="Q118" s="45">
        <v>0</v>
      </c>
      <c r="R118" s="45"/>
      <c r="S118" s="45">
        <v>276450</v>
      </c>
      <c r="T118" s="45"/>
      <c r="U118" s="45">
        <v>0</v>
      </c>
      <c r="V118" s="45"/>
      <c r="W118" s="45">
        <v>960000</v>
      </c>
      <c r="X118" s="45"/>
      <c r="Y118" s="45">
        <v>43053</v>
      </c>
      <c r="Z118" s="44"/>
      <c r="AA118" s="45">
        <v>0</v>
      </c>
      <c r="AB118" s="44"/>
      <c r="AC118" s="45">
        <f t="shared" si="2"/>
        <v>27248520</v>
      </c>
      <c r="AD118" s="45"/>
      <c r="AE118" s="48">
        <v>0</v>
      </c>
      <c r="AF118" s="48"/>
      <c r="AG118" s="45">
        <v>0</v>
      </c>
      <c r="AH118" s="45"/>
      <c r="AI118" s="45">
        <v>3599147</v>
      </c>
      <c r="AJ118" s="45"/>
      <c r="AK118" s="45">
        <v>0</v>
      </c>
      <c r="AL118" s="45"/>
      <c r="AM118" s="45">
        <f>+'Gen rev'!U118-'Gen exp'!AC118-AG118+'Gen rev'!W118+AI118+AK118-'Gen Bal'!S118-'Gen exp'!AE118</f>
        <v>0</v>
      </c>
      <c r="AN118" s="45"/>
      <c r="AO118" s="45"/>
      <c r="AP118" s="45"/>
      <c r="AQ118" s="45"/>
      <c r="AR118" s="52"/>
      <c r="AS118" s="50"/>
    </row>
    <row r="119" spans="1:45" s="49" customFormat="1" ht="12.75" customHeight="1">
      <c r="A119" s="28" t="s">
        <v>36</v>
      </c>
      <c r="C119" s="28" t="s">
        <v>145</v>
      </c>
      <c r="E119" s="45">
        <v>425458</v>
      </c>
      <c r="F119" s="45"/>
      <c r="G119" s="45">
        <v>1895015</v>
      </c>
      <c r="H119" s="45"/>
      <c r="I119" s="45">
        <v>19182</v>
      </c>
      <c r="J119" s="45"/>
      <c r="K119" s="45">
        <v>268720</v>
      </c>
      <c r="L119" s="45"/>
      <c r="M119" s="45">
        <v>242365</v>
      </c>
      <c r="N119" s="45"/>
      <c r="O119" s="45">
        <v>4193</v>
      </c>
      <c r="P119" s="45"/>
      <c r="Q119" s="45">
        <v>0</v>
      </c>
      <c r="R119" s="45"/>
      <c r="S119" s="45">
        <v>0</v>
      </c>
      <c r="T119" s="45"/>
      <c r="U119" s="45">
        <v>0</v>
      </c>
      <c r="V119" s="45"/>
      <c r="W119" s="45">
        <v>0</v>
      </c>
      <c r="X119" s="45"/>
      <c r="Y119" s="45">
        <v>0</v>
      </c>
      <c r="Z119" s="44"/>
      <c r="AA119" s="45">
        <v>0</v>
      </c>
      <c r="AB119" s="44"/>
      <c r="AC119" s="45">
        <f t="shared" si="2"/>
        <v>2854933</v>
      </c>
      <c r="AD119" s="45"/>
      <c r="AE119" s="48">
        <v>0</v>
      </c>
      <c r="AF119" s="48"/>
      <c r="AG119" s="45">
        <v>37000</v>
      </c>
      <c r="AH119" s="45"/>
      <c r="AI119" s="45">
        <v>819391</v>
      </c>
      <c r="AJ119" s="45"/>
      <c r="AK119" s="45">
        <v>0</v>
      </c>
      <c r="AL119" s="45"/>
      <c r="AM119" s="45">
        <f>+'Gen rev'!U119-'Gen exp'!AC119-AG119+'Gen rev'!W119+AI119+AK119-'Gen Bal'!S119-'Gen exp'!AE119</f>
        <v>0</v>
      </c>
      <c r="AN119" s="35"/>
      <c r="AO119" s="35"/>
      <c r="AP119" s="35"/>
      <c r="AQ119" s="35"/>
      <c r="AR119" s="50"/>
      <c r="AS119" s="50"/>
    </row>
    <row r="120" spans="1:45" s="49" customFormat="1" ht="12.75" customHeight="1">
      <c r="A120" s="28" t="s">
        <v>146</v>
      </c>
      <c r="C120" s="28" t="s">
        <v>147</v>
      </c>
      <c r="E120" s="45">
        <v>735230</v>
      </c>
      <c r="F120" s="45"/>
      <c r="G120" s="45">
        <v>2527210</v>
      </c>
      <c r="H120" s="45"/>
      <c r="I120" s="45">
        <v>15321</v>
      </c>
      <c r="J120" s="45"/>
      <c r="K120" s="45">
        <v>2000</v>
      </c>
      <c r="L120" s="45"/>
      <c r="M120" s="45">
        <v>0</v>
      </c>
      <c r="N120" s="45"/>
      <c r="O120" s="45">
        <v>223481</v>
      </c>
      <c r="P120" s="45"/>
      <c r="Q120" s="45">
        <v>0</v>
      </c>
      <c r="R120" s="45"/>
      <c r="S120" s="45">
        <v>0</v>
      </c>
      <c r="T120" s="45"/>
      <c r="U120" s="45">
        <v>0</v>
      </c>
      <c r="V120" s="45"/>
      <c r="W120" s="45">
        <v>0</v>
      </c>
      <c r="X120" s="45"/>
      <c r="Y120" s="45">
        <v>0</v>
      </c>
      <c r="Z120" s="44"/>
      <c r="AA120" s="45">
        <v>0</v>
      </c>
      <c r="AB120" s="44"/>
      <c r="AC120" s="45">
        <f>SUM(E120:AA120)</f>
        <v>3503242</v>
      </c>
      <c r="AD120" s="45"/>
      <c r="AE120" s="48">
        <v>0</v>
      </c>
      <c r="AF120" s="48"/>
      <c r="AG120" s="45">
        <v>609601</v>
      </c>
      <c r="AH120" s="45"/>
      <c r="AI120" s="45">
        <v>1590038</v>
      </c>
      <c r="AJ120" s="45"/>
      <c r="AK120" s="45">
        <v>0</v>
      </c>
      <c r="AL120" s="45"/>
      <c r="AM120" s="45">
        <f>+'Gen rev'!U120-'Gen exp'!AC120-AG120+'Gen rev'!W120+AI120+AK120-'Gen Bal'!S120-'Gen exp'!AE120</f>
        <v>0</v>
      </c>
      <c r="AN120" s="44"/>
      <c r="AO120" s="44"/>
      <c r="AP120" s="44"/>
      <c r="AQ120" s="44"/>
    </row>
    <row r="121" spans="1:45" s="49" customFormat="1" ht="12.75" customHeight="1">
      <c r="A121" s="28" t="s">
        <v>17</v>
      </c>
      <c r="C121" s="28" t="s">
        <v>17</v>
      </c>
      <c r="E121" s="45">
        <v>8558615</v>
      </c>
      <c r="F121" s="45"/>
      <c r="G121" s="45">
        <v>16711829</v>
      </c>
      <c r="H121" s="45"/>
      <c r="I121" s="45">
        <v>634093</v>
      </c>
      <c r="J121" s="45"/>
      <c r="K121" s="45">
        <v>324661</v>
      </c>
      <c r="L121" s="45"/>
      <c r="M121" s="45">
        <v>0</v>
      </c>
      <c r="N121" s="45"/>
      <c r="O121" s="45">
        <v>1123540</v>
      </c>
      <c r="P121" s="45"/>
      <c r="Q121" s="45">
        <v>0</v>
      </c>
      <c r="R121" s="45"/>
      <c r="S121" s="45">
        <v>0</v>
      </c>
      <c r="T121" s="45"/>
      <c r="U121" s="45">
        <v>0</v>
      </c>
      <c r="V121" s="45"/>
      <c r="W121" s="45">
        <v>278985</v>
      </c>
      <c r="X121" s="45"/>
      <c r="Y121" s="45">
        <v>119388</v>
      </c>
      <c r="Z121" s="44"/>
      <c r="AA121" s="45">
        <v>0</v>
      </c>
      <c r="AB121" s="44"/>
      <c r="AC121" s="45">
        <f>SUM(E121:AA121)</f>
        <v>27751111</v>
      </c>
      <c r="AD121" s="45"/>
      <c r="AE121" s="48">
        <v>0</v>
      </c>
      <c r="AF121" s="48"/>
      <c r="AG121" s="45">
        <v>1785934</v>
      </c>
      <c r="AH121" s="45"/>
      <c r="AI121" s="45">
        <v>1229024</v>
      </c>
      <c r="AJ121" s="45"/>
      <c r="AK121" s="45">
        <v>0</v>
      </c>
      <c r="AL121" s="45"/>
      <c r="AM121" s="45">
        <f>+'Gen rev'!U121-'Gen exp'!AC121-AG121+'Gen rev'!W121+AI121+AK121-'Gen Bal'!S121-'Gen exp'!AE121</f>
        <v>0</v>
      </c>
      <c r="AN121" s="44"/>
      <c r="AO121" s="44"/>
      <c r="AP121" s="44"/>
      <c r="AQ121" s="44"/>
    </row>
    <row r="122" spans="1:45" s="49" customFormat="1" ht="12.75" customHeight="1">
      <c r="A122" s="28" t="s">
        <v>148</v>
      </c>
      <c r="C122" s="28" t="s">
        <v>15</v>
      </c>
      <c r="E122" s="45">
        <v>606045</v>
      </c>
      <c r="F122" s="45"/>
      <c r="G122" s="45">
        <v>2014992</v>
      </c>
      <c r="H122" s="45"/>
      <c r="I122" s="45">
        <v>191161</v>
      </c>
      <c r="J122" s="45"/>
      <c r="K122" s="45">
        <v>18274</v>
      </c>
      <c r="L122" s="45"/>
      <c r="M122" s="45">
        <v>0</v>
      </c>
      <c r="N122" s="45"/>
      <c r="O122" s="45">
        <v>284329</v>
      </c>
      <c r="P122" s="45"/>
      <c r="Q122" s="45">
        <v>0</v>
      </c>
      <c r="R122" s="45"/>
      <c r="S122" s="45">
        <v>398051</v>
      </c>
      <c r="T122" s="45"/>
      <c r="U122" s="45">
        <v>0</v>
      </c>
      <c r="V122" s="45"/>
      <c r="W122" s="45">
        <v>27059</v>
      </c>
      <c r="X122" s="45"/>
      <c r="Y122" s="45">
        <v>337</v>
      </c>
      <c r="Z122" s="44"/>
      <c r="AA122" s="45">
        <v>0</v>
      </c>
      <c r="AB122" s="44"/>
      <c r="AC122" s="45">
        <f t="shared" si="2"/>
        <v>3540248</v>
      </c>
      <c r="AD122" s="45"/>
      <c r="AE122" s="48">
        <v>0</v>
      </c>
      <c r="AF122" s="48"/>
      <c r="AG122" s="45">
        <v>424635</v>
      </c>
      <c r="AH122" s="45"/>
      <c r="AI122" s="45">
        <v>1354135</v>
      </c>
      <c r="AJ122" s="45"/>
      <c r="AK122" s="45">
        <v>0</v>
      </c>
      <c r="AL122" s="45"/>
      <c r="AM122" s="45">
        <f>+'Gen rev'!U122-'Gen exp'!AC122-AG122+'Gen rev'!W122+AI122+AK122-'Gen Bal'!S122-'Gen exp'!AE122</f>
        <v>0</v>
      </c>
      <c r="AN122" s="44"/>
      <c r="AO122" s="44"/>
      <c r="AP122" s="44"/>
      <c r="AQ122" s="44"/>
    </row>
    <row r="123" spans="1:45" s="46" customFormat="1" ht="12.75" customHeight="1">
      <c r="A123" s="28" t="s">
        <v>149</v>
      </c>
      <c r="B123" s="49"/>
      <c r="C123" s="28" t="s">
        <v>45</v>
      </c>
      <c r="D123" s="49"/>
      <c r="E123" s="45">
        <v>1603369</v>
      </c>
      <c r="F123" s="45"/>
      <c r="G123" s="45">
        <v>2455262</v>
      </c>
      <c r="H123" s="45"/>
      <c r="I123" s="45">
        <v>202433</v>
      </c>
      <c r="J123" s="45"/>
      <c r="K123" s="45">
        <v>0</v>
      </c>
      <c r="L123" s="45"/>
      <c r="M123" s="45">
        <v>0</v>
      </c>
      <c r="N123" s="45"/>
      <c r="O123" s="45">
        <v>0</v>
      </c>
      <c r="P123" s="45"/>
      <c r="Q123" s="45">
        <v>0</v>
      </c>
      <c r="R123" s="45"/>
      <c r="S123" s="45">
        <v>0</v>
      </c>
      <c r="T123" s="45"/>
      <c r="U123" s="45">
        <v>0</v>
      </c>
      <c r="V123" s="45"/>
      <c r="W123" s="45">
        <v>45900</v>
      </c>
      <c r="X123" s="45"/>
      <c r="Y123" s="45">
        <v>22404</v>
      </c>
      <c r="Z123" s="44"/>
      <c r="AA123" s="45">
        <v>0</v>
      </c>
      <c r="AB123" s="44"/>
      <c r="AC123" s="45">
        <f t="shared" si="2"/>
        <v>4329368</v>
      </c>
      <c r="AD123" s="45"/>
      <c r="AE123" s="48">
        <v>0</v>
      </c>
      <c r="AF123" s="48"/>
      <c r="AG123" s="45">
        <v>0</v>
      </c>
      <c r="AH123" s="45"/>
      <c r="AI123" s="45">
        <v>-74787</v>
      </c>
      <c r="AJ123" s="45"/>
      <c r="AK123" s="45">
        <v>1939</v>
      </c>
      <c r="AL123" s="45"/>
      <c r="AM123" s="45">
        <f>+'Gen rev'!U123-'Gen exp'!AC123-AG123+'Gen rev'!W123+AI123+AK123-'Gen Bal'!S123-'Gen exp'!AE123</f>
        <v>0</v>
      </c>
    </row>
    <row r="124" spans="1:45" s="49" customFormat="1" ht="12.75" customHeight="1">
      <c r="A124" s="28" t="s">
        <v>150</v>
      </c>
      <c r="C124" s="28" t="s">
        <v>27</v>
      </c>
      <c r="E124" s="45">
        <v>3981240</v>
      </c>
      <c r="F124" s="45"/>
      <c r="G124" s="45">
        <v>6695444</v>
      </c>
      <c r="H124" s="45"/>
      <c r="I124" s="45">
        <v>416149</v>
      </c>
      <c r="J124" s="45"/>
      <c r="K124" s="45">
        <v>55004</v>
      </c>
      <c r="L124" s="45"/>
      <c r="M124" s="45">
        <v>0</v>
      </c>
      <c r="N124" s="45"/>
      <c r="O124" s="45">
        <v>785203</v>
      </c>
      <c r="P124" s="45"/>
      <c r="Q124" s="45">
        <v>1299716</v>
      </c>
      <c r="R124" s="45"/>
      <c r="S124" s="45">
        <v>0</v>
      </c>
      <c r="T124" s="45"/>
      <c r="U124" s="45">
        <v>0</v>
      </c>
      <c r="V124" s="45"/>
      <c r="W124" s="45">
        <v>0</v>
      </c>
      <c r="X124" s="45"/>
      <c r="Y124" s="45">
        <v>0</v>
      </c>
      <c r="Z124" s="44"/>
      <c r="AA124" s="45">
        <v>0</v>
      </c>
      <c r="AB124" s="44"/>
      <c r="AC124" s="45">
        <f t="shared" si="2"/>
        <v>13232756</v>
      </c>
      <c r="AD124" s="45"/>
      <c r="AE124" s="48">
        <v>0</v>
      </c>
      <c r="AF124" s="48"/>
      <c r="AG124" s="45">
        <v>838000</v>
      </c>
      <c r="AH124" s="45"/>
      <c r="AI124" s="45">
        <v>4857063</v>
      </c>
      <c r="AJ124" s="45"/>
      <c r="AK124" s="45">
        <v>3401</v>
      </c>
      <c r="AL124" s="45"/>
      <c r="AM124" s="45">
        <f>+'Gen rev'!U124-'Gen exp'!AC124-AG124+'Gen rev'!W124+AI124+AK124-'Gen Bal'!S124-'Gen exp'!AE124</f>
        <v>0</v>
      </c>
      <c r="AN124" s="44"/>
      <c r="AO124" s="44"/>
      <c r="AP124" s="44"/>
      <c r="AQ124" s="44"/>
    </row>
    <row r="125" spans="1:45" s="46" customFormat="1" ht="12.75" customHeight="1">
      <c r="A125" s="28" t="s">
        <v>151</v>
      </c>
      <c r="B125" s="49"/>
      <c r="C125" s="28" t="s">
        <v>13</v>
      </c>
      <c r="D125" s="49"/>
      <c r="E125" s="45">
        <v>2714868</v>
      </c>
      <c r="F125" s="45"/>
      <c r="G125" s="45">
        <v>4441361</v>
      </c>
      <c r="H125" s="45"/>
      <c r="I125" s="45">
        <v>500274</v>
      </c>
      <c r="J125" s="45"/>
      <c r="K125" s="45">
        <v>199031</v>
      </c>
      <c r="L125" s="45"/>
      <c r="M125" s="45">
        <v>0</v>
      </c>
      <c r="N125" s="45"/>
      <c r="O125" s="45">
        <v>2550</v>
      </c>
      <c r="P125" s="45"/>
      <c r="Q125" s="45">
        <v>155127</v>
      </c>
      <c r="R125" s="45"/>
      <c r="S125" s="45">
        <v>0</v>
      </c>
      <c r="T125" s="45"/>
      <c r="U125" s="45">
        <v>0</v>
      </c>
      <c r="V125" s="45"/>
      <c r="W125" s="45">
        <v>0</v>
      </c>
      <c r="X125" s="45"/>
      <c r="Y125" s="45">
        <v>0</v>
      </c>
      <c r="Z125" s="44"/>
      <c r="AA125" s="45">
        <v>0</v>
      </c>
      <c r="AB125" s="44"/>
      <c r="AC125" s="45">
        <f t="shared" si="2"/>
        <v>8013211</v>
      </c>
      <c r="AD125" s="45"/>
      <c r="AE125" s="48">
        <v>0</v>
      </c>
      <c r="AF125" s="48"/>
      <c r="AG125" s="45">
        <v>1165100</v>
      </c>
      <c r="AH125" s="45"/>
      <c r="AI125" s="45">
        <v>1428012</v>
      </c>
      <c r="AJ125" s="45"/>
      <c r="AK125" s="45">
        <v>0</v>
      </c>
      <c r="AL125" s="45"/>
      <c r="AM125" s="45">
        <f>+'Gen rev'!U125-'Gen exp'!AC125-AG125+'Gen rev'!W125+AI125+AK125-'Gen Bal'!S125-'Gen exp'!AE125</f>
        <v>0</v>
      </c>
    </row>
    <row r="126" spans="1:45" s="46" customFormat="1" ht="12.75" customHeight="1">
      <c r="A126" s="28" t="s">
        <v>482</v>
      </c>
      <c r="B126" s="49"/>
      <c r="C126" s="28" t="s">
        <v>45</v>
      </c>
      <c r="D126" s="49"/>
      <c r="E126" s="45">
        <v>920116</v>
      </c>
      <c r="F126" s="45"/>
      <c r="G126" s="45">
        <v>2837552</v>
      </c>
      <c r="H126" s="45"/>
      <c r="I126" s="45">
        <v>124979</v>
      </c>
      <c r="J126" s="45"/>
      <c r="K126" s="45">
        <v>0</v>
      </c>
      <c r="L126" s="45"/>
      <c r="M126" s="45">
        <v>647372</v>
      </c>
      <c r="N126" s="45"/>
      <c r="O126" s="45">
        <v>120354</v>
      </c>
      <c r="P126" s="45"/>
      <c r="Q126" s="45">
        <v>502338</v>
      </c>
      <c r="R126" s="45"/>
      <c r="S126" s="45">
        <v>0</v>
      </c>
      <c r="T126" s="45"/>
      <c r="U126" s="45">
        <v>0</v>
      </c>
      <c r="V126" s="45"/>
      <c r="W126" s="45">
        <v>0</v>
      </c>
      <c r="X126" s="45"/>
      <c r="Y126" s="45">
        <v>0</v>
      </c>
      <c r="Z126" s="44"/>
      <c r="AA126" s="45">
        <v>0</v>
      </c>
      <c r="AB126" s="44"/>
      <c r="AC126" s="45">
        <f t="shared" si="2"/>
        <v>5152711</v>
      </c>
      <c r="AD126" s="45"/>
      <c r="AE126" s="48">
        <v>0</v>
      </c>
      <c r="AF126" s="48"/>
      <c r="AG126" s="45">
        <v>1290000</v>
      </c>
      <c r="AH126" s="45"/>
      <c r="AI126" s="45">
        <v>2557550</v>
      </c>
      <c r="AJ126" s="45"/>
      <c r="AK126" s="45">
        <v>0</v>
      </c>
      <c r="AL126" s="45"/>
      <c r="AM126" s="45">
        <f>+'Gen rev'!U126-'Gen exp'!AC126-AG126+'Gen rev'!W126+AI126+AK126-'Gen Bal'!S126-'Gen exp'!AE126</f>
        <v>0</v>
      </c>
    </row>
    <row r="127" spans="1:45" s="49" customFormat="1" ht="12.75" customHeight="1">
      <c r="A127" s="28" t="s">
        <v>152</v>
      </c>
      <c r="C127" s="28" t="s">
        <v>153</v>
      </c>
      <c r="E127" s="45">
        <v>7447875</v>
      </c>
      <c r="F127" s="45"/>
      <c r="G127" s="45">
        <v>1406792</v>
      </c>
      <c r="H127" s="45"/>
      <c r="I127" s="45">
        <v>571085</v>
      </c>
      <c r="J127" s="45"/>
      <c r="K127" s="45">
        <v>47212</v>
      </c>
      <c r="L127" s="45"/>
      <c r="M127" s="45">
        <v>0</v>
      </c>
      <c r="N127" s="45"/>
      <c r="O127" s="45">
        <v>734976</v>
      </c>
      <c r="P127" s="45"/>
      <c r="Q127" s="45">
        <v>0</v>
      </c>
      <c r="R127" s="45"/>
      <c r="S127" s="45">
        <v>0</v>
      </c>
      <c r="T127" s="45"/>
      <c r="U127" s="45">
        <v>0</v>
      </c>
      <c r="V127" s="45"/>
      <c r="W127" s="45">
        <v>0</v>
      </c>
      <c r="X127" s="45"/>
      <c r="Y127" s="45">
        <v>0</v>
      </c>
      <c r="Z127" s="44"/>
      <c r="AA127" s="45">
        <v>0</v>
      </c>
      <c r="AB127" s="44"/>
      <c r="AC127" s="45">
        <f t="shared" si="2"/>
        <v>10207940</v>
      </c>
      <c r="AD127" s="45"/>
      <c r="AE127" s="48">
        <v>0</v>
      </c>
      <c r="AF127" s="48"/>
      <c r="AG127" s="45">
        <v>1172720</v>
      </c>
      <c r="AH127" s="45"/>
      <c r="AI127" s="45">
        <v>2373998</v>
      </c>
      <c r="AJ127" s="45"/>
      <c r="AK127" s="45">
        <v>-4478</v>
      </c>
      <c r="AL127" s="45"/>
      <c r="AM127" s="45">
        <f>+'Gen rev'!U127-'Gen exp'!AC127-AG127+'Gen rev'!W127+AI127+AK127-'Gen Bal'!S127-'Gen exp'!AE127</f>
        <v>0</v>
      </c>
      <c r="AN127" s="44"/>
      <c r="AO127" s="44"/>
      <c r="AP127" s="44"/>
      <c r="AQ127" s="44"/>
    </row>
    <row r="128" spans="1:45" s="139" customFormat="1" ht="12.75" hidden="1" customHeight="1">
      <c r="A128" s="147" t="s">
        <v>154</v>
      </c>
      <c r="B128" s="146"/>
      <c r="C128" s="147" t="s">
        <v>27</v>
      </c>
      <c r="D128" s="146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  <c r="Z128" s="137"/>
      <c r="AA128" s="143"/>
      <c r="AB128" s="137"/>
      <c r="AC128" s="143">
        <f t="shared" si="2"/>
        <v>0</v>
      </c>
      <c r="AD128" s="143"/>
      <c r="AE128" s="148">
        <v>0</v>
      </c>
      <c r="AF128" s="148"/>
      <c r="AG128" s="143"/>
      <c r="AH128" s="143"/>
      <c r="AI128" s="143"/>
      <c r="AJ128" s="143"/>
      <c r="AK128" s="143"/>
      <c r="AL128" s="143"/>
      <c r="AM128" s="143">
        <f>+'Gen rev'!U128-'Gen exp'!AC128-AG128+'Gen rev'!W128+AI128+AK128-'Gen Bal'!S128-'Gen exp'!AE128</f>
        <v>0</v>
      </c>
    </row>
    <row r="129" spans="1:45" s="49" customFormat="1" ht="12.75" customHeight="1">
      <c r="A129" s="28" t="s">
        <v>155</v>
      </c>
      <c r="C129" s="28" t="s">
        <v>40</v>
      </c>
      <c r="E129" s="45">
        <f>3273534+690377</f>
        <v>3963911</v>
      </c>
      <c r="F129" s="45"/>
      <c r="G129" s="45">
        <f>2836880+1989758</f>
        <v>4826638</v>
      </c>
      <c r="H129" s="45"/>
      <c r="I129" s="45">
        <v>0</v>
      </c>
      <c r="J129" s="45"/>
      <c r="K129" s="45">
        <v>391358</v>
      </c>
      <c r="L129" s="45"/>
      <c r="M129" s="45">
        <v>0</v>
      </c>
      <c r="N129" s="45"/>
      <c r="O129" s="45">
        <v>0</v>
      </c>
      <c r="P129" s="45"/>
      <c r="Q129" s="45">
        <v>0</v>
      </c>
      <c r="R129" s="45"/>
      <c r="S129" s="45">
        <v>0</v>
      </c>
      <c r="T129" s="45"/>
      <c r="U129" s="45">
        <v>0</v>
      </c>
      <c r="V129" s="45"/>
      <c r="W129" s="45">
        <v>0</v>
      </c>
      <c r="X129" s="45"/>
      <c r="Y129" s="45">
        <v>0</v>
      </c>
      <c r="Z129" s="44"/>
      <c r="AA129" s="45">
        <v>0</v>
      </c>
      <c r="AB129" s="44"/>
      <c r="AC129" s="45">
        <f t="shared" si="2"/>
        <v>9181907</v>
      </c>
      <c r="AD129" s="45"/>
      <c r="AE129" s="48">
        <v>0</v>
      </c>
      <c r="AF129" s="48"/>
      <c r="AG129" s="45">
        <v>190881</v>
      </c>
      <c r="AH129" s="45"/>
      <c r="AI129" s="45">
        <v>1689174</v>
      </c>
      <c r="AJ129" s="45"/>
      <c r="AK129" s="45">
        <v>0</v>
      </c>
      <c r="AL129" s="45"/>
      <c r="AM129" s="45">
        <f>+'Gen rev'!U129-'Gen exp'!AC129-AG129+'Gen rev'!W129+AI129+AK129-'Gen Bal'!S129-'Gen exp'!AE129</f>
        <v>0</v>
      </c>
      <c r="AN129" s="44"/>
      <c r="AO129" s="44"/>
      <c r="AP129" s="44"/>
      <c r="AQ129" s="44"/>
    </row>
    <row r="130" spans="1:45" s="49" customFormat="1" ht="12.75" customHeight="1">
      <c r="A130" s="28" t="s">
        <v>156</v>
      </c>
      <c r="C130" s="28" t="s">
        <v>156</v>
      </c>
      <c r="E130" s="45">
        <v>3706775</v>
      </c>
      <c r="F130" s="45"/>
      <c r="G130" s="45">
        <v>12291211</v>
      </c>
      <c r="H130" s="45"/>
      <c r="I130" s="45">
        <v>365134</v>
      </c>
      <c r="J130" s="45"/>
      <c r="K130" s="45">
        <v>1168061</v>
      </c>
      <c r="L130" s="45"/>
      <c r="M130" s="45">
        <v>475712</v>
      </c>
      <c r="N130" s="45"/>
      <c r="O130" s="45">
        <v>643079</v>
      </c>
      <c r="P130" s="45"/>
      <c r="Q130" s="45">
        <v>0</v>
      </c>
      <c r="R130" s="45"/>
      <c r="S130" s="45">
        <v>0</v>
      </c>
      <c r="T130" s="45"/>
      <c r="U130" s="45">
        <v>0</v>
      </c>
      <c r="V130" s="45"/>
      <c r="W130" s="45">
        <v>0</v>
      </c>
      <c r="X130" s="45"/>
      <c r="Y130" s="45">
        <v>0</v>
      </c>
      <c r="Z130" s="44"/>
      <c r="AA130" s="45">
        <v>0</v>
      </c>
      <c r="AB130" s="44"/>
      <c r="AC130" s="45">
        <f t="shared" si="2"/>
        <v>18649972</v>
      </c>
      <c r="AD130" s="45"/>
      <c r="AE130" s="48">
        <v>0</v>
      </c>
      <c r="AF130" s="48"/>
      <c r="AG130" s="45">
        <v>1837955</v>
      </c>
      <c r="AH130" s="45"/>
      <c r="AI130" s="45">
        <v>4902529</v>
      </c>
      <c r="AJ130" s="45"/>
      <c r="AK130" s="45">
        <v>0</v>
      </c>
      <c r="AL130" s="45"/>
      <c r="AM130" s="45">
        <f>+'Gen rev'!U130-'Gen exp'!AC130-AG130+'Gen rev'!W130+AI130+AK130-'Gen Bal'!S130-'Gen exp'!AE130</f>
        <v>0</v>
      </c>
      <c r="AN130" s="45"/>
      <c r="AO130" s="45"/>
      <c r="AP130" s="45"/>
      <c r="AQ130" s="45"/>
      <c r="AR130" s="52"/>
      <c r="AS130" s="50"/>
    </row>
    <row r="131" spans="1:45" s="49" customFormat="1" ht="12.75" customHeight="1">
      <c r="A131" s="28" t="s">
        <v>157</v>
      </c>
      <c r="C131" s="28" t="s">
        <v>33</v>
      </c>
      <c r="E131" s="45">
        <v>544637</v>
      </c>
      <c r="F131" s="45"/>
      <c r="G131" s="45">
        <v>1198645</v>
      </c>
      <c r="H131" s="45"/>
      <c r="I131" s="45">
        <v>0</v>
      </c>
      <c r="J131" s="45"/>
      <c r="K131" s="45">
        <v>21802</v>
      </c>
      <c r="L131" s="45"/>
      <c r="M131" s="45">
        <v>0</v>
      </c>
      <c r="N131" s="45"/>
      <c r="O131" s="45">
        <v>0</v>
      </c>
      <c r="P131" s="45"/>
      <c r="Q131" s="45">
        <v>0</v>
      </c>
      <c r="R131" s="45"/>
      <c r="S131" s="45">
        <v>0</v>
      </c>
      <c r="T131" s="45"/>
      <c r="U131" s="45">
        <v>0</v>
      </c>
      <c r="V131" s="45"/>
      <c r="W131" s="45">
        <v>0</v>
      </c>
      <c r="X131" s="45"/>
      <c r="Y131" s="45">
        <v>0</v>
      </c>
      <c r="Z131" s="44"/>
      <c r="AA131" s="45">
        <v>0</v>
      </c>
      <c r="AB131" s="44"/>
      <c r="AC131" s="45">
        <f t="shared" si="2"/>
        <v>1765084</v>
      </c>
      <c r="AD131" s="45"/>
      <c r="AE131" s="48">
        <v>0</v>
      </c>
      <c r="AF131" s="48"/>
      <c r="AG131" s="45">
        <v>216000</v>
      </c>
      <c r="AH131" s="45"/>
      <c r="AI131" s="45">
        <v>280185</v>
      </c>
      <c r="AJ131" s="45"/>
      <c r="AK131" s="45">
        <v>0</v>
      </c>
      <c r="AL131" s="45"/>
      <c r="AM131" s="45">
        <f>+'Gen rev'!U131-'Gen exp'!AC131-AG131+'Gen rev'!W131+AI131+AK131-'Gen Bal'!S131-'Gen exp'!AE131</f>
        <v>0</v>
      </c>
      <c r="AN131" s="44"/>
      <c r="AO131" s="44"/>
      <c r="AP131" s="44"/>
      <c r="AQ131" s="44"/>
    </row>
    <row r="132" spans="1:45" s="49" customFormat="1" ht="12.75" customHeight="1">
      <c r="A132" s="64" t="s">
        <v>158</v>
      </c>
      <c r="B132" s="46"/>
      <c r="C132" s="64" t="s">
        <v>159</v>
      </c>
      <c r="D132" s="46"/>
      <c r="E132" s="45">
        <v>2111450</v>
      </c>
      <c r="F132" s="45"/>
      <c r="G132" s="45">
        <v>6017042</v>
      </c>
      <c r="H132" s="45"/>
      <c r="I132" s="45">
        <v>462613</v>
      </c>
      <c r="J132" s="45"/>
      <c r="K132" s="45">
        <v>503530</v>
      </c>
      <c r="L132" s="45"/>
      <c r="M132" s="45">
        <v>0</v>
      </c>
      <c r="N132" s="45"/>
      <c r="O132" s="45">
        <v>269571</v>
      </c>
      <c r="P132" s="45"/>
      <c r="Q132" s="45">
        <v>0</v>
      </c>
      <c r="R132" s="45"/>
      <c r="S132" s="45">
        <v>505333</v>
      </c>
      <c r="T132" s="45"/>
      <c r="U132" s="45">
        <v>0</v>
      </c>
      <c r="V132" s="45"/>
      <c r="W132" s="45">
        <v>16274</v>
      </c>
      <c r="X132" s="45"/>
      <c r="Y132" s="45">
        <v>2208</v>
      </c>
      <c r="Z132" s="44"/>
      <c r="AA132" s="45">
        <v>0</v>
      </c>
      <c r="AB132" s="44"/>
      <c r="AC132" s="45">
        <f t="shared" si="2"/>
        <v>9888021</v>
      </c>
      <c r="AD132" s="45"/>
      <c r="AE132" s="48">
        <v>0</v>
      </c>
      <c r="AF132" s="48"/>
      <c r="AG132" s="45">
        <v>2746040</v>
      </c>
      <c r="AH132" s="45"/>
      <c r="AI132" s="45">
        <v>5833675</v>
      </c>
      <c r="AJ132" s="45"/>
      <c r="AK132" s="45">
        <v>0</v>
      </c>
      <c r="AL132" s="45"/>
      <c r="AM132" s="45">
        <f>+'Gen rev'!U132-'Gen exp'!AC132-AG132+'Gen rev'!W132+AI132+AK132-'Gen Bal'!S132-'Gen exp'!AE132</f>
        <v>0</v>
      </c>
      <c r="AN132" s="45"/>
      <c r="AO132" s="45"/>
      <c r="AP132" s="45"/>
      <c r="AQ132" s="45"/>
      <c r="AR132" s="52"/>
      <c r="AS132" s="50"/>
    </row>
    <row r="133" spans="1:45" s="49" customFormat="1" ht="12.75" customHeight="1">
      <c r="A133" s="64"/>
      <c r="B133" s="46"/>
      <c r="C133" s="64"/>
      <c r="D133" s="46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4"/>
      <c r="AA133" s="45"/>
      <c r="AB133" s="44"/>
      <c r="AC133" s="45"/>
      <c r="AD133" s="45"/>
      <c r="AE133" s="48"/>
      <c r="AF133" s="48"/>
      <c r="AG133" s="48" t="s">
        <v>485</v>
      </c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52"/>
      <c r="AS133" s="50"/>
    </row>
    <row r="134" spans="1:45" s="46" customFormat="1" ht="12.75" customHeight="1">
      <c r="A134" s="64" t="s">
        <v>160</v>
      </c>
      <c r="C134" s="64" t="s">
        <v>111</v>
      </c>
      <c r="E134" s="94">
        <v>7611515</v>
      </c>
      <c r="F134" s="94"/>
      <c r="G134" s="94">
        <v>6234785</v>
      </c>
      <c r="H134" s="94"/>
      <c r="I134" s="94">
        <v>1157557</v>
      </c>
      <c r="J134" s="94"/>
      <c r="K134" s="94">
        <v>0</v>
      </c>
      <c r="L134" s="94"/>
      <c r="M134" s="94">
        <v>2535025</v>
      </c>
      <c r="N134" s="94"/>
      <c r="O134" s="94">
        <v>2391309</v>
      </c>
      <c r="P134" s="94"/>
      <c r="Q134" s="94">
        <v>252588</v>
      </c>
      <c r="R134" s="94"/>
      <c r="S134" s="94">
        <v>2152699</v>
      </c>
      <c r="T134" s="94"/>
      <c r="U134" s="94">
        <v>0</v>
      </c>
      <c r="V134" s="94"/>
      <c r="W134" s="94">
        <v>0</v>
      </c>
      <c r="X134" s="94"/>
      <c r="Y134" s="94">
        <v>580950</v>
      </c>
      <c r="AA134" s="94">
        <v>0</v>
      </c>
      <c r="AC134" s="94">
        <f t="shared" si="2"/>
        <v>22916428</v>
      </c>
      <c r="AD134" s="94"/>
      <c r="AE134" s="68">
        <v>0</v>
      </c>
      <c r="AF134" s="68"/>
      <c r="AG134" s="94">
        <v>5124110</v>
      </c>
      <c r="AH134" s="94"/>
      <c r="AI134" s="94">
        <v>18556718</v>
      </c>
      <c r="AJ134" s="94"/>
      <c r="AK134" s="94">
        <v>14649</v>
      </c>
      <c r="AL134" s="94"/>
      <c r="AM134" s="94">
        <f>+'Gen rev'!U134-'Gen exp'!AC134-AG134+'Gen rev'!W134+AI134+AK134-'Gen Bal'!S134-'Gen exp'!AE134</f>
        <v>0</v>
      </c>
      <c r="AN134" s="90"/>
      <c r="AO134" s="90"/>
      <c r="AP134" s="90"/>
      <c r="AQ134" s="90"/>
      <c r="AR134" s="90"/>
      <c r="AS134" s="64"/>
    </row>
    <row r="135" spans="1:45" s="49" customFormat="1" ht="12.75" customHeight="1">
      <c r="A135" s="28" t="s">
        <v>161</v>
      </c>
      <c r="C135" s="28" t="s">
        <v>15</v>
      </c>
      <c r="E135" s="45">
        <v>5644084</v>
      </c>
      <c r="F135" s="45"/>
      <c r="G135" s="45">
        <v>8128703</v>
      </c>
      <c r="H135" s="45"/>
      <c r="I135" s="45">
        <v>0</v>
      </c>
      <c r="J135" s="45"/>
      <c r="K135" s="45">
        <v>360002</v>
      </c>
      <c r="L135" s="45"/>
      <c r="M135" s="45">
        <v>753876</v>
      </c>
      <c r="N135" s="45"/>
      <c r="O135" s="45">
        <v>0</v>
      </c>
      <c r="P135" s="45"/>
      <c r="Q135" s="45">
        <v>0</v>
      </c>
      <c r="R135" s="45"/>
      <c r="S135" s="45">
        <v>0</v>
      </c>
      <c r="T135" s="45"/>
      <c r="U135" s="45">
        <v>0</v>
      </c>
      <c r="V135" s="45"/>
      <c r="W135" s="45">
        <v>26060</v>
      </c>
      <c r="X135" s="45"/>
      <c r="Y135" s="45">
        <v>1875</v>
      </c>
      <c r="Z135" s="44"/>
      <c r="AA135" s="45">
        <v>503876</v>
      </c>
      <c r="AB135" s="44"/>
      <c r="AC135" s="45">
        <f t="shared" si="2"/>
        <v>15418476</v>
      </c>
      <c r="AD135" s="45"/>
      <c r="AE135" s="48">
        <v>0</v>
      </c>
      <c r="AF135" s="48"/>
      <c r="AG135" s="45">
        <v>1127432</v>
      </c>
      <c r="AH135" s="45"/>
      <c r="AI135" s="45">
        <v>1970695</v>
      </c>
      <c r="AJ135" s="45"/>
      <c r="AK135" s="45">
        <v>0</v>
      </c>
      <c r="AL135" s="45"/>
      <c r="AM135" s="45">
        <f>+'Gen rev'!U135-'Gen exp'!AC135-AG135+'Gen rev'!W135+AI135+AK135-'Gen Bal'!S135-'Gen exp'!AE135</f>
        <v>0</v>
      </c>
      <c r="AN135" s="45"/>
      <c r="AO135" s="45"/>
      <c r="AP135" s="45"/>
      <c r="AQ135" s="45"/>
      <c r="AR135" s="52"/>
      <c r="AS135" s="50"/>
    </row>
    <row r="136" spans="1:45" s="49" customFormat="1" ht="12.75" customHeight="1">
      <c r="A136" s="28" t="s">
        <v>162</v>
      </c>
      <c r="C136" s="28" t="s">
        <v>163</v>
      </c>
      <c r="E136" s="45">
        <v>2962920</v>
      </c>
      <c r="F136" s="45"/>
      <c r="G136" s="45">
        <v>8886566</v>
      </c>
      <c r="H136" s="45"/>
      <c r="I136" s="45">
        <v>532447</v>
      </c>
      <c r="J136" s="45"/>
      <c r="K136" s="45">
        <v>178810</v>
      </c>
      <c r="L136" s="45"/>
      <c r="M136" s="45">
        <v>1859773</v>
      </c>
      <c r="N136" s="45"/>
      <c r="O136" s="45">
        <v>2076019</v>
      </c>
      <c r="P136" s="45"/>
      <c r="Q136" s="45">
        <v>1070339</v>
      </c>
      <c r="R136" s="45"/>
      <c r="S136" s="45">
        <v>0</v>
      </c>
      <c r="T136" s="45"/>
      <c r="U136" s="45">
        <v>0</v>
      </c>
      <c r="V136" s="45"/>
      <c r="W136" s="45">
        <v>0</v>
      </c>
      <c r="X136" s="45"/>
      <c r="Y136" s="45">
        <v>0</v>
      </c>
      <c r="Z136" s="44"/>
      <c r="AA136" s="45">
        <v>0</v>
      </c>
      <c r="AB136" s="44"/>
      <c r="AC136" s="45">
        <f t="shared" si="2"/>
        <v>17566874</v>
      </c>
      <c r="AD136" s="45"/>
      <c r="AE136" s="48">
        <v>0</v>
      </c>
      <c r="AF136" s="48"/>
      <c r="AG136" s="45">
        <v>0</v>
      </c>
      <c r="AH136" s="45"/>
      <c r="AI136" s="45">
        <v>288603</v>
      </c>
      <c r="AJ136" s="45"/>
      <c r="AK136" s="45">
        <v>5499</v>
      </c>
      <c r="AL136" s="45"/>
      <c r="AM136" s="45">
        <f>+'Gen rev'!U136-'Gen exp'!AC136-AG136+'Gen rev'!W136+AI136+AK136-'Gen Bal'!S136-'Gen exp'!AE136</f>
        <v>0</v>
      </c>
      <c r="AN136" s="44"/>
      <c r="AO136" s="44"/>
      <c r="AP136" s="44"/>
      <c r="AQ136" s="44"/>
    </row>
    <row r="137" spans="1:45" s="49" customFormat="1" ht="12.75" customHeight="1">
      <c r="A137" s="28" t="s">
        <v>164</v>
      </c>
      <c r="C137" s="28" t="s">
        <v>27</v>
      </c>
      <c r="E137" s="45">
        <v>2225068</v>
      </c>
      <c r="F137" s="45"/>
      <c r="G137" s="45">
        <v>9578784</v>
      </c>
      <c r="H137" s="45"/>
      <c r="I137" s="45">
        <v>622687</v>
      </c>
      <c r="J137" s="45"/>
      <c r="K137" s="45">
        <v>314466</v>
      </c>
      <c r="L137" s="45"/>
      <c r="M137" s="45">
        <v>1060280</v>
      </c>
      <c r="N137" s="45"/>
      <c r="O137" s="45">
        <v>1275628</v>
      </c>
      <c r="P137" s="45"/>
      <c r="Q137" s="45">
        <v>864981</v>
      </c>
      <c r="R137" s="45"/>
      <c r="S137" s="45">
        <v>0</v>
      </c>
      <c r="T137" s="45"/>
      <c r="U137" s="45">
        <v>0</v>
      </c>
      <c r="V137" s="45"/>
      <c r="W137" s="45">
        <v>0</v>
      </c>
      <c r="X137" s="45"/>
      <c r="Y137" s="45">
        <v>0</v>
      </c>
      <c r="Z137" s="44"/>
      <c r="AA137" s="45">
        <v>0</v>
      </c>
      <c r="AB137" s="44"/>
      <c r="AC137" s="45">
        <f t="shared" si="2"/>
        <v>15941894</v>
      </c>
      <c r="AD137" s="45"/>
      <c r="AE137" s="48">
        <v>0</v>
      </c>
      <c r="AF137" s="48"/>
      <c r="AG137" s="45">
        <v>3095000</v>
      </c>
      <c r="AH137" s="45"/>
      <c r="AI137" s="45">
        <v>9601289</v>
      </c>
      <c r="AJ137" s="45"/>
      <c r="AK137" s="45">
        <v>5721</v>
      </c>
      <c r="AL137" s="45"/>
      <c r="AM137" s="45">
        <f>+'Gen rev'!U137-'Gen exp'!AC137-AG137+'Gen rev'!W137+AI137+AK137-'Gen Bal'!S137-'Gen exp'!AE137</f>
        <v>0</v>
      </c>
      <c r="AN137" s="44"/>
      <c r="AO137" s="44"/>
      <c r="AP137" s="44"/>
      <c r="AQ137" s="44"/>
    </row>
    <row r="138" spans="1:45" s="49" customFormat="1" ht="12.75" customHeight="1">
      <c r="A138" s="28" t="s">
        <v>53</v>
      </c>
      <c r="C138" s="28" t="s">
        <v>53</v>
      </c>
      <c r="E138" s="45">
        <v>5130130</v>
      </c>
      <c r="F138" s="45"/>
      <c r="G138" s="45">
        <v>122323</v>
      </c>
      <c r="H138" s="45"/>
      <c r="I138" s="45">
        <v>606891</v>
      </c>
      <c r="J138" s="45"/>
      <c r="K138" s="45">
        <v>133732</v>
      </c>
      <c r="L138" s="45"/>
      <c r="M138" s="45">
        <v>0</v>
      </c>
      <c r="N138" s="45"/>
      <c r="O138" s="45">
        <v>0</v>
      </c>
      <c r="P138" s="45"/>
      <c r="Q138" s="45">
        <v>0</v>
      </c>
      <c r="R138" s="45"/>
      <c r="S138" s="45">
        <v>50461</v>
      </c>
      <c r="T138" s="45"/>
      <c r="U138" s="45">
        <v>0</v>
      </c>
      <c r="V138" s="45"/>
      <c r="W138" s="45">
        <v>0</v>
      </c>
      <c r="X138" s="45"/>
      <c r="Y138" s="45">
        <v>0</v>
      </c>
      <c r="Z138" s="44"/>
      <c r="AA138" s="45">
        <v>0</v>
      </c>
      <c r="AB138" s="44"/>
      <c r="AC138" s="45">
        <f t="shared" si="2"/>
        <v>6043537</v>
      </c>
      <c r="AD138" s="45"/>
      <c r="AE138" s="48">
        <v>0</v>
      </c>
      <c r="AF138" s="48"/>
      <c r="AG138" s="45">
        <v>35000</v>
      </c>
      <c r="AH138" s="45"/>
      <c r="AI138" s="45">
        <v>5528406</v>
      </c>
      <c r="AJ138" s="45"/>
      <c r="AK138" s="45">
        <v>0</v>
      </c>
      <c r="AL138" s="45"/>
      <c r="AM138" s="45">
        <f>+'Gen rev'!U138-'Gen exp'!AC138-AG138+'Gen rev'!W138+AI138+AK138-'Gen Bal'!S138-'Gen exp'!AE138</f>
        <v>0</v>
      </c>
      <c r="AN138" s="45"/>
      <c r="AO138" s="45"/>
      <c r="AP138" s="45"/>
      <c r="AQ138" s="45"/>
      <c r="AR138" s="52"/>
      <c r="AS138" s="50"/>
    </row>
    <row r="139" spans="1:45" s="49" customFormat="1" ht="12.75" customHeight="1">
      <c r="A139" s="28" t="s">
        <v>165</v>
      </c>
      <c r="C139" s="28" t="s">
        <v>92</v>
      </c>
      <c r="E139" s="45">
        <v>6834883</v>
      </c>
      <c r="F139" s="45"/>
      <c r="G139" s="45">
        <v>19284414</v>
      </c>
      <c r="H139" s="45"/>
      <c r="I139" s="45">
        <v>3480297</v>
      </c>
      <c r="J139" s="45"/>
      <c r="K139" s="45">
        <v>0</v>
      </c>
      <c r="L139" s="45"/>
      <c r="M139" s="45">
        <v>7223806</v>
      </c>
      <c r="N139" s="45"/>
      <c r="O139" s="45">
        <v>7929041</v>
      </c>
      <c r="P139" s="45"/>
      <c r="Q139" s="45">
        <v>0</v>
      </c>
      <c r="R139" s="45"/>
      <c r="S139" s="45">
        <v>2074269</v>
      </c>
      <c r="T139" s="45"/>
      <c r="U139" s="45">
        <v>0</v>
      </c>
      <c r="V139" s="45"/>
      <c r="W139" s="45">
        <v>21221</v>
      </c>
      <c r="X139" s="45"/>
      <c r="Y139" s="45">
        <v>0</v>
      </c>
      <c r="Z139" s="44"/>
      <c r="AA139" s="45">
        <v>0</v>
      </c>
      <c r="AB139" s="44"/>
      <c r="AC139" s="45">
        <f t="shared" si="2"/>
        <v>46847931</v>
      </c>
      <c r="AD139" s="45"/>
      <c r="AE139" s="48">
        <v>0</v>
      </c>
      <c r="AF139" s="48"/>
      <c r="AG139" s="45">
        <v>678495</v>
      </c>
      <c r="AH139" s="45"/>
      <c r="AI139" s="45">
        <v>17195519</v>
      </c>
      <c r="AJ139" s="45"/>
      <c r="AK139" s="45">
        <v>38877</v>
      </c>
      <c r="AL139" s="45"/>
      <c r="AM139" s="45">
        <f>+'Gen rev'!U139-'Gen exp'!AC139-AG139+'Gen rev'!W139+AI139+AK139-'Gen Bal'!S139-'Gen exp'!AE139</f>
        <v>0</v>
      </c>
      <c r="AN139" s="44"/>
      <c r="AO139" s="44"/>
      <c r="AP139" s="44"/>
      <c r="AQ139" s="44"/>
    </row>
    <row r="140" spans="1:45" s="49" customFormat="1" ht="12.75" customHeight="1">
      <c r="A140" s="28" t="s">
        <v>166</v>
      </c>
      <c r="C140" s="28" t="s">
        <v>92</v>
      </c>
      <c r="E140" s="45">
        <v>615481</v>
      </c>
      <c r="F140" s="45"/>
      <c r="G140" s="45">
        <v>827233</v>
      </c>
      <c r="H140" s="45"/>
      <c r="I140" s="45">
        <v>0</v>
      </c>
      <c r="J140" s="45"/>
      <c r="K140" s="45">
        <v>65429</v>
      </c>
      <c r="L140" s="45"/>
      <c r="M140" s="45">
        <v>399295</v>
      </c>
      <c r="N140" s="45"/>
      <c r="O140" s="45">
        <v>39513</v>
      </c>
      <c r="P140" s="45"/>
      <c r="Q140" s="45">
        <v>285393</v>
      </c>
      <c r="R140" s="45"/>
      <c r="S140" s="45">
        <v>129069</v>
      </c>
      <c r="T140" s="45"/>
      <c r="U140" s="45">
        <v>0</v>
      </c>
      <c r="V140" s="45"/>
      <c r="W140" s="45">
        <v>4543</v>
      </c>
      <c r="X140" s="45"/>
      <c r="Y140" s="45">
        <v>135</v>
      </c>
      <c r="Z140" s="44"/>
      <c r="AA140" s="45">
        <v>0</v>
      </c>
      <c r="AB140" s="44"/>
      <c r="AC140" s="45">
        <f t="shared" si="2"/>
        <v>2366091</v>
      </c>
      <c r="AD140" s="45"/>
      <c r="AE140" s="48">
        <v>0</v>
      </c>
      <c r="AF140" s="48"/>
      <c r="AG140" s="45">
        <v>164000</v>
      </c>
      <c r="AH140" s="45"/>
      <c r="AI140" s="45">
        <v>599155</v>
      </c>
      <c r="AJ140" s="45"/>
      <c r="AK140" s="45">
        <v>0</v>
      </c>
      <c r="AL140" s="45"/>
      <c r="AM140" s="45">
        <f>+'Gen rev'!U140-'Gen exp'!AC140-AG140+'Gen rev'!W140+AI140+AK140-'Gen Bal'!S140-'Gen exp'!AE140</f>
        <v>0</v>
      </c>
      <c r="AN140" s="44"/>
      <c r="AO140" s="44"/>
      <c r="AP140" s="44"/>
      <c r="AQ140" s="44"/>
    </row>
    <row r="141" spans="1:45" s="49" customFormat="1" ht="12.75" customHeight="1">
      <c r="A141" s="28" t="s">
        <v>167</v>
      </c>
      <c r="C141" s="28" t="s">
        <v>66</v>
      </c>
      <c r="E141" s="45">
        <v>3861260</v>
      </c>
      <c r="F141" s="45"/>
      <c r="G141" s="45">
        <v>6967447</v>
      </c>
      <c r="H141" s="45"/>
      <c r="I141" s="45">
        <v>932600</v>
      </c>
      <c r="J141" s="45"/>
      <c r="K141" s="45">
        <v>3436</v>
      </c>
      <c r="L141" s="45"/>
      <c r="M141" s="45">
        <v>211404</v>
      </c>
      <c r="N141" s="45"/>
      <c r="O141" s="45">
        <v>1719975</v>
      </c>
      <c r="P141" s="45"/>
      <c r="Q141" s="45">
        <v>952755</v>
      </c>
      <c r="R141" s="45"/>
      <c r="S141" s="45">
        <v>0</v>
      </c>
      <c r="T141" s="45"/>
      <c r="U141" s="45">
        <v>0</v>
      </c>
      <c r="V141" s="45"/>
      <c r="W141" s="45">
        <v>0</v>
      </c>
      <c r="X141" s="45"/>
      <c r="Y141" s="45">
        <v>0</v>
      </c>
      <c r="Z141" s="44"/>
      <c r="AA141" s="45">
        <v>0</v>
      </c>
      <c r="AB141" s="44"/>
      <c r="AC141" s="45">
        <f t="shared" si="2"/>
        <v>14648877</v>
      </c>
      <c r="AD141" s="45"/>
      <c r="AE141" s="48">
        <v>0</v>
      </c>
      <c r="AF141" s="48"/>
      <c r="AG141" s="45">
        <v>129403</v>
      </c>
      <c r="AH141" s="45"/>
      <c r="AI141" s="45">
        <v>5642206</v>
      </c>
      <c r="AJ141" s="45"/>
      <c r="AK141" s="45">
        <v>0</v>
      </c>
      <c r="AL141" s="45"/>
      <c r="AM141" s="45">
        <f>+'Gen rev'!U141-'Gen exp'!AC141-AG141+'Gen rev'!W141+AI141+AK141-'Gen Bal'!S141-'Gen exp'!AE141</f>
        <v>0</v>
      </c>
      <c r="AN141" s="44"/>
      <c r="AO141" s="44"/>
      <c r="AP141" s="44"/>
      <c r="AQ141" s="44"/>
    </row>
    <row r="142" spans="1:45" s="49" customFormat="1" ht="12.75" customHeight="1">
      <c r="A142" s="44" t="s">
        <v>168</v>
      </c>
      <c r="C142" s="44" t="s">
        <v>27</v>
      </c>
      <c r="E142" s="45">
        <v>6154330</v>
      </c>
      <c r="F142" s="45"/>
      <c r="G142" s="45">
        <v>7121031</v>
      </c>
      <c r="H142" s="45"/>
      <c r="I142" s="45">
        <v>788543</v>
      </c>
      <c r="J142" s="45"/>
      <c r="K142" s="45">
        <v>44946</v>
      </c>
      <c r="L142" s="45"/>
      <c r="M142" s="45">
        <v>0</v>
      </c>
      <c r="N142" s="45"/>
      <c r="O142" s="45">
        <v>0</v>
      </c>
      <c r="P142" s="45"/>
      <c r="Q142" s="45">
        <v>948598</v>
      </c>
      <c r="R142" s="45"/>
      <c r="S142" s="45">
        <v>0</v>
      </c>
      <c r="T142" s="45"/>
      <c r="U142" s="45">
        <v>0</v>
      </c>
      <c r="V142" s="45"/>
      <c r="W142" s="45">
        <v>0</v>
      </c>
      <c r="X142" s="45"/>
      <c r="Y142" s="45">
        <v>0</v>
      </c>
      <c r="Z142" s="44"/>
      <c r="AA142" s="45">
        <v>0</v>
      </c>
      <c r="AB142" s="44"/>
      <c r="AC142" s="45">
        <f>SUM(E142:AA142)</f>
        <v>15057448</v>
      </c>
      <c r="AD142" s="45"/>
      <c r="AE142" s="48">
        <v>0</v>
      </c>
      <c r="AF142" s="48"/>
      <c r="AG142" s="45">
        <v>750000</v>
      </c>
      <c r="AH142" s="45"/>
      <c r="AI142" s="45">
        <v>4379576</v>
      </c>
      <c r="AJ142" s="45"/>
      <c r="AK142" s="45">
        <v>0</v>
      </c>
      <c r="AL142" s="45"/>
      <c r="AM142" s="45">
        <f>+'Gen rev'!U142-'Gen exp'!AC142-AG142+'Gen rev'!W142+AI142+AK142-'Gen Bal'!S142-'Gen exp'!AE142</f>
        <v>0</v>
      </c>
      <c r="AN142" s="45"/>
      <c r="AO142" s="45"/>
      <c r="AP142" s="45"/>
      <c r="AQ142" s="45"/>
      <c r="AR142" s="52"/>
      <c r="AS142" s="50"/>
    </row>
    <row r="143" spans="1:45" s="49" customFormat="1" ht="12.75" customHeight="1">
      <c r="A143" s="28" t="s">
        <v>169</v>
      </c>
      <c r="C143" s="28" t="s">
        <v>103</v>
      </c>
      <c r="E143" s="45">
        <v>3740989</v>
      </c>
      <c r="F143" s="45"/>
      <c r="G143" s="45">
        <v>17720641</v>
      </c>
      <c r="H143" s="45"/>
      <c r="I143" s="45">
        <v>1163842</v>
      </c>
      <c r="J143" s="45"/>
      <c r="K143" s="45">
        <v>0</v>
      </c>
      <c r="L143" s="45"/>
      <c r="M143" s="45">
        <v>0</v>
      </c>
      <c r="N143" s="45"/>
      <c r="O143" s="45">
        <v>968327</v>
      </c>
      <c r="P143" s="45"/>
      <c r="Q143" s="45">
        <v>0</v>
      </c>
      <c r="R143" s="45"/>
      <c r="S143" s="45">
        <v>0</v>
      </c>
      <c r="T143" s="45"/>
      <c r="U143" s="45">
        <v>0</v>
      </c>
      <c r="V143" s="45"/>
      <c r="W143" s="45">
        <v>0</v>
      </c>
      <c r="X143" s="45"/>
      <c r="Y143" s="45">
        <v>0</v>
      </c>
      <c r="Z143" s="44"/>
      <c r="AA143" s="45">
        <v>1042361</v>
      </c>
      <c r="AB143" s="44"/>
      <c r="AC143" s="45">
        <f t="shared" si="2"/>
        <v>24636160</v>
      </c>
      <c r="AD143" s="45"/>
      <c r="AE143" s="48">
        <v>0</v>
      </c>
      <c r="AF143" s="48"/>
      <c r="AG143" s="45">
        <v>0</v>
      </c>
      <c r="AH143" s="45"/>
      <c r="AI143" s="45">
        <v>7020629</v>
      </c>
      <c r="AJ143" s="45"/>
      <c r="AK143" s="45">
        <v>0</v>
      </c>
      <c r="AL143" s="45"/>
      <c r="AM143" s="45">
        <f>+'Gen rev'!U143-'Gen exp'!AC143-AG143+'Gen rev'!W143+AI143+AK143-'Gen Bal'!S143-'Gen exp'!AE143</f>
        <v>0</v>
      </c>
      <c r="AN143" s="44"/>
      <c r="AO143" s="44"/>
      <c r="AP143" s="44"/>
      <c r="AQ143" s="44"/>
    </row>
    <row r="144" spans="1:45" s="49" customFormat="1" ht="12.75" customHeight="1">
      <c r="A144" s="28" t="s">
        <v>170</v>
      </c>
      <c r="C144" s="28" t="s">
        <v>171</v>
      </c>
      <c r="E144" s="45">
        <v>1151183</v>
      </c>
      <c r="F144" s="45"/>
      <c r="G144" s="45">
        <v>1898503</v>
      </c>
      <c r="H144" s="45"/>
      <c r="I144" s="45">
        <v>0</v>
      </c>
      <c r="J144" s="45"/>
      <c r="K144" s="45">
        <v>338146</v>
      </c>
      <c r="L144" s="45"/>
      <c r="M144" s="45">
        <v>0</v>
      </c>
      <c r="N144" s="45"/>
      <c r="O144" s="45">
        <v>0</v>
      </c>
      <c r="P144" s="45"/>
      <c r="Q144" s="45">
        <v>262591</v>
      </c>
      <c r="R144" s="45"/>
      <c r="S144" s="45">
        <v>0</v>
      </c>
      <c r="T144" s="45"/>
      <c r="U144" s="45">
        <v>27879</v>
      </c>
      <c r="V144" s="45"/>
      <c r="W144" s="45">
        <v>0</v>
      </c>
      <c r="X144" s="45"/>
      <c r="Y144" s="45">
        <v>0</v>
      </c>
      <c r="Z144" s="44"/>
      <c r="AA144" s="45">
        <v>0</v>
      </c>
      <c r="AB144" s="44"/>
      <c r="AC144" s="45">
        <f t="shared" si="2"/>
        <v>3678302</v>
      </c>
      <c r="AD144" s="45"/>
      <c r="AE144" s="48">
        <v>0</v>
      </c>
      <c r="AF144" s="48"/>
      <c r="AG144" s="45">
        <v>440715</v>
      </c>
      <c r="AH144" s="45"/>
      <c r="AI144" s="45">
        <v>3045807</v>
      </c>
      <c r="AJ144" s="45"/>
      <c r="AK144" s="45">
        <v>-13326</v>
      </c>
      <c r="AL144" s="45"/>
      <c r="AM144" s="45">
        <f>+'Gen rev'!U144-'Gen exp'!AC144-AG144+'Gen rev'!W144+AI144+AK144-'Gen Bal'!S144-'Gen exp'!AE144</f>
        <v>0</v>
      </c>
      <c r="AN144" s="44"/>
      <c r="AO144" s="44"/>
      <c r="AP144" s="44"/>
      <c r="AQ144" s="44"/>
    </row>
    <row r="145" spans="1:45" s="49" customFormat="1" ht="12.75" customHeight="1">
      <c r="A145" s="28" t="s">
        <v>172</v>
      </c>
      <c r="C145" s="28" t="s">
        <v>103</v>
      </c>
      <c r="E145" s="45">
        <v>1484360</v>
      </c>
      <c r="F145" s="45"/>
      <c r="G145" s="45">
        <v>247938</v>
      </c>
      <c r="H145" s="45"/>
      <c r="I145" s="45">
        <v>0</v>
      </c>
      <c r="J145" s="45"/>
      <c r="K145" s="45">
        <v>148274</v>
      </c>
      <c r="L145" s="45"/>
      <c r="M145" s="45">
        <v>116955</v>
      </c>
      <c r="N145" s="45"/>
      <c r="O145" s="45">
        <v>2005</v>
      </c>
      <c r="P145" s="45"/>
      <c r="Q145" s="45">
        <v>0</v>
      </c>
      <c r="R145" s="45"/>
      <c r="S145" s="45">
        <v>0</v>
      </c>
      <c r="T145" s="45"/>
      <c r="U145" s="45">
        <v>15351</v>
      </c>
      <c r="V145" s="45"/>
      <c r="W145" s="45">
        <v>4599</v>
      </c>
      <c r="X145" s="45"/>
      <c r="Y145" s="45">
        <v>2761</v>
      </c>
      <c r="Z145" s="44"/>
      <c r="AA145" s="45">
        <v>0</v>
      </c>
      <c r="AB145" s="44"/>
      <c r="AC145" s="45">
        <f t="shared" si="2"/>
        <v>2022243</v>
      </c>
      <c r="AD145" s="45"/>
      <c r="AE145" s="48">
        <v>0</v>
      </c>
      <c r="AF145" s="48"/>
      <c r="AG145" s="45">
        <v>3682281</v>
      </c>
      <c r="AH145" s="45"/>
      <c r="AI145" s="45">
        <v>2217106</v>
      </c>
      <c r="AJ145" s="45"/>
      <c r="AK145" s="45">
        <v>0</v>
      </c>
      <c r="AL145" s="45"/>
      <c r="AM145" s="45">
        <f>+'Gen rev'!U145-'Gen exp'!AC145-AG145+'Gen rev'!W145+AI145+AK145-'Gen Bal'!S145-'Gen exp'!AE145</f>
        <v>0</v>
      </c>
      <c r="AN145" s="44"/>
      <c r="AO145" s="44"/>
      <c r="AP145" s="44"/>
      <c r="AQ145" s="44"/>
    </row>
    <row r="146" spans="1:45" s="49" customFormat="1" ht="12.75" customHeight="1">
      <c r="A146" s="28" t="s">
        <v>66</v>
      </c>
      <c r="C146" s="28" t="s">
        <v>45</v>
      </c>
      <c r="E146" s="45">
        <v>3117526</v>
      </c>
      <c r="F146" s="45"/>
      <c r="G146" s="45">
        <v>2820149</v>
      </c>
      <c r="H146" s="45"/>
      <c r="I146" s="45">
        <v>441412</v>
      </c>
      <c r="J146" s="45"/>
      <c r="K146" s="45">
        <v>0</v>
      </c>
      <c r="L146" s="45"/>
      <c r="M146" s="45">
        <v>0</v>
      </c>
      <c r="N146" s="45"/>
      <c r="O146" s="45">
        <v>751913</v>
      </c>
      <c r="P146" s="45"/>
      <c r="Q146" s="45">
        <v>419922</v>
      </c>
      <c r="R146" s="45"/>
      <c r="S146" s="45">
        <v>1831</v>
      </c>
      <c r="T146" s="45"/>
      <c r="U146" s="45">
        <v>0</v>
      </c>
      <c r="V146" s="45"/>
      <c r="W146" s="45">
        <v>0</v>
      </c>
      <c r="X146" s="45"/>
      <c r="Y146" s="45">
        <v>0</v>
      </c>
      <c r="Z146" s="44"/>
      <c r="AA146" s="45">
        <v>0</v>
      </c>
      <c r="AB146" s="44"/>
      <c r="AC146" s="45">
        <f t="shared" si="2"/>
        <v>7552753</v>
      </c>
      <c r="AD146" s="45"/>
      <c r="AE146" s="48">
        <v>0</v>
      </c>
      <c r="AF146" s="48"/>
      <c r="AG146" s="45">
        <v>2390806</v>
      </c>
      <c r="AH146" s="45"/>
      <c r="AI146" s="45">
        <v>13021679</v>
      </c>
      <c r="AJ146" s="45"/>
      <c r="AK146" s="45">
        <v>0</v>
      </c>
      <c r="AL146" s="45"/>
      <c r="AM146" s="45">
        <f>+'Gen rev'!U146-'Gen exp'!AC146-AG146+'Gen rev'!W146+AI146+AK146-'Gen Bal'!S146-'Gen exp'!AE146</f>
        <v>0</v>
      </c>
      <c r="AN146" s="44"/>
      <c r="AO146" s="44"/>
      <c r="AP146" s="44"/>
      <c r="AQ146" s="44"/>
    </row>
    <row r="147" spans="1:45" s="49" customFormat="1" ht="12.75" customHeight="1">
      <c r="A147" s="28" t="s">
        <v>173</v>
      </c>
      <c r="C147" s="28" t="s">
        <v>66</v>
      </c>
      <c r="E147" s="45">
        <v>4856257</v>
      </c>
      <c r="F147" s="45"/>
      <c r="G147" s="45">
        <v>8469979</v>
      </c>
      <c r="H147" s="45"/>
      <c r="I147" s="45">
        <v>481758</v>
      </c>
      <c r="J147" s="45"/>
      <c r="K147" s="45">
        <v>133320</v>
      </c>
      <c r="L147" s="45"/>
      <c r="M147" s="45">
        <v>493795</v>
      </c>
      <c r="N147" s="45"/>
      <c r="O147" s="45">
        <v>126599</v>
      </c>
      <c r="P147" s="45"/>
      <c r="Q147" s="45">
        <v>339454</v>
      </c>
      <c r="R147" s="45"/>
      <c r="S147" s="45">
        <v>0</v>
      </c>
      <c r="T147" s="45"/>
      <c r="U147" s="45">
        <v>0</v>
      </c>
      <c r="V147" s="45"/>
      <c r="W147" s="45">
        <v>0</v>
      </c>
      <c r="X147" s="45"/>
      <c r="Y147" s="45">
        <v>0</v>
      </c>
      <c r="Z147" s="44"/>
      <c r="AA147" s="45">
        <v>0</v>
      </c>
      <c r="AB147" s="44"/>
      <c r="AC147" s="45">
        <f t="shared" ref="AC147:AC213" si="3">SUM(E147:AA147)</f>
        <v>14901162</v>
      </c>
      <c r="AD147" s="45"/>
      <c r="AE147" s="48">
        <v>0</v>
      </c>
      <c r="AF147" s="48"/>
      <c r="AG147" s="45">
        <v>5982358</v>
      </c>
      <c r="AH147" s="45"/>
      <c r="AI147" s="45">
        <v>17514460</v>
      </c>
      <c r="AJ147" s="45"/>
      <c r="AK147" s="45">
        <v>0</v>
      </c>
      <c r="AL147" s="45"/>
      <c r="AM147" s="45">
        <f>+'Gen rev'!U147-'Gen exp'!AC147-AG147+'Gen rev'!W147+AI147+AK147-'Gen Bal'!S147-'Gen exp'!AE147</f>
        <v>0</v>
      </c>
      <c r="AN147" s="44"/>
      <c r="AO147" s="44"/>
      <c r="AP147" s="44"/>
      <c r="AQ147" s="44"/>
    </row>
    <row r="148" spans="1:45" s="49" customFormat="1" ht="12.75" customHeight="1">
      <c r="A148" s="28" t="s">
        <v>174</v>
      </c>
      <c r="C148" s="28" t="s">
        <v>45</v>
      </c>
      <c r="E148" s="45">
        <v>589040</v>
      </c>
      <c r="F148" s="45"/>
      <c r="G148" s="45">
        <v>1261749</v>
      </c>
      <c r="H148" s="45"/>
      <c r="I148" s="45">
        <v>99046</v>
      </c>
      <c r="J148" s="45"/>
      <c r="K148" s="45">
        <v>0</v>
      </c>
      <c r="L148" s="45"/>
      <c r="M148" s="45">
        <v>0</v>
      </c>
      <c r="N148" s="45"/>
      <c r="O148" s="45">
        <v>140927</v>
      </c>
      <c r="P148" s="45"/>
      <c r="Q148" s="45">
        <v>426733</v>
      </c>
      <c r="R148" s="45"/>
      <c r="S148" s="45">
        <v>79337</v>
      </c>
      <c r="T148" s="45"/>
      <c r="U148" s="45">
        <v>0</v>
      </c>
      <c r="V148" s="45"/>
      <c r="W148" s="45">
        <v>930</v>
      </c>
      <c r="X148" s="45"/>
      <c r="Y148" s="45">
        <v>2076</v>
      </c>
      <c r="Z148" s="44"/>
      <c r="AA148" s="45">
        <v>0</v>
      </c>
      <c r="AB148" s="44"/>
      <c r="AC148" s="45">
        <f t="shared" si="3"/>
        <v>2599838</v>
      </c>
      <c r="AD148" s="45"/>
      <c r="AE148" s="48">
        <v>0</v>
      </c>
      <c r="AF148" s="48"/>
      <c r="AG148" s="45">
        <v>385406</v>
      </c>
      <c r="AH148" s="45"/>
      <c r="AI148" s="45">
        <v>409926</v>
      </c>
      <c r="AJ148" s="45"/>
      <c r="AK148" s="45">
        <v>0</v>
      </c>
      <c r="AL148" s="45"/>
      <c r="AM148" s="45">
        <f>+'Gen rev'!U148-'Gen exp'!AC148-AG148+'Gen rev'!W148+AI148+AK148-'Gen Bal'!S148-'Gen exp'!AE148</f>
        <v>0</v>
      </c>
      <c r="AN148" s="44"/>
      <c r="AO148" s="44"/>
      <c r="AP148" s="44"/>
      <c r="AQ148" s="44"/>
    </row>
    <row r="149" spans="1:45" s="49" customFormat="1" ht="12.75" customHeight="1">
      <c r="A149" s="28" t="s">
        <v>175</v>
      </c>
      <c r="C149" s="28" t="s">
        <v>176</v>
      </c>
      <c r="E149" s="45">
        <v>4476095</v>
      </c>
      <c r="F149" s="45"/>
      <c r="G149" s="45">
        <v>4587920</v>
      </c>
      <c r="H149" s="45"/>
      <c r="I149" s="45">
        <v>21376</v>
      </c>
      <c r="J149" s="45"/>
      <c r="K149" s="45">
        <v>363838</v>
      </c>
      <c r="L149" s="45"/>
      <c r="M149" s="45">
        <v>43723</v>
      </c>
      <c r="N149" s="45"/>
      <c r="O149" s="45">
        <v>607905</v>
      </c>
      <c r="P149" s="45"/>
      <c r="Q149" s="45">
        <v>0</v>
      </c>
      <c r="R149" s="45"/>
      <c r="S149" s="45">
        <v>0</v>
      </c>
      <c r="T149" s="45"/>
      <c r="U149" s="45">
        <v>0</v>
      </c>
      <c r="V149" s="45"/>
      <c r="W149" s="45">
        <v>27875</v>
      </c>
      <c r="X149" s="45"/>
      <c r="Y149" s="45">
        <v>0</v>
      </c>
      <c r="Z149" s="44"/>
      <c r="AA149" s="45">
        <v>0</v>
      </c>
      <c r="AB149" s="44"/>
      <c r="AC149" s="45">
        <f t="shared" si="3"/>
        <v>10128732</v>
      </c>
      <c r="AD149" s="45"/>
      <c r="AE149" s="48">
        <v>0</v>
      </c>
      <c r="AF149" s="48"/>
      <c r="AG149" s="45">
        <v>1407996</v>
      </c>
      <c r="AH149" s="45"/>
      <c r="AI149" s="45">
        <v>3639558</v>
      </c>
      <c r="AJ149" s="45"/>
      <c r="AK149" s="45">
        <v>162</v>
      </c>
      <c r="AL149" s="45"/>
      <c r="AM149" s="45">
        <f>+'Gen rev'!U149-'Gen exp'!AC149-AG149+'Gen rev'!W149+AI149+AK149-'Gen Bal'!S149-'Gen exp'!AE149</f>
        <v>0</v>
      </c>
      <c r="AN149" s="44"/>
      <c r="AO149" s="44"/>
      <c r="AP149" s="44"/>
      <c r="AQ149" s="44"/>
    </row>
    <row r="150" spans="1:45" s="49" customFormat="1" ht="12.75" customHeight="1">
      <c r="A150" s="28" t="s">
        <v>177</v>
      </c>
      <c r="C150" s="28" t="s">
        <v>13</v>
      </c>
      <c r="E150" s="45">
        <v>648545</v>
      </c>
      <c r="F150" s="45"/>
      <c r="G150" s="45">
        <v>987878</v>
      </c>
      <c r="H150" s="45"/>
      <c r="I150" s="45">
        <v>0</v>
      </c>
      <c r="J150" s="45"/>
      <c r="K150" s="45">
        <v>39042</v>
      </c>
      <c r="L150" s="45"/>
      <c r="M150" s="45">
        <v>106847</v>
      </c>
      <c r="N150" s="45"/>
      <c r="O150" s="45">
        <v>25446</v>
      </c>
      <c r="P150" s="45"/>
      <c r="Q150" s="45">
        <v>0</v>
      </c>
      <c r="R150" s="45"/>
      <c r="S150" s="45">
        <v>0</v>
      </c>
      <c r="T150" s="45"/>
      <c r="U150" s="45">
        <v>0</v>
      </c>
      <c r="V150" s="45"/>
      <c r="W150" s="45">
        <v>0</v>
      </c>
      <c r="X150" s="45"/>
      <c r="Y150" s="45">
        <v>0</v>
      </c>
      <c r="Z150" s="44"/>
      <c r="AA150" s="45">
        <v>0</v>
      </c>
      <c r="AB150" s="44"/>
      <c r="AC150" s="45">
        <f t="shared" si="3"/>
        <v>1807758</v>
      </c>
      <c r="AD150" s="45"/>
      <c r="AE150" s="48">
        <v>0</v>
      </c>
      <c r="AF150" s="48"/>
      <c r="AG150" s="45">
        <v>0</v>
      </c>
      <c r="AH150" s="45"/>
      <c r="AI150" s="45">
        <v>1308299</v>
      </c>
      <c r="AJ150" s="45"/>
      <c r="AK150" s="45">
        <v>0</v>
      </c>
      <c r="AL150" s="45"/>
      <c r="AM150" s="45">
        <f>+'Gen rev'!U150-'Gen exp'!AC150-AG150+'Gen rev'!W150+AI150+AK150-'Gen Bal'!S150-'Gen exp'!AE150</f>
        <v>0</v>
      </c>
      <c r="AN150" s="44"/>
      <c r="AO150" s="44"/>
      <c r="AP150" s="44"/>
      <c r="AQ150" s="44"/>
      <c r="AR150" s="52"/>
      <c r="AS150" s="50"/>
    </row>
    <row r="151" spans="1:45" s="49" customFormat="1" ht="12.75" customHeight="1">
      <c r="A151" s="28" t="s">
        <v>178</v>
      </c>
      <c r="C151" s="28" t="s">
        <v>179</v>
      </c>
      <c r="E151" s="45">
        <v>954580</v>
      </c>
      <c r="F151" s="45"/>
      <c r="G151" s="45">
        <v>2364337</v>
      </c>
      <c r="H151" s="45"/>
      <c r="I151" s="45">
        <v>100738</v>
      </c>
      <c r="J151" s="45"/>
      <c r="K151" s="45">
        <v>102920</v>
      </c>
      <c r="L151" s="45"/>
      <c r="M151" s="45">
        <v>0</v>
      </c>
      <c r="N151" s="45"/>
      <c r="O151" s="45">
        <v>0</v>
      </c>
      <c r="P151" s="45"/>
      <c r="Q151" s="45">
        <v>0</v>
      </c>
      <c r="R151" s="45"/>
      <c r="S151" s="45">
        <v>0</v>
      </c>
      <c r="T151" s="45"/>
      <c r="U151" s="45">
        <v>0</v>
      </c>
      <c r="V151" s="45"/>
      <c r="W151" s="45">
        <v>0</v>
      </c>
      <c r="X151" s="45"/>
      <c r="Y151" s="45">
        <v>0</v>
      </c>
      <c r="Z151" s="44"/>
      <c r="AA151" s="45">
        <v>0</v>
      </c>
      <c r="AB151" s="44"/>
      <c r="AC151" s="45">
        <f t="shared" si="3"/>
        <v>3522575</v>
      </c>
      <c r="AD151" s="45"/>
      <c r="AE151" s="48">
        <v>0</v>
      </c>
      <c r="AF151" s="48"/>
      <c r="AG151" s="45">
        <v>1632275</v>
      </c>
      <c r="AH151" s="45"/>
      <c r="AI151" s="45">
        <v>2113898</v>
      </c>
      <c r="AJ151" s="45"/>
      <c r="AK151" s="45">
        <v>563</v>
      </c>
      <c r="AL151" s="45"/>
      <c r="AM151" s="45">
        <f>+'Gen rev'!U151-'Gen exp'!AC151-AG151+'Gen rev'!W151+AI151+AK151-'Gen Bal'!S151-'Gen exp'!AE151</f>
        <v>0</v>
      </c>
      <c r="AN151" s="45"/>
      <c r="AO151" s="45"/>
      <c r="AP151" s="45"/>
      <c r="AQ151" s="45"/>
      <c r="AR151" s="52"/>
      <c r="AS151" s="50"/>
    </row>
    <row r="152" spans="1:45" s="146" customFormat="1" ht="12.75" hidden="1" customHeight="1">
      <c r="A152" s="147" t="s">
        <v>180</v>
      </c>
      <c r="C152" s="147" t="s">
        <v>20</v>
      </c>
      <c r="E152" s="143">
        <v>0</v>
      </c>
      <c r="F152" s="143"/>
      <c r="G152" s="143">
        <v>0</v>
      </c>
      <c r="H152" s="143"/>
      <c r="I152" s="143">
        <v>0</v>
      </c>
      <c r="J152" s="143"/>
      <c r="K152" s="143">
        <v>0</v>
      </c>
      <c r="L152" s="143"/>
      <c r="M152" s="143">
        <v>0</v>
      </c>
      <c r="N152" s="143"/>
      <c r="O152" s="143">
        <v>0</v>
      </c>
      <c r="P152" s="143"/>
      <c r="Q152" s="143">
        <v>0</v>
      </c>
      <c r="R152" s="143"/>
      <c r="S152" s="143">
        <v>0</v>
      </c>
      <c r="T152" s="143"/>
      <c r="U152" s="143">
        <v>0</v>
      </c>
      <c r="V152" s="143"/>
      <c r="W152" s="143">
        <v>0</v>
      </c>
      <c r="X152" s="143"/>
      <c r="Y152" s="143">
        <v>0</v>
      </c>
      <c r="Z152" s="137"/>
      <c r="AA152" s="143">
        <v>0</v>
      </c>
      <c r="AB152" s="137"/>
      <c r="AC152" s="143">
        <f t="shared" si="3"/>
        <v>0</v>
      </c>
      <c r="AD152" s="143"/>
      <c r="AE152" s="148">
        <v>0</v>
      </c>
      <c r="AF152" s="148"/>
      <c r="AG152" s="143">
        <v>0</v>
      </c>
      <c r="AH152" s="143"/>
      <c r="AI152" s="143">
        <v>0</v>
      </c>
      <c r="AJ152" s="143"/>
      <c r="AK152" s="143">
        <v>0</v>
      </c>
      <c r="AL152" s="143"/>
      <c r="AM152" s="143">
        <f>+'Gen rev'!U152-'Gen exp'!AC152-AG152+'Gen rev'!W152+AI152+AK152-'Gen Bal'!S152-'Gen exp'!AE152</f>
        <v>0</v>
      </c>
      <c r="AN152" s="137"/>
      <c r="AO152" s="137"/>
      <c r="AP152" s="137"/>
      <c r="AQ152" s="137"/>
    </row>
    <row r="153" spans="1:45" s="49" customFormat="1" ht="12.75" customHeight="1">
      <c r="A153" s="28" t="s">
        <v>182</v>
      </c>
      <c r="C153" s="28" t="s">
        <v>183</v>
      </c>
      <c r="E153" s="45">
        <v>691144</v>
      </c>
      <c r="F153" s="45"/>
      <c r="G153" s="45">
        <v>363173</v>
      </c>
      <c r="H153" s="45"/>
      <c r="I153" s="45">
        <v>12488</v>
      </c>
      <c r="J153" s="45"/>
      <c r="K153" s="45">
        <v>0</v>
      </c>
      <c r="L153" s="45"/>
      <c r="M153" s="45">
        <v>0</v>
      </c>
      <c r="N153" s="45"/>
      <c r="O153" s="45">
        <v>23088</v>
      </c>
      <c r="P153" s="45"/>
      <c r="Q153" s="45">
        <v>0</v>
      </c>
      <c r="R153" s="45"/>
      <c r="S153" s="45">
        <v>95680</v>
      </c>
      <c r="T153" s="45"/>
      <c r="U153" s="45">
        <v>0</v>
      </c>
      <c r="V153" s="45"/>
      <c r="W153" s="45">
        <v>0</v>
      </c>
      <c r="X153" s="45"/>
      <c r="Y153" s="45">
        <v>36000</v>
      </c>
      <c r="Z153" s="44"/>
      <c r="AA153" s="45">
        <v>0</v>
      </c>
      <c r="AB153" s="44"/>
      <c r="AC153" s="45">
        <f t="shared" si="3"/>
        <v>1221573</v>
      </c>
      <c r="AD153" s="45"/>
      <c r="AE153" s="48">
        <v>0</v>
      </c>
      <c r="AF153" s="48"/>
      <c r="AG153" s="45">
        <v>148275</v>
      </c>
      <c r="AH153" s="45"/>
      <c r="AI153" s="45">
        <v>-122977</v>
      </c>
      <c r="AJ153" s="45"/>
      <c r="AK153" s="45">
        <v>0</v>
      </c>
      <c r="AL153" s="45"/>
      <c r="AM153" s="45">
        <f>+'Gen rev'!U153-'Gen exp'!AC153-AG153+'Gen rev'!W153+AI153+AK153-'Gen Bal'!S153-'Gen exp'!AE153</f>
        <v>0</v>
      </c>
      <c r="AN153" s="44"/>
      <c r="AO153" s="44"/>
      <c r="AP153" s="44"/>
      <c r="AQ153" s="44"/>
    </row>
    <row r="154" spans="1:45" s="49" customFormat="1" ht="12.75" customHeight="1">
      <c r="A154" s="28" t="s">
        <v>491</v>
      </c>
      <c r="C154" s="28" t="s">
        <v>13</v>
      </c>
      <c r="E154" s="45">
        <v>902692</v>
      </c>
      <c r="F154" s="45"/>
      <c r="G154" s="45">
        <v>727866</v>
      </c>
      <c r="H154" s="45"/>
      <c r="I154" s="45">
        <v>113419</v>
      </c>
      <c r="J154" s="45"/>
      <c r="K154" s="45">
        <v>108280</v>
      </c>
      <c r="L154" s="45"/>
      <c r="M154" s="45">
        <v>0</v>
      </c>
      <c r="N154" s="45"/>
      <c r="O154" s="45">
        <v>8170</v>
      </c>
      <c r="P154" s="45"/>
      <c r="Q154" s="45">
        <v>0</v>
      </c>
      <c r="R154" s="45"/>
      <c r="S154" s="45">
        <v>26400</v>
      </c>
      <c r="T154" s="45"/>
      <c r="U154" s="45">
        <v>0</v>
      </c>
      <c r="V154" s="45"/>
      <c r="W154" s="45">
        <v>0</v>
      </c>
      <c r="X154" s="45"/>
      <c r="Y154" s="45">
        <v>0</v>
      </c>
      <c r="Z154" s="44"/>
      <c r="AA154" s="45">
        <v>0</v>
      </c>
      <c r="AB154" s="44"/>
      <c r="AC154" s="45">
        <f>SUM(E154:AA154)</f>
        <v>1886827</v>
      </c>
      <c r="AD154" s="45"/>
      <c r="AE154" s="48">
        <v>0</v>
      </c>
      <c r="AF154" s="48"/>
      <c r="AG154" s="45">
        <v>60609</v>
      </c>
      <c r="AH154" s="45"/>
      <c r="AI154" s="45">
        <v>1124370</v>
      </c>
      <c r="AJ154" s="45"/>
      <c r="AK154" s="45">
        <v>0</v>
      </c>
      <c r="AL154" s="45"/>
      <c r="AM154" s="45">
        <f>+'Gen rev'!U154-'Gen exp'!AC154-AG154+'Gen rev'!W154+AI154+AK154-'Gen Bal'!S154-'Gen exp'!AE154</f>
        <v>0</v>
      </c>
      <c r="AN154" s="45"/>
      <c r="AO154" s="45"/>
      <c r="AP154" s="45"/>
      <c r="AQ154" s="45"/>
      <c r="AR154" s="52"/>
      <c r="AS154" s="50"/>
    </row>
    <row r="155" spans="1:45" s="49" customFormat="1" ht="12.75" customHeight="1">
      <c r="A155" s="28" t="s">
        <v>184</v>
      </c>
      <c r="C155" s="28" t="s">
        <v>89</v>
      </c>
      <c r="E155" s="45">
        <v>2182290</v>
      </c>
      <c r="F155" s="45"/>
      <c r="G155" s="45">
        <v>1201321</v>
      </c>
      <c r="H155" s="45"/>
      <c r="I155" s="45">
        <v>0</v>
      </c>
      <c r="J155" s="45"/>
      <c r="K155" s="45">
        <v>247382</v>
      </c>
      <c r="L155" s="45"/>
      <c r="M155" s="45">
        <v>27189</v>
      </c>
      <c r="N155" s="45"/>
      <c r="O155" s="45">
        <v>627997</v>
      </c>
      <c r="P155" s="45"/>
      <c r="Q155" s="45">
        <v>0</v>
      </c>
      <c r="R155" s="45"/>
      <c r="S155" s="45">
        <v>167425</v>
      </c>
      <c r="T155" s="45"/>
      <c r="U155" s="45">
        <v>0</v>
      </c>
      <c r="V155" s="45"/>
      <c r="W155" s="45">
        <v>3047</v>
      </c>
      <c r="X155" s="45"/>
      <c r="Y155" s="45">
        <v>122</v>
      </c>
      <c r="Z155" s="44"/>
      <c r="AA155" s="45">
        <v>0</v>
      </c>
      <c r="AB155" s="44"/>
      <c r="AC155" s="45">
        <f t="shared" si="3"/>
        <v>4456773</v>
      </c>
      <c r="AD155" s="45"/>
      <c r="AE155" s="48">
        <v>0</v>
      </c>
      <c r="AF155" s="48"/>
      <c r="AG155" s="45">
        <v>52188</v>
      </c>
      <c r="AH155" s="45"/>
      <c r="AI155" s="45">
        <v>1849397</v>
      </c>
      <c r="AJ155" s="45"/>
      <c r="AK155" s="45">
        <v>0</v>
      </c>
      <c r="AL155" s="45"/>
      <c r="AM155" s="45">
        <f>+'Gen rev'!U155-'Gen exp'!AC155-AG155+'Gen rev'!W155+AI155+AK155-'Gen Bal'!S155-'Gen exp'!AE155</f>
        <v>0</v>
      </c>
      <c r="AN155" s="45"/>
      <c r="AO155" s="45"/>
      <c r="AP155" s="45"/>
      <c r="AQ155" s="45"/>
      <c r="AR155" s="52"/>
      <c r="AS155" s="50"/>
    </row>
    <row r="156" spans="1:45" s="49" customFormat="1" ht="12.75" customHeight="1">
      <c r="A156" s="28" t="s">
        <v>181</v>
      </c>
      <c r="C156" s="28" t="s">
        <v>125</v>
      </c>
      <c r="E156" s="45">
        <v>7546337</v>
      </c>
      <c r="F156" s="45"/>
      <c r="G156" s="45">
        <v>17808390</v>
      </c>
      <c r="H156" s="45"/>
      <c r="I156" s="45">
        <v>1460367</v>
      </c>
      <c r="J156" s="45"/>
      <c r="K156" s="45">
        <v>2156454</v>
      </c>
      <c r="L156" s="45"/>
      <c r="M156" s="45">
        <v>0</v>
      </c>
      <c r="N156" s="45"/>
      <c r="O156" s="45">
        <v>0</v>
      </c>
      <c r="P156" s="45"/>
      <c r="Q156" s="45">
        <v>0</v>
      </c>
      <c r="R156" s="45"/>
      <c r="S156" s="45">
        <v>0</v>
      </c>
      <c r="T156" s="45"/>
      <c r="U156" s="45">
        <v>0</v>
      </c>
      <c r="V156" s="45"/>
      <c r="W156" s="45">
        <v>0</v>
      </c>
      <c r="X156" s="45"/>
      <c r="Y156" s="45">
        <v>0</v>
      </c>
      <c r="Z156" s="44"/>
      <c r="AA156" s="45">
        <v>0</v>
      </c>
      <c r="AB156" s="44"/>
      <c r="AC156" s="45">
        <f t="shared" si="3"/>
        <v>28971548</v>
      </c>
      <c r="AD156" s="45"/>
      <c r="AE156" s="48">
        <v>0</v>
      </c>
      <c r="AF156" s="48"/>
      <c r="AG156" s="45">
        <v>0</v>
      </c>
      <c r="AH156" s="45"/>
      <c r="AI156" s="45">
        <v>1854668</v>
      </c>
      <c r="AJ156" s="45"/>
      <c r="AK156" s="45">
        <v>63278</v>
      </c>
      <c r="AL156" s="45"/>
      <c r="AM156" s="45">
        <f>+'Gen rev'!U156-'Gen exp'!AC156-AG156+'Gen rev'!W156+AI156+AK156-'Gen Bal'!S156-'Gen exp'!AE156</f>
        <v>0</v>
      </c>
      <c r="AN156" s="45"/>
      <c r="AO156" s="45"/>
      <c r="AP156" s="45"/>
      <c r="AQ156" s="45"/>
      <c r="AR156" s="52"/>
      <c r="AS156" s="50"/>
    </row>
    <row r="157" spans="1:45" s="49" customFormat="1" ht="12.75" customHeight="1">
      <c r="A157" s="28" t="s">
        <v>185</v>
      </c>
      <c r="C157" s="28" t="s">
        <v>80</v>
      </c>
      <c r="E157" s="45">
        <v>1683420</v>
      </c>
      <c r="F157" s="45"/>
      <c r="G157" s="45">
        <v>321097</v>
      </c>
      <c r="H157" s="45"/>
      <c r="I157" s="45">
        <v>242786</v>
      </c>
      <c r="J157" s="45"/>
      <c r="K157" s="45">
        <v>272764</v>
      </c>
      <c r="L157" s="45"/>
      <c r="M157" s="45">
        <v>453757</v>
      </c>
      <c r="N157" s="45"/>
      <c r="O157" s="45">
        <v>19270</v>
      </c>
      <c r="P157" s="45"/>
      <c r="Q157" s="45">
        <v>152198</v>
      </c>
      <c r="R157" s="45"/>
      <c r="S157" s="45">
        <v>0</v>
      </c>
      <c r="T157" s="45"/>
      <c r="U157" s="45">
        <v>0</v>
      </c>
      <c r="V157" s="45"/>
      <c r="W157" s="45">
        <v>0</v>
      </c>
      <c r="X157" s="45"/>
      <c r="Y157" s="45">
        <v>0</v>
      </c>
      <c r="Z157" s="44"/>
      <c r="AA157" s="45">
        <v>0</v>
      </c>
      <c r="AB157" s="44"/>
      <c r="AC157" s="45">
        <f t="shared" si="3"/>
        <v>3145292</v>
      </c>
      <c r="AD157" s="45"/>
      <c r="AE157" s="48">
        <v>0</v>
      </c>
      <c r="AF157" s="48"/>
      <c r="AG157" s="45">
        <v>6303878</v>
      </c>
      <c r="AH157" s="45"/>
      <c r="AI157" s="45">
        <v>15228791</v>
      </c>
      <c r="AJ157" s="45"/>
      <c r="AK157" s="45">
        <v>0</v>
      </c>
      <c r="AL157" s="45"/>
      <c r="AM157" s="45">
        <f>+'Gen rev'!U157-'Gen exp'!AC157-AG157+'Gen rev'!W157+AI157+AK157-'Gen Bal'!S157-'Gen exp'!AE157</f>
        <v>0</v>
      </c>
      <c r="AN157" s="44"/>
      <c r="AO157" s="44"/>
      <c r="AP157" s="44"/>
      <c r="AQ157" s="44"/>
      <c r="AR157" s="52"/>
      <c r="AS157" s="50"/>
    </row>
    <row r="158" spans="1:45" s="49" customFormat="1" ht="12.75" customHeight="1">
      <c r="A158" s="28" t="s">
        <v>186</v>
      </c>
      <c r="C158" s="28" t="s">
        <v>15</v>
      </c>
      <c r="E158" s="45">
        <v>1654632</v>
      </c>
      <c r="F158" s="45"/>
      <c r="G158" s="45">
        <v>2930700</v>
      </c>
      <c r="H158" s="45"/>
      <c r="I158" s="45">
        <v>462740</v>
      </c>
      <c r="J158" s="45"/>
      <c r="K158" s="45">
        <v>85440</v>
      </c>
      <c r="L158" s="45"/>
      <c r="M158" s="45">
        <v>0</v>
      </c>
      <c r="N158" s="45"/>
      <c r="O158" s="45">
        <v>1020238</v>
      </c>
      <c r="P158" s="45"/>
      <c r="Q158" s="45">
        <v>0</v>
      </c>
      <c r="R158" s="45"/>
      <c r="S158" s="45">
        <v>0</v>
      </c>
      <c r="T158" s="45"/>
      <c r="U158" s="45">
        <v>0</v>
      </c>
      <c r="V158" s="45"/>
      <c r="W158" s="45">
        <v>300000</v>
      </c>
      <c r="X158" s="45"/>
      <c r="Y158" s="45">
        <v>92102</v>
      </c>
      <c r="Z158" s="44"/>
      <c r="AA158" s="45">
        <v>0</v>
      </c>
      <c r="AB158" s="44"/>
      <c r="AC158" s="45">
        <f t="shared" si="3"/>
        <v>6545852</v>
      </c>
      <c r="AD158" s="45"/>
      <c r="AE158" s="48">
        <v>0</v>
      </c>
      <c r="AF158" s="48"/>
      <c r="AG158" s="45">
        <v>2929659</v>
      </c>
      <c r="AH158" s="45"/>
      <c r="AI158" s="45">
        <v>5139241</v>
      </c>
      <c r="AJ158" s="45"/>
      <c r="AK158" s="45">
        <v>0</v>
      </c>
      <c r="AL158" s="45"/>
      <c r="AM158" s="45">
        <f>+'Gen rev'!U158-'Gen exp'!AC158-AG158+'Gen rev'!W158+AI158+AK158-'Gen Bal'!S158-'Gen exp'!AE158</f>
        <v>0</v>
      </c>
      <c r="AN158" s="45"/>
      <c r="AO158" s="45"/>
      <c r="AP158" s="45"/>
      <c r="AQ158" s="45"/>
      <c r="AR158" s="52"/>
      <c r="AS158" s="50"/>
    </row>
    <row r="159" spans="1:45" s="44" customFormat="1" ht="12.75" customHeight="1">
      <c r="A159" s="35" t="s">
        <v>187</v>
      </c>
      <c r="C159" s="35" t="s">
        <v>27</v>
      </c>
      <c r="E159" s="45">
        <v>3909759</v>
      </c>
      <c r="F159" s="45"/>
      <c r="G159" s="45">
        <v>12974631</v>
      </c>
      <c r="H159" s="45"/>
      <c r="I159" s="45">
        <v>298452</v>
      </c>
      <c r="J159" s="45"/>
      <c r="K159" s="45">
        <v>502421</v>
      </c>
      <c r="L159" s="45"/>
      <c r="M159" s="45">
        <v>2628477</v>
      </c>
      <c r="N159" s="45"/>
      <c r="O159" s="45">
        <v>0</v>
      </c>
      <c r="P159" s="45"/>
      <c r="Q159" s="45">
        <v>0</v>
      </c>
      <c r="R159" s="45"/>
      <c r="S159" s="45">
        <v>0</v>
      </c>
      <c r="T159" s="45"/>
      <c r="U159" s="45">
        <v>0</v>
      </c>
      <c r="V159" s="45"/>
      <c r="W159" s="45">
        <v>19382</v>
      </c>
      <c r="X159" s="45"/>
      <c r="Y159" s="45">
        <v>7023</v>
      </c>
      <c r="AA159" s="45">
        <v>0</v>
      </c>
      <c r="AC159" s="45">
        <f t="shared" si="3"/>
        <v>20340145</v>
      </c>
      <c r="AD159" s="45"/>
      <c r="AE159" s="48">
        <v>0</v>
      </c>
      <c r="AF159" s="48"/>
      <c r="AG159" s="45">
        <v>73906</v>
      </c>
      <c r="AH159" s="45"/>
      <c r="AI159" s="45">
        <v>3618567</v>
      </c>
      <c r="AJ159" s="45"/>
      <c r="AK159" s="45">
        <v>0</v>
      </c>
      <c r="AL159" s="45"/>
      <c r="AM159" s="45">
        <f>+'Gen rev'!U159-'Gen exp'!AC159-AG159+'Gen rev'!W159+AI159+AK159-'Gen Bal'!S159-'Gen exp'!AE159</f>
        <v>0</v>
      </c>
      <c r="AN159" s="45"/>
      <c r="AO159" s="45"/>
      <c r="AP159" s="45"/>
      <c r="AQ159" s="45"/>
      <c r="AR159" s="55"/>
      <c r="AS159" s="35"/>
    </row>
    <row r="160" spans="1:45" s="49" customFormat="1" ht="12.75" customHeight="1">
      <c r="A160" s="28" t="s">
        <v>189</v>
      </c>
      <c r="C160" s="28" t="s">
        <v>17</v>
      </c>
      <c r="E160" s="45">
        <v>3045576</v>
      </c>
      <c r="F160" s="45"/>
      <c r="G160" s="45">
        <v>5318257</v>
      </c>
      <c r="H160" s="45"/>
      <c r="I160" s="45">
        <v>1435050</v>
      </c>
      <c r="J160" s="45"/>
      <c r="K160" s="45">
        <v>319792</v>
      </c>
      <c r="L160" s="45"/>
      <c r="M160" s="45">
        <v>0</v>
      </c>
      <c r="N160" s="45"/>
      <c r="O160" s="45">
        <v>213297</v>
      </c>
      <c r="P160" s="45"/>
      <c r="Q160" s="45">
        <v>0</v>
      </c>
      <c r="R160" s="45"/>
      <c r="S160" s="45">
        <v>0</v>
      </c>
      <c r="T160" s="45"/>
      <c r="U160" s="45">
        <v>0</v>
      </c>
      <c r="V160" s="45"/>
      <c r="W160" s="45">
        <v>0</v>
      </c>
      <c r="X160" s="45"/>
      <c r="Y160" s="45">
        <v>0</v>
      </c>
      <c r="Z160" s="44"/>
      <c r="AA160" s="45">
        <v>0</v>
      </c>
      <c r="AB160" s="44"/>
      <c r="AC160" s="45">
        <f t="shared" si="3"/>
        <v>10331972</v>
      </c>
      <c r="AD160" s="45"/>
      <c r="AE160" s="48">
        <v>0</v>
      </c>
      <c r="AF160" s="48"/>
      <c r="AG160" s="45">
        <v>0</v>
      </c>
      <c r="AH160" s="45"/>
      <c r="AI160" s="45">
        <v>1264701</v>
      </c>
      <c r="AJ160" s="45"/>
      <c r="AK160" s="45">
        <v>0</v>
      </c>
      <c r="AL160" s="45"/>
      <c r="AM160" s="45">
        <f>+'Gen rev'!U160-'Gen exp'!AC160-AG160+'Gen rev'!W160+AI160+AK160-'Gen Bal'!S160-'Gen exp'!AE160</f>
        <v>0</v>
      </c>
      <c r="AN160" s="55"/>
      <c r="AO160" s="55"/>
      <c r="AP160" s="55"/>
      <c r="AQ160" s="55"/>
      <c r="AR160" s="52"/>
      <c r="AS160" s="50"/>
    </row>
    <row r="161" spans="1:45" s="49" customFormat="1" ht="12.75" customHeight="1">
      <c r="A161" s="28" t="s">
        <v>188</v>
      </c>
      <c r="C161" s="28" t="s">
        <v>27</v>
      </c>
      <c r="E161" s="45">
        <v>2722613</v>
      </c>
      <c r="F161" s="45"/>
      <c r="G161" s="45">
        <v>4839291</v>
      </c>
      <c r="H161" s="45"/>
      <c r="I161" s="45">
        <v>771225</v>
      </c>
      <c r="J161" s="45"/>
      <c r="K161" s="45">
        <v>209738</v>
      </c>
      <c r="L161" s="45"/>
      <c r="M161" s="45">
        <v>499</v>
      </c>
      <c r="N161" s="45"/>
      <c r="O161" s="45">
        <v>437106</v>
      </c>
      <c r="P161" s="45"/>
      <c r="Q161" s="45">
        <v>1538965</v>
      </c>
      <c r="R161" s="45"/>
      <c r="S161" s="45">
        <v>33047</v>
      </c>
      <c r="T161" s="45"/>
      <c r="U161" s="45">
        <v>0</v>
      </c>
      <c r="V161" s="45"/>
      <c r="W161" s="45">
        <v>22790</v>
      </c>
      <c r="X161" s="45"/>
      <c r="Y161" s="45">
        <v>4068</v>
      </c>
      <c r="Z161" s="44"/>
      <c r="AA161" s="45">
        <v>0</v>
      </c>
      <c r="AB161" s="44"/>
      <c r="AC161" s="45">
        <f t="shared" si="3"/>
        <v>10579342</v>
      </c>
      <c r="AD161" s="45"/>
      <c r="AE161" s="48">
        <v>0</v>
      </c>
      <c r="AF161" s="48"/>
      <c r="AG161" s="45">
        <v>1887035</v>
      </c>
      <c r="AH161" s="45"/>
      <c r="AI161" s="45">
        <v>2708888</v>
      </c>
      <c r="AJ161" s="45"/>
      <c r="AK161" s="45">
        <v>0</v>
      </c>
      <c r="AL161" s="45"/>
      <c r="AM161" s="45">
        <f>+'Gen rev'!U161-'Gen exp'!AC161-AG161+'Gen rev'!W161+AI161+AK161-'Gen Bal'!S161-'Gen exp'!AE161</f>
        <v>0</v>
      </c>
      <c r="AN161" s="44"/>
      <c r="AO161" s="44"/>
      <c r="AP161" s="44"/>
      <c r="AQ161" s="44"/>
    </row>
    <row r="162" spans="1:45" s="49" customFormat="1" ht="12.75" customHeight="1">
      <c r="A162" s="28" t="s">
        <v>190</v>
      </c>
      <c r="C162" s="28" t="s">
        <v>47</v>
      </c>
      <c r="E162" s="45">
        <v>1629041</v>
      </c>
      <c r="F162" s="45"/>
      <c r="G162" s="45">
        <v>2743501</v>
      </c>
      <c r="H162" s="45"/>
      <c r="I162" s="45">
        <v>165226</v>
      </c>
      <c r="J162" s="45"/>
      <c r="K162" s="45">
        <v>7869</v>
      </c>
      <c r="L162" s="45"/>
      <c r="M162" s="45">
        <v>202070</v>
      </c>
      <c r="N162" s="45"/>
      <c r="O162" s="45">
        <v>87164</v>
      </c>
      <c r="P162" s="45"/>
      <c r="Q162" s="45">
        <v>0</v>
      </c>
      <c r="R162" s="45"/>
      <c r="S162" s="45">
        <v>0</v>
      </c>
      <c r="T162" s="45"/>
      <c r="U162" s="45">
        <v>0</v>
      </c>
      <c r="V162" s="45"/>
      <c r="W162" s="45">
        <v>0</v>
      </c>
      <c r="X162" s="45"/>
      <c r="Y162" s="45">
        <v>0</v>
      </c>
      <c r="Z162" s="44"/>
      <c r="AA162" s="45">
        <v>0</v>
      </c>
      <c r="AB162" s="44"/>
      <c r="AC162" s="45">
        <f t="shared" si="3"/>
        <v>4834871</v>
      </c>
      <c r="AD162" s="45"/>
      <c r="AE162" s="48">
        <v>0</v>
      </c>
      <c r="AF162" s="48"/>
      <c r="AG162" s="45">
        <v>0</v>
      </c>
      <c r="AH162" s="45"/>
      <c r="AI162" s="45">
        <v>1318325</v>
      </c>
      <c r="AJ162" s="45"/>
      <c r="AK162" s="45">
        <v>-2261</v>
      </c>
      <c r="AL162" s="45"/>
      <c r="AM162" s="45">
        <f>+'Gen rev'!U162-'Gen exp'!AC162-AG162+'Gen rev'!W162+AI162+AK162-'Gen Bal'!S162-'Gen exp'!AE162</f>
        <v>0</v>
      </c>
      <c r="AN162" s="44"/>
      <c r="AO162" s="44"/>
      <c r="AP162" s="44"/>
      <c r="AQ162" s="44"/>
    </row>
    <row r="163" spans="1:45" s="49" customFormat="1" ht="12.75" customHeight="1">
      <c r="A163" s="28" t="s">
        <v>191</v>
      </c>
      <c r="C163" s="28" t="s">
        <v>13</v>
      </c>
      <c r="E163" s="45">
        <v>1808330</v>
      </c>
      <c r="F163" s="45"/>
      <c r="G163" s="45">
        <v>2069402</v>
      </c>
      <c r="H163" s="45"/>
      <c r="I163" s="45">
        <v>252374</v>
      </c>
      <c r="J163" s="45"/>
      <c r="K163" s="45">
        <v>0</v>
      </c>
      <c r="L163" s="45"/>
      <c r="M163" s="45">
        <v>0</v>
      </c>
      <c r="N163" s="45"/>
      <c r="O163" s="45">
        <v>132262</v>
      </c>
      <c r="P163" s="45"/>
      <c r="Q163" s="45">
        <v>0</v>
      </c>
      <c r="R163" s="45"/>
      <c r="S163" s="45">
        <v>0</v>
      </c>
      <c r="T163" s="45"/>
      <c r="U163" s="45">
        <v>0</v>
      </c>
      <c r="V163" s="45"/>
      <c r="W163" s="45">
        <v>2554</v>
      </c>
      <c r="X163" s="45"/>
      <c r="Y163" s="45">
        <v>1898</v>
      </c>
      <c r="Z163" s="44"/>
      <c r="AA163" s="45">
        <v>0</v>
      </c>
      <c r="AB163" s="44"/>
      <c r="AC163" s="45">
        <f t="shared" si="3"/>
        <v>4266820</v>
      </c>
      <c r="AD163" s="45"/>
      <c r="AE163" s="48">
        <v>0</v>
      </c>
      <c r="AF163" s="48"/>
      <c r="AG163" s="45">
        <v>529005</v>
      </c>
      <c r="AH163" s="45"/>
      <c r="AI163" s="45">
        <v>1948710</v>
      </c>
      <c r="AJ163" s="45"/>
      <c r="AK163" s="45">
        <v>0</v>
      </c>
      <c r="AL163" s="45"/>
      <c r="AM163" s="45">
        <f>+'Gen rev'!U163-'Gen exp'!AC163-AG163+'Gen rev'!W163+AI163+AK163-'Gen Bal'!S163-'Gen exp'!AE163</f>
        <v>0</v>
      </c>
      <c r="AN163" s="44"/>
      <c r="AO163" s="44"/>
      <c r="AP163" s="44"/>
      <c r="AQ163" s="44"/>
    </row>
    <row r="164" spans="1:45" s="49" customFormat="1" ht="12.75" customHeight="1">
      <c r="A164" s="28" t="s">
        <v>192</v>
      </c>
      <c r="C164" s="28" t="s">
        <v>38</v>
      </c>
      <c r="E164" s="45">
        <v>2188334</v>
      </c>
      <c r="F164" s="45"/>
      <c r="G164" s="45">
        <v>4076635</v>
      </c>
      <c r="H164" s="45"/>
      <c r="I164" s="45">
        <v>63659</v>
      </c>
      <c r="J164" s="45"/>
      <c r="K164" s="45">
        <v>128455</v>
      </c>
      <c r="L164" s="45"/>
      <c r="M164" s="45">
        <v>21143</v>
      </c>
      <c r="N164" s="45"/>
      <c r="O164" s="45">
        <v>0</v>
      </c>
      <c r="P164" s="45"/>
      <c r="Q164" s="45">
        <v>0</v>
      </c>
      <c r="R164" s="45"/>
      <c r="S164" s="45">
        <v>83300</v>
      </c>
      <c r="T164" s="45"/>
      <c r="U164" s="45">
        <v>0</v>
      </c>
      <c r="V164" s="45"/>
      <c r="W164" s="45">
        <v>12676</v>
      </c>
      <c r="X164" s="45"/>
      <c r="Y164" s="45">
        <v>10984</v>
      </c>
      <c r="Z164" s="44"/>
      <c r="AA164" s="45">
        <v>0</v>
      </c>
      <c r="AB164" s="44"/>
      <c r="AC164" s="45">
        <f>SUM(E164:AA164)</f>
        <v>6585186</v>
      </c>
      <c r="AD164" s="45"/>
      <c r="AE164" s="48">
        <v>0</v>
      </c>
      <c r="AF164" s="48"/>
      <c r="AG164" s="45">
        <v>1564825</v>
      </c>
      <c r="AH164" s="45"/>
      <c r="AI164" s="45">
        <v>3595338</v>
      </c>
      <c r="AJ164" s="45"/>
      <c r="AK164" s="45">
        <v>0</v>
      </c>
      <c r="AL164" s="45"/>
      <c r="AM164" s="45">
        <f>+'Gen rev'!U164-'Gen exp'!AC164-AG164+'Gen rev'!W164+AI164+AK164-'Gen Bal'!S164-'Gen exp'!AE164</f>
        <v>0</v>
      </c>
      <c r="AN164" s="44"/>
      <c r="AO164" s="44"/>
      <c r="AP164" s="44"/>
      <c r="AQ164" s="44"/>
    </row>
    <row r="165" spans="1:45" s="139" customFormat="1" ht="12.75" hidden="1" customHeight="1">
      <c r="A165" s="147" t="s">
        <v>193</v>
      </c>
      <c r="B165" s="146"/>
      <c r="C165" s="147" t="s">
        <v>45</v>
      </c>
      <c r="D165" s="146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37"/>
      <c r="AA165" s="143"/>
      <c r="AB165" s="137"/>
      <c r="AC165" s="143">
        <f t="shared" si="3"/>
        <v>0</v>
      </c>
      <c r="AD165" s="143"/>
      <c r="AE165" s="148">
        <v>0</v>
      </c>
      <c r="AF165" s="148"/>
      <c r="AG165" s="143"/>
      <c r="AH165" s="143"/>
      <c r="AI165" s="143"/>
      <c r="AJ165" s="143"/>
      <c r="AK165" s="143"/>
      <c r="AL165" s="143"/>
      <c r="AM165" s="143">
        <f>+'Gen rev'!U165-'Gen exp'!AC165-AG165+'Gen rev'!W165+AI165+AK165-'Gen Bal'!S165-'Gen exp'!AE165</f>
        <v>0</v>
      </c>
      <c r="AN165" s="141"/>
    </row>
    <row r="166" spans="1:45" s="49" customFormat="1" ht="12.75" customHeight="1">
      <c r="A166" s="28" t="s">
        <v>194</v>
      </c>
      <c r="C166" s="28" t="s">
        <v>66</v>
      </c>
      <c r="E166" s="45">
        <v>2181145</v>
      </c>
      <c r="F166" s="45"/>
      <c r="G166" s="45">
        <v>4528613</v>
      </c>
      <c r="H166" s="45"/>
      <c r="I166" s="45">
        <v>458156</v>
      </c>
      <c r="J166" s="45"/>
      <c r="K166" s="45">
        <v>0</v>
      </c>
      <c r="L166" s="45"/>
      <c r="M166" s="45">
        <v>0</v>
      </c>
      <c r="N166" s="45"/>
      <c r="O166" s="45">
        <v>0</v>
      </c>
      <c r="P166" s="45"/>
      <c r="Q166" s="45">
        <v>0</v>
      </c>
      <c r="R166" s="45"/>
      <c r="S166" s="45">
        <v>746715</v>
      </c>
      <c r="T166" s="45"/>
      <c r="U166" s="45">
        <v>0</v>
      </c>
      <c r="V166" s="45"/>
      <c r="W166" s="45">
        <v>0</v>
      </c>
      <c r="X166" s="45"/>
      <c r="Y166" s="45">
        <v>294614</v>
      </c>
      <c r="Z166" s="44"/>
      <c r="AA166" s="45">
        <v>0</v>
      </c>
      <c r="AB166" s="44"/>
      <c r="AC166" s="45">
        <f>SUM(E166:AA166)</f>
        <v>8209243</v>
      </c>
      <c r="AD166" s="45"/>
      <c r="AE166" s="48">
        <v>0</v>
      </c>
      <c r="AF166" s="48"/>
      <c r="AG166" s="45">
        <v>8131435</v>
      </c>
      <c r="AH166" s="45"/>
      <c r="AI166" s="45">
        <v>2220121</v>
      </c>
      <c r="AJ166" s="45"/>
      <c r="AK166" s="45">
        <v>0</v>
      </c>
      <c r="AL166" s="45"/>
      <c r="AM166" s="45">
        <f>+'Gen rev'!U166-'Gen exp'!AC166-AG166+'Gen rev'!W166+AI166+AK166-'Gen Bal'!S166-'Gen exp'!AE166</f>
        <v>0</v>
      </c>
      <c r="AN166" s="44"/>
      <c r="AO166" s="44"/>
      <c r="AP166" s="44"/>
      <c r="AQ166" s="44"/>
    </row>
    <row r="167" spans="1:45" s="49" customFormat="1" ht="12.75" customHeight="1">
      <c r="A167" s="28" t="s">
        <v>195</v>
      </c>
      <c r="C167" s="28" t="s">
        <v>17</v>
      </c>
      <c r="E167" s="45">
        <v>2840051</v>
      </c>
      <c r="F167" s="45"/>
      <c r="G167" s="45">
        <v>2455844</v>
      </c>
      <c r="H167" s="45"/>
      <c r="I167" s="45">
        <v>274160</v>
      </c>
      <c r="J167" s="45"/>
      <c r="K167" s="45">
        <v>117649</v>
      </c>
      <c r="L167" s="45"/>
      <c r="M167" s="45">
        <v>209470</v>
      </c>
      <c r="N167" s="45"/>
      <c r="O167" s="45">
        <v>566465</v>
      </c>
      <c r="P167" s="45"/>
      <c r="Q167" s="45">
        <v>0</v>
      </c>
      <c r="R167" s="45"/>
      <c r="S167" s="45">
        <v>0</v>
      </c>
      <c r="T167" s="45"/>
      <c r="U167" s="45">
        <v>0</v>
      </c>
      <c r="V167" s="45"/>
      <c r="W167" s="45">
        <v>0</v>
      </c>
      <c r="X167" s="45"/>
      <c r="Y167" s="45">
        <v>0</v>
      </c>
      <c r="Z167" s="44"/>
      <c r="AA167" s="45">
        <v>0</v>
      </c>
      <c r="AB167" s="44"/>
      <c r="AC167" s="45">
        <f t="shared" si="3"/>
        <v>6463639</v>
      </c>
      <c r="AD167" s="45"/>
      <c r="AE167" s="48">
        <v>0</v>
      </c>
      <c r="AF167" s="48"/>
      <c r="AG167" s="45">
        <v>412520</v>
      </c>
      <c r="AH167" s="45"/>
      <c r="AI167" s="45">
        <v>7295680</v>
      </c>
      <c r="AJ167" s="45"/>
      <c r="AK167" s="45">
        <v>1696</v>
      </c>
      <c r="AL167" s="45"/>
      <c r="AM167" s="45">
        <f>+'Gen rev'!U167-'Gen exp'!AC167-AG167+'Gen rev'!W167+AI167+AK167-'Gen Bal'!S167-'Gen exp'!AE167</f>
        <v>0</v>
      </c>
      <c r="AN167" s="44"/>
      <c r="AO167" s="44"/>
      <c r="AP167" s="44"/>
      <c r="AQ167" s="44"/>
    </row>
    <row r="168" spans="1:45" s="49" customFormat="1" ht="12.75" hidden="1" customHeight="1">
      <c r="A168" s="28" t="s">
        <v>196</v>
      </c>
      <c r="C168" s="28" t="s">
        <v>27</v>
      </c>
      <c r="E168" s="45">
        <v>1185993</v>
      </c>
      <c r="F168" s="45"/>
      <c r="G168" s="45">
        <v>1983619</v>
      </c>
      <c r="H168" s="45"/>
      <c r="I168" s="45">
        <v>267019</v>
      </c>
      <c r="J168" s="45"/>
      <c r="K168" s="45">
        <v>28383</v>
      </c>
      <c r="L168" s="45"/>
      <c r="M168" s="45">
        <v>435681</v>
      </c>
      <c r="N168" s="45"/>
      <c r="O168" s="45">
        <v>2262</v>
      </c>
      <c r="P168" s="45"/>
      <c r="Q168" s="45">
        <v>39616</v>
      </c>
      <c r="R168" s="45"/>
      <c r="S168" s="45">
        <v>0</v>
      </c>
      <c r="T168" s="45"/>
      <c r="U168" s="45">
        <v>0</v>
      </c>
      <c r="V168" s="45"/>
      <c r="W168" s="45">
        <v>0</v>
      </c>
      <c r="X168" s="45"/>
      <c r="Y168" s="45">
        <v>0</v>
      </c>
      <c r="Z168" s="44"/>
      <c r="AA168" s="45">
        <v>0</v>
      </c>
      <c r="AB168" s="44"/>
      <c r="AC168" s="45">
        <f t="shared" si="3"/>
        <v>3942573</v>
      </c>
      <c r="AD168" s="45"/>
      <c r="AE168" s="48">
        <v>0</v>
      </c>
      <c r="AF168" s="48"/>
      <c r="AG168" s="45">
        <v>0</v>
      </c>
      <c r="AH168" s="45"/>
      <c r="AI168" s="45">
        <v>718569</v>
      </c>
      <c r="AJ168" s="45"/>
      <c r="AK168" s="45">
        <v>0</v>
      </c>
      <c r="AL168" s="45"/>
      <c r="AM168" s="45">
        <f>+'Gen rev'!U168-'Gen exp'!AC168-AG168+'Gen rev'!W168+AI168+AK168-'Gen Bal'!S168-'Gen exp'!AE168</f>
        <v>1040441</v>
      </c>
      <c r="AN168" s="55"/>
      <c r="AO168" s="55"/>
      <c r="AP168" s="55"/>
      <c r="AQ168" s="55"/>
      <c r="AR168" s="52"/>
      <c r="AS168" s="50"/>
    </row>
    <row r="169" spans="1:45" s="146" customFormat="1" ht="12.75" hidden="1" customHeight="1">
      <c r="A169" s="147" t="s">
        <v>402</v>
      </c>
      <c r="C169" s="147" t="s">
        <v>153</v>
      </c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43"/>
      <c r="U169" s="143"/>
      <c r="V169" s="143"/>
      <c r="W169" s="143"/>
      <c r="X169" s="143"/>
      <c r="Y169" s="143"/>
      <c r="Z169" s="137"/>
      <c r="AA169" s="143"/>
      <c r="AB169" s="137"/>
      <c r="AC169" s="143">
        <f t="shared" si="3"/>
        <v>0</v>
      </c>
      <c r="AD169" s="143"/>
      <c r="AE169" s="148">
        <v>0</v>
      </c>
      <c r="AF169" s="148"/>
      <c r="AG169" s="143"/>
      <c r="AH169" s="143"/>
      <c r="AI169" s="143"/>
      <c r="AJ169" s="143"/>
      <c r="AK169" s="143"/>
      <c r="AL169" s="143"/>
      <c r="AM169" s="143">
        <f>+'Gen rev'!U169-'Gen exp'!AC169-AG169+'Gen rev'!W169+AI169+AK169-'Gen Bal'!S169-'Gen exp'!AE169</f>
        <v>0</v>
      </c>
      <c r="AN169" s="143"/>
      <c r="AO169" s="143"/>
      <c r="AP169" s="143"/>
      <c r="AQ169" s="143"/>
      <c r="AR169" s="150"/>
      <c r="AS169" s="151"/>
    </row>
    <row r="170" spans="1:45" s="49" customFormat="1" ht="12.75" customHeight="1">
      <c r="A170" s="64" t="s">
        <v>197</v>
      </c>
      <c r="B170" s="46"/>
      <c r="C170" s="64" t="s">
        <v>163</v>
      </c>
      <c r="D170" s="46"/>
      <c r="E170" s="45">
        <v>3530088</v>
      </c>
      <c r="F170" s="45"/>
      <c r="G170" s="45">
        <v>7607704</v>
      </c>
      <c r="H170" s="45"/>
      <c r="I170" s="45">
        <v>628972</v>
      </c>
      <c r="J170" s="45"/>
      <c r="K170" s="45">
        <v>406642</v>
      </c>
      <c r="L170" s="45"/>
      <c r="M170" s="45">
        <v>2455494</v>
      </c>
      <c r="N170" s="45"/>
      <c r="O170" s="45">
        <v>7100</v>
      </c>
      <c r="P170" s="45"/>
      <c r="Q170" s="45">
        <v>0</v>
      </c>
      <c r="R170" s="45"/>
      <c r="S170" s="45">
        <v>0</v>
      </c>
      <c r="T170" s="45"/>
      <c r="U170" s="45">
        <v>0</v>
      </c>
      <c r="V170" s="45"/>
      <c r="W170" s="45">
        <v>0</v>
      </c>
      <c r="X170" s="45"/>
      <c r="Y170" s="45">
        <v>0</v>
      </c>
      <c r="Z170" s="44"/>
      <c r="AA170" s="45">
        <v>0</v>
      </c>
      <c r="AB170" s="44"/>
      <c r="AC170" s="45">
        <f t="shared" si="3"/>
        <v>14636000</v>
      </c>
      <c r="AD170" s="45"/>
      <c r="AE170" s="48">
        <v>0</v>
      </c>
      <c r="AF170" s="48"/>
      <c r="AG170" s="45">
        <v>2031094</v>
      </c>
      <c r="AH170" s="45"/>
      <c r="AI170" s="45">
        <v>10545131</v>
      </c>
      <c r="AJ170" s="45"/>
      <c r="AK170" s="45">
        <f>AM172-68397</f>
        <v>-68397</v>
      </c>
      <c r="AL170" s="45"/>
      <c r="AM170" s="45">
        <f>+'Gen rev'!U170-'Gen exp'!AC170-AG170+'Gen rev'!W170+AI170+AK170-'Gen Bal'!S170-'Gen exp'!AE170</f>
        <v>0</v>
      </c>
      <c r="AN170" s="44"/>
      <c r="AO170" s="44"/>
      <c r="AP170" s="44"/>
      <c r="AQ170" s="44"/>
    </row>
    <row r="171" spans="1:45" s="49" customFormat="1" ht="12.75" customHeight="1">
      <c r="A171" s="28" t="s">
        <v>198</v>
      </c>
      <c r="C171" s="28" t="s">
        <v>199</v>
      </c>
      <c r="E171" s="45">
        <v>989284</v>
      </c>
      <c r="F171" s="45"/>
      <c r="G171" s="45">
        <v>1885520</v>
      </c>
      <c r="H171" s="45"/>
      <c r="I171" s="45">
        <v>0</v>
      </c>
      <c r="J171" s="45"/>
      <c r="K171" s="45">
        <v>146632</v>
      </c>
      <c r="L171" s="45"/>
      <c r="M171" s="45">
        <v>446542</v>
      </c>
      <c r="N171" s="45"/>
      <c r="O171" s="45">
        <v>258225</v>
      </c>
      <c r="P171" s="45"/>
      <c r="Q171" s="45">
        <v>0</v>
      </c>
      <c r="R171" s="45"/>
      <c r="S171" s="45">
        <v>0</v>
      </c>
      <c r="T171" s="45"/>
      <c r="U171" s="45">
        <v>0</v>
      </c>
      <c r="V171" s="45"/>
      <c r="W171" s="45">
        <v>0</v>
      </c>
      <c r="X171" s="45"/>
      <c r="Y171" s="45">
        <v>0</v>
      </c>
      <c r="Z171" s="44"/>
      <c r="AA171" s="45">
        <v>0</v>
      </c>
      <c r="AB171" s="44"/>
      <c r="AC171" s="45">
        <f>SUM(E171:AA171)</f>
        <v>3726203</v>
      </c>
      <c r="AD171" s="45"/>
      <c r="AE171" s="48">
        <v>0</v>
      </c>
      <c r="AF171" s="48"/>
      <c r="AG171" s="45">
        <v>1112333</v>
      </c>
      <c r="AH171" s="45"/>
      <c r="AI171" s="45">
        <v>1816987</v>
      </c>
      <c r="AJ171" s="45"/>
      <c r="AK171" s="45">
        <v>0</v>
      </c>
      <c r="AL171" s="45"/>
      <c r="AM171" s="45">
        <f>+'Gen rev'!U171-'Gen exp'!AC171-AG171+'Gen rev'!W171+AI171+AK171-'Gen Bal'!S171-'Gen exp'!AE171</f>
        <v>0</v>
      </c>
      <c r="AN171" s="44"/>
      <c r="AO171" s="44"/>
      <c r="AP171" s="44"/>
      <c r="AQ171" s="44"/>
    </row>
    <row r="172" spans="1:45" s="49" customFormat="1" ht="12.75" customHeight="1">
      <c r="A172" s="28" t="s">
        <v>200</v>
      </c>
      <c r="C172" s="28" t="s">
        <v>103</v>
      </c>
      <c r="E172" s="45">
        <v>1709069</v>
      </c>
      <c r="F172" s="45"/>
      <c r="G172" s="45">
        <v>4410508</v>
      </c>
      <c r="H172" s="45"/>
      <c r="I172" s="45">
        <v>620514</v>
      </c>
      <c r="J172" s="45"/>
      <c r="K172" s="45">
        <v>164757</v>
      </c>
      <c r="L172" s="45"/>
      <c r="M172" s="45">
        <v>0</v>
      </c>
      <c r="N172" s="45"/>
      <c r="O172" s="45">
        <v>1133251</v>
      </c>
      <c r="P172" s="45"/>
      <c r="Q172" s="45">
        <v>0</v>
      </c>
      <c r="R172" s="45"/>
      <c r="S172" s="45">
        <v>0</v>
      </c>
      <c r="T172" s="45"/>
      <c r="U172" s="45">
        <v>0</v>
      </c>
      <c r="V172" s="45"/>
      <c r="W172" s="45">
        <v>2403</v>
      </c>
      <c r="X172" s="45"/>
      <c r="Y172" s="45">
        <v>41</v>
      </c>
      <c r="Z172" s="44"/>
      <c r="AA172" s="45">
        <v>0</v>
      </c>
      <c r="AB172" s="44"/>
      <c r="AC172" s="45">
        <f t="shared" si="3"/>
        <v>8040543</v>
      </c>
      <c r="AD172" s="45"/>
      <c r="AE172" s="48">
        <v>0</v>
      </c>
      <c r="AF172" s="48"/>
      <c r="AG172" s="45">
        <v>1893443</v>
      </c>
      <c r="AH172" s="45"/>
      <c r="AI172" s="45">
        <v>5186420</v>
      </c>
      <c r="AJ172" s="45"/>
      <c r="AK172" s="45">
        <v>0</v>
      </c>
      <c r="AL172" s="45"/>
      <c r="AM172" s="45">
        <f>+'Gen rev'!U172-'Gen exp'!AC172-AG172+'Gen rev'!W172+AI172+AK172-'Gen Bal'!S172-'Gen exp'!AE172</f>
        <v>0</v>
      </c>
      <c r="AN172" s="45"/>
      <c r="AO172" s="45"/>
      <c r="AP172" s="45"/>
      <c r="AQ172" s="45"/>
      <c r="AR172" s="52"/>
      <c r="AS172" s="50"/>
    </row>
    <row r="173" spans="1:45" s="49" customFormat="1" ht="12.75" customHeight="1">
      <c r="A173" s="28" t="s">
        <v>201</v>
      </c>
      <c r="C173" s="28" t="s">
        <v>92</v>
      </c>
      <c r="E173" s="45">
        <v>2833247</v>
      </c>
      <c r="F173" s="45"/>
      <c r="G173" s="45">
        <v>6597089</v>
      </c>
      <c r="H173" s="45"/>
      <c r="I173" s="45">
        <v>366528</v>
      </c>
      <c r="J173" s="45"/>
      <c r="K173" s="45">
        <v>131498</v>
      </c>
      <c r="L173" s="45"/>
      <c r="M173" s="45">
        <v>994377</v>
      </c>
      <c r="N173" s="45"/>
      <c r="O173" s="45">
        <v>760419</v>
      </c>
      <c r="P173" s="45"/>
      <c r="Q173" s="45">
        <v>0</v>
      </c>
      <c r="R173" s="45"/>
      <c r="S173" s="45">
        <v>0</v>
      </c>
      <c r="T173" s="45"/>
      <c r="U173" s="45">
        <v>0</v>
      </c>
      <c r="V173" s="45"/>
      <c r="W173" s="45">
        <v>0</v>
      </c>
      <c r="X173" s="45"/>
      <c r="Y173" s="45">
        <v>11000</v>
      </c>
      <c r="Z173" s="44"/>
      <c r="AA173" s="45">
        <v>0</v>
      </c>
      <c r="AB173" s="44"/>
      <c r="AC173" s="45">
        <f t="shared" si="3"/>
        <v>11694158</v>
      </c>
      <c r="AD173" s="45"/>
      <c r="AE173" s="48">
        <v>0</v>
      </c>
      <c r="AF173" s="48"/>
      <c r="AG173" s="45">
        <v>790391</v>
      </c>
      <c r="AH173" s="45"/>
      <c r="AI173" s="45">
        <v>5159636</v>
      </c>
      <c r="AJ173" s="45"/>
      <c r="AK173" s="45">
        <v>-11087</v>
      </c>
      <c r="AL173" s="45"/>
      <c r="AM173" s="45">
        <f>+'Gen rev'!U173-'Gen exp'!AC173-AG173+'Gen rev'!W173+AI173+AK173-'Gen Bal'!S173-'Gen exp'!AE173</f>
        <v>0</v>
      </c>
      <c r="AN173" s="44"/>
      <c r="AO173" s="44"/>
      <c r="AP173" s="44"/>
      <c r="AQ173" s="44"/>
    </row>
    <row r="174" spans="1:45" s="49" customFormat="1" ht="12.75" customHeight="1">
      <c r="A174" s="28" t="s">
        <v>202</v>
      </c>
      <c r="C174" s="28" t="s">
        <v>27</v>
      </c>
      <c r="E174" s="45">
        <v>14394448</v>
      </c>
      <c r="F174" s="45"/>
      <c r="G174" s="45">
        <v>21707861</v>
      </c>
      <c r="H174" s="45"/>
      <c r="I174" s="45">
        <v>821069</v>
      </c>
      <c r="J174" s="45"/>
      <c r="K174" s="45">
        <v>308358</v>
      </c>
      <c r="L174" s="45"/>
      <c r="M174" s="45">
        <v>0</v>
      </c>
      <c r="N174" s="45"/>
      <c r="O174" s="45">
        <v>2344697</v>
      </c>
      <c r="P174" s="45"/>
      <c r="Q174" s="45">
        <v>0</v>
      </c>
      <c r="R174" s="45"/>
      <c r="S174" s="45">
        <v>1928</v>
      </c>
      <c r="T174" s="45"/>
      <c r="U174" s="45">
        <v>0</v>
      </c>
      <c r="V174" s="45"/>
      <c r="W174" s="45">
        <v>0</v>
      </c>
      <c r="X174" s="45"/>
      <c r="Y174" s="45">
        <v>0</v>
      </c>
      <c r="Z174" s="44"/>
      <c r="AA174" s="45">
        <v>0</v>
      </c>
      <c r="AB174" s="44"/>
      <c r="AC174" s="45">
        <f t="shared" si="3"/>
        <v>39578361</v>
      </c>
      <c r="AD174" s="45"/>
      <c r="AE174" s="48">
        <v>0</v>
      </c>
      <c r="AF174" s="48"/>
      <c r="AG174" s="45">
        <v>4430358</v>
      </c>
      <c r="AH174" s="45"/>
      <c r="AI174" s="45">
        <v>3681075</v>
      </c>
      <c r="AJ174" s="45"/>
      <c r="AK174" s="45">
        <v>0</v>
      </c>
      <c r="AL174" s="45"/>
      <c r="AM174" s="45">
        <f>+'Gen rev'!U174-'Gen exp'!AC174-AG174+'Gen rev'!W174+AI174+AK174-'Gen Bal'!S174-'Gen exp'!AE174</f>
        <v>0</v>
      </c>
      <c r="AN174" s="44"/>
      <c r="AO174" s="44"/>
      <c r="AP174" s="44"/>
      <c r="AQ174" s="44"/>
    </row>
    <row r="175" spans="1:45" s="49" customFormat="1" ht="12.75" customHeight="1">
      <c r="A175" s="64" t="s">
        <v>203</v>
      </c>
      <c r="B175" s="46"/>
      <c r="C175" s="64" t="s">
        <v>27</v>
      </c>
      <c r="D175" s="46"/>
      <c r="E175" s="45">
        <v>14394448</v>
      </c>
      <c r="F175" s="45"/>
      <c r="G175" s="45">
        <v>21707861</v>
      </c>
      <c r="H175" s="45"/>
      <c r="I175" s="45">
        <v>821069</v>
      </c>
      <c r="J175" s="45"/>
      <c r="K175" s="45">
        <v>308358</v>
      </c>
      <c r="L175" s="45"/>
      <c r="M175" s="45">
        <v>0</v>
      </c>
      <c r="N175" s="45"/>
      <c r="O175" s="45">
        <v>2344697</v>
      </c>
      <c r="P175" s="45"/>
      <c r="Q175" s="45">
        <v>0</v>
      </c>
      <c r="R175" s="45"/>
      <c r="S175" s="45">
        <v>1928</v>
      </c>
      <c r="T175" s="45"/>
      <c r="U175" s="45">
        <v>0</v>
      </c>
      <c r="V175" s="45"/>
      <c r="W175" s="45">
        <v>0</v>
      </c>
      <c r="X175" s="45"/>
      <c r="Y175" s="45">
        <v>0</v>
      </c>
      <c r="Z175" s="44"/>
      <c r="AA175" s="45">
        <v>0</v>
      </c>
      <c r="AB175" s="44"/>
      <c r="AC175" s="45">
        <f t="shared" si="3"/>
        <v>39578361</v>
      </c>
      <c r="AD175" s="45"/>
      <c r="AE175" s="48">
        <v>0</v>
      </c>
      <c r="AF175" s="48"/>
      <c r="AG175" s="45">
        <v>4430358</v>
      </c>
      <c r="AH175" s="45"/>
      <c r="AI175" s="45">
        <v>3681075</v>
      </c>
      <c r="AJ175" s="45"/>
      <c r="AK175" s="45">
        <v>0</v>
      </c>
      <c r="AL175" s="45"/>
      <c r="AM175" s="45">
        <f>+'Gen rev'!U175-'Gen exp'!AC175-AG175+'Gen rev'!W175+AI175+AK175-'Gen Bal'!S175-'Gen exp'!AE175</f>
        <v>0</v>
      </c>
      <c r="AN175" s="45"/>
      <c r="AO175" s="45"/>
      <c r="AP175" s="45"/>
      <c r="AQ175" s="45"/>
      <c r="AR175" s="52"/>
      <c r="AS175" s="50"/>
    </row>
    <row r="176" spans="1:45" s="49" customFormat="1" ht="12.75" customHeight="1">
      <c r="A176" s="28" t="s">
        <v>204</v>
      </c>
      <c r="C176" s="28" t="s">
        <v>125</v>
      </c>
      <c r="E176" s="45">
        <v>991432</v>
      </c>
      <c r="F176" s="45"/>
      <c r="G176" s="45">
        <v>147846</v>
      </c>
      <c r="H176" s="45"/>
      <c r="I176" s="45">
        <v>240047</v>
      </c>
      <c r="J176" s="45"/>
      <c r="K176" s="45">
        <v>57500</v>
      </c>
      <c r="L176" s="45"/>
      <c r="M176" s="45">
        <v>0</v>
      </c>
      <c r="N176" s="45"/>
      <c r="O176" s="45">
        <v>0</v>
      </c>
      <c r="P176" s="45"/>
      <c r="Q176" s="45">
        <v>0</v>
      </c>
      <c r="R176" s="45"/>
      <c r="S176" s="45">
        <v>264387</v>
      </c>
      <c r="T176" s="45"/>
      <c r="U176" s="45">
        <v>0</v>
      </c>
      <c r="V176" s="45"/>
      <c r="W176" s="45">
        <v>62414</v>
      </c>
      <c r="X176" s="45"/>
      <c r="Y176" s="45">
        <v>0</v>
      </c>
      <c r="Z176" s="44"/>
      <c r="AA176" s="45">
        <v>0</v>
      </c>
      <c r="AB176" s="44"/>
      <c r="AC176" s="45">
        <f t="shared" si="3"/>
        <v>1763626</v>
      </c>
      <c r="AD176" s="45"/>
      <c r="AE176" s="48">
        <v>0</v>
      </c>
      <c r="AF176" s="48"/>
      <c r="AG176" s="45">
        <v>0</v>
      </c>
      <c r="AH176" s="45"/>
      <c r="AI176" s="45">
        <v>815413</v>
      </c>
      <c r="AJ176" s="45"/>
      <c r="AK176" s="45">
        <v>0</v>
      </c>
      <c r="AL176" s="45"/>
      <c r="AM176" s="45">
        <f>+'Gen rev'!U176-'Gen exp'!AC176-AG176+'Gen rev'!W176+AI176+AK176-'Gen Bal'!S176-'Gen exp'!AE176</f>
        <v>0</v>
      </c>
      <c r="AN176" s="44"/>
      <c r="AO176" s="44"/>
      <c r="AP176" s="44"/>
      <c r="AQ176" s="44"/>
    </row>
    <row r="177" spans="1:45" s="49" customFormat="1" ht="12.75" customHeight="1">
      <c r="A177" s="64" t="s">
        <v>205</v>
      </c>
      <c r="B177" s="46"/>
      <c r="C177" s="64" t="s">
        <v>27</v>
      </c>
      <c r="D177" s="46"/>
      <c r="E177" s="45">
        <v>1597538</v>
      </c>
      <c r="F177" s="45"/>
      <c r="G177" s="45">
        <v>3058157</v>
      </c>
      <c r="H177" s="45"/>
      <c r="I177" s="45">
        <v>271165</v>
      </c>
      <c r="J177" s="45"/>
      <c r="K177" s="45">
        <v>36173</v>
      </c>
      <c r="L177" s="45"/>
      <c r="M177" s="45">
        <v>2116242</v>
      </c>
      <c r="N177" s="45"/>
      <c r="O177" s="45">
        <v>0</v>
      </c>
      <c r="P177" s="45"/>
      <c r="Q177" s="45">
        <v>1707260</v>
      </c>
      <c r="R177" s="45"/>
      <c r="S177" s="45">
        <v>0</v>
      </c>
      <c r="T177" s="45"/>
      <c r="U177" s="45">
        <v>0</v>
      </c>
      <c r="V177" s="45"/>
      <c r="W177" s="45">
        <v>0</v>
      </c>
      <c r="X177" s="45"/>
      <c r="Y177" s="45">
        <v>0</v>
      </c>
      <c r="Z177" s="44"/>
      <c r="AA177" s="45">
        <v>0</v>
      </c>
      <c r="AB177" s="44"/>
      <c r="AC177" s="45">
        <f t="shared" si="3"/>
        <v>8786535</v>
      </c>
      <c r="AD177" s="45"/>
      <c r="AE177" s="48">
        <v>0</v>
      </c>
      <c r="AF177" s="48"/>
      <c r="AG177" s="45">
        <v>588150</v>
      </c>
      <c r="AH177" s="45"/>
      <c r="AI177" s="45">
        <v>5982995</v>
      </c>
      <c r="AJ177" s="45"/>
      <c r="AK177" s="45">
        <v>0</v>
      </c>
      <c r="AL177" s="45"/>
      <c r="AM177" s="45">
        <f>+'Gen rev'!U177-'Gen exp'!AC177-AG177+'Gen rev'!W177+AI177+AK177-'Gen Bal'!S177-'Gen exp'!AE177</f>
        <v>0</v>
      </c>
      <c r="AN177" s="44"/>
      <c r="AO177" s="44"/>
      <c r="AP177" s="44"/>
      <c r="AQ177" s="44"/>
    </row>
    <row r="178" spans="1:45" s="46" customFormat="1" ht="12.75" customHeight="1">
      <c r="A178" s="28" t="s">
        <v>206</v>
      </c>
      <c r="B178" s="49"/>
      <c r="C178" s="28" t="s">
        <v>47</v>
      </c>
      <c r="D178" s="49"/>
      <c r="E178" s="45">
        <v>3467362</v>
      </c>
      <c r="F178" s="45"/>
      <c r="G178" s="45">
        <v>6180024</v>
      </c>
      <c r="H178" s="45"/>
      <c r="I178" s="45">
        <v>633470</v>
      </c>
      <c r="J178" s="45"/>
      <c r="K178" s="45">
        <v>29248</v>
      </c>
      <c r="L178" s="45"/>
      <c r="M178" s="45">
        <v>1093858</v>
      </c>
      <c r="N178" s="45"/>
      <c r="O178" s="45">
        <v>1289118</v>
      </c>
      <c r="P178" s="45"/>
      <c r="Q178" s="45">
        <v>0</v>
      </c>
      <c r="R178" s="45"/>
      <c r="S178" s="45">
        <v>0</v>
      </c>
      <c r="T178" s="45"/>
      <c r="U178" s="45">
        <v>0</v>
      </c>
      <c r="V178" s="45"/>
      <c r="W178" s="45">
        <v>0</v>
      </c>
      <c r="X178" s="45"/>
      <c r="Y178" s="45">
        <v>0</v>
      </c>
      <c r="Z178" s="44"/>
      <c r="AA178" s="45">
        <v>0</v>
      </c>
      <c r="AB178" s="44"/>
      <c r="AC178" s="45">
        <f t="shared" si="3"/>
        <v>12693080</v>
      </c>
      <c r="AD178" s="45"/>
      <c r="AE178" s="48">
        <v>0</v>
      </c>
      <c r="AF178" s="48"/>
      <c r="AG178" s="45">
        <v>5194471</v>
      </c>
      <c r="AH178" s="45"/>
      <c r="AI178" s="45">
        <v>6067245</v>
      </c>
      <c r="AJ178" s="45"/>
      <c r="AK178" s="45">
        <v>0</v>
      </c>
      <c r="AL178" s="45"/>
      <c r="AM178" s="45">
        <f>+'Gen rev'!U178-'Gen exp'!AC178-AG178+'Gen rev'!W178+AI178+AK178-'Gen Bal'!S178-'Gen exp'!AE178</f>
        <v>0</v>
      </c>
    </row>
    <row r="179" spans="1:45" s="46" customFormat="1" ht="12.75" customHeight="1">
      <c r="A179" s="28" t="s">
        <v>207</v>
      </c>
      <c r="B179" s="49"/>
      <c r="C179" s="28" t="s">
        <v>102</v>
      </c>
      <c r="D179" s="49"/>
      <c r="E179" s="45">
        <v>2220808</v>
      </c>
      <c r="F179" s="45"/>
      <c r="G179" s="45">
        <v>80480</v>
      </c>
      <c r="H179" s="45"/>
      <c r="I179" s="45">
        <v>1223401</v>
      </c>
      <c r="J179" s="45"/>
      <c r="K179" s="45">
        <v>122046</v>
      </c>
      <c r="L179" s="45"/>
      <c r="M179" s="45">
        <v>0</v>
      </c>
      <c r="N179" s="45"/>
      <c r="O179" s="45">
        <v>44461</v>
      </c>
      <c r="P179" s="45"/>
      <c r="Q179" s="45">
        <v>0</v>
      </c>
      <c r="R179" s="45"/>
      <c r="S179" s="45">
        <v>11837</v>
      </c>
      <c r="T179" s="45"/>
      <c r="U179" s="45">
        <v>0</v>
      </c>
      <c r="V179" s="45"/>
      <c r="W179" s="45">
        <v>6845</v>
      </c>
      <c r="X179" s="45"/>
      <c r="Y179" s="45">
        <v>3470</v>
      </c>
      <c r="Z179" s="44"/>
      <c r="AA179" s="45">
        <v>0</v>
      </c>
      <c r="AB179" s="44"/>
      <c r="AC179" s="45">
        <f t="shared" si="3"/>
        <v>3713348</v>
      </c>
      <c r="AD179" s="45"/>
      <c r="AE179" s="48">
        <v>0</v>
      </c>
      <c r="AF179" s="48"/>
      <c r="AG179" s="45">
        <v>3698332</v>
      </c>
      <c r="AH179" s="45"/>
      <c r="AI179" s="45">
        <v>2545878</v>
      </c>
      <c r="AJ179" s="45"/>
      <c r="AK179" s="45">
        <v>0</v>
      </c>
      <c r="AL179" s="45"/>
      <c r="AM179" s="45">
        <f>+'Gen rev'!U179-'Gen exp'!AC179-AG179+'Gen rev'!W179+AI179+AK179-'Gen Bal'!S179-'Gen exp'!AE179</f>
        <v>0</v>
      </c>
    </row>
    <row r="180" spans="1:45" s="49" customFormat="1" ht="12.75" customHeight="1">
      <c r="A180" s="28" t="s">
        <v>208</v>
      </c>
      <c r="C180" s="28" t="s">
        <v>209</v>
      </c>
      <c r="E180" s="45">
        <v>1694424</v>
      </c>
      <c r="F180" s="45"/>
      <c r="G180" s="45">
        <v>7500895</v>
      </c>
      <c r="H180" s="45"/>
      <c r="I180" s="45">
        <v>266457</v>
      </c>
      <c r="J180" s="45"/>
      <c r="K180" s="45">
        <v>455574</v>
      </c>
      <c r="L180" s="45"/>
      <c r="M180" s="45">
        <v>4955</v>
      </c>
      <c r="N180" s="45"/>
      <c r="O180" s="45">
        <v>633438</v>
      </c>
      <c r="P180" s="45"/>
      <c r="Q180" s="45">
        <v>0</v>
      </c>
      <c r="R180" s="45"/>
      <c r="S180" s="45">
        <v>411613</v>
      </c>
      <c r="T180" s="45"/>
      <c r="U180" s="45">
        <v>0</v>
      </c>
      <c r="V180" s="45"/>
      <c r="W180" s="45">
        <v>0</v>
      </c>
      <c r="X180" s="45"/>
      <c r="Y180" s="45">
        <v>0</v>
      </c>
      <c r="Z180" s="44"/>
      <c r="AA180" s="45">
        <v>0</v>
      </c>
      <c r="AB180" s="44"/>
      <c r="AC180" s="45">
        <f t="shared" si="3"/>
        <v>10967356</v>
      </c>
      <c r="AD180" s="45"/>
      <c r="AE180" s="48">
        <v>0</v>
      </c>
      <c r="AF180" s="48"/>
      <c r="AG180" s="45">
        <v>0</v>
      </c>
      <c r="AH180" s="45"/>
      <c r="AI180" s="45">
        <v>12633960</v>
      </c>
      <c r="AJ180" s="45"/>
      <c r="AK180" s="45">
        <v>0</v>
      </c>
      <c r="AL180" s="45"/>
      <c r="AM180" s="45">
        <f>+'Gen rev'!U180-'Gen exp'!AC180-AG180+'Gen rev'!W180+AI180+AK180-'Gen Bal'!S180-'Gen exp'!AE180</f>
        <v>0</v>
      </c>
      <c r="AN180" s="45"/>
      <c r="AO180" s="45"/>
      <c r="AP180" s="45"/>
      <c r="AQ180" s="45"/>
      <c r="AR180" s="52"/>
      <c r="AS180" s="50"/>
    </row>
    <row r="181" spans="1:45" s="49" customFormat="1" ht="12.75" customHeight="1">
      <c r="A181" s="47" t="s">
        <v>210</v>
      </c>
      <c r="C181" s="47" t="s">
        <v>211</v>
      </c>
      <c r="E181" s="45">
        <v>1405398</v>
      </c>
      <c r="F181" s="45"/>
      <c r="G181" s="45">
        <v>1573773</v>
      </c>
      <c r="H181" s="45"/>
      <c r="I181" s="45">
        <v>6195</v>
      </c>
      <c r="J181" s="45"/>
      <c r="K181" s="45">
        <v>206474</v>
      </c>
      <c r="L181" s="45"/>
      <c r="M181" s="45">
        <v>0</v>
      </c>
      <c r="N181" s="45"/>
      <c r="O181" s="45">
        <v>133226</v>
      </c>
      <c r="P181" s="45"/>
      <c r="Q181" s="45">
        <v>0</v>
      </c>
      <c r="R181" s="45"/>
      <c r="S181" s="45">
        <v>0</v>
      </c>
      <c r="T181" s="45"/>
      <c r="U181" s="45">
        <v>0</v>
      </c>
      <c r="V181" s="45"/>
      <c r="W181" s="45">
        <v>29956</v>
      </c>
      <c r="X181" s="45"/>
      <c r="Y181" s="45">
        <v>0</v>
      </c>
      <c r="Z181" s="44"/>
      <c r="AA181" s="45">
        <v>0</v>
      </c>
      <c r="AB181" s="44"/>
      <c r="AC181" s="45">
        <f t="shared" si="3"/>
        <v>3355022</v>
      </c>
      <c r="AD181" s="45"/>
      <c r="AE181" s="48">
        <v>0</v>
      </c>
      <c r="AF181" s="48"/>
      <c r="AG181" s="45">
        <v>416905</v>
      </c>
      <c r="AH181" s="45"/>
      <c r="AI181" s="45">
        <v>1367775</v>
      </c>
      <c r="AJ181" s="45"/>
      <c r="AK181" s="45">
        <v>0</v>
      </c>
      <c r="AL181" s="45"/>
      <c r="AM181" s="45">
        <f>+'Gen rev'!U181-'Gen exp'!AC181-AG181+'Gen rev'!W181+AI181+AK181-'Gen Bal'!S181-'Gen exp'!AE181</f>
        <v>0</v>
      </c>
      <c r="AN181" s="44"/>
      <c r="AO181" s="44"/>
      <c r="AP181" s="44"/>
      <c r="AQ181" s="44"/>
      <c r="AR181" s="52"/>
      <c r="AS181" s="50"/>
    </row>
    <row r="182" spans="1:45" s="46" customFormat="1" ht="12.75" customHeight="1">
      <c r="A182" s="47" t="s">
        <v>212</v>
      </c>
      <c r="B182" s="49"/>
      <c r="C182" s="47" t="s">
        <v>213</v>
      </c>
      <c r="D182" s="49"/>
      <c r="E182" s="45">
        <v>2705160</v>
      </c>
      <c r="F182" s="45"/>
      <c r="G182" s="45">
        <v>6567221</v>
      </c>
      <c r="H182" s="45"/>
      <c r="I182" s="45">
        <v>252220</v>
      </c>
      <c r="J182" s="45"/>
      <c r="K182" s="45">
        <v>621496</v>
      </c>
      <c r="L182" s="45"/>
      <c r="M182" s="45">
        <v>346346</v>
      </c>
      <c r="N182" s="45"/>
      <c r="O182" s="45">
        <v>0</v>
      </c>
      <c r="P182" s="45"/>
      <c r="Q182" s="45">
        <v>0</v>
      </c>
      <c r="R182" s="45"/>
      <c r="S182" s="45">
        <v>0</v>
      </c>
      <c r="T182" s="45"/>
      <c r="U182" s="45">
        <v>0</v>
      </c>
      <c r="V182" s="45"/>
      <c r="W182" s="45">
        <v>0</v>
      </c>
      <c r="X182" s="45"/>
      <c r="Y182" s="45">
        <v>0</v>
      </c>
      <c r="Z182" s="44"/>
      <c r="AA182" s="45">
        <v>0</v>
      </c>
      <c r="AB182" s="44"/>
      <c r="AC182" s="45">
        <f t="shared" si="3"/>
        <v>10492443</v>
      </c>
      <c r="AD182" s="45"/>
      <c r="AE182" s="48">
        <v>0</v>
      </c>
      <c r="AF182" s="48"/>
      <c r="AG182" s="45">
        <v>0</v>
      </c>
      <c r="AH182" s="45"/>
      <c r="AI182" s="45">
        <v>701656</v>
      </c>
      <c r="AJ182" s="45"/>
      <c r="AK182" s="45">
        <v>8368</v>
      </c>
      <c r="AL182" s="45"/>
      <c r="AM182" s="45">
        <f>+'Gen rev'!U182-'Gen exp'!AC182-AG182+'Gen rev'!W182+AI182+AK182-'Gen Bal'!S182-'Gen exp'!AE182</f>
        <v>0</v>
      </c>
      <c r="AN182" s="94"/>
      <c r="AO182" s="94"/>
      <c r="AP182" s="94"/>
      <c r="AQ182" s="94"/>
      <c r="AR182" s="90"/>
      <c r="AS182" s="64"/>
    </row>
    <row r="183" spans="1:45" s="49" customFormat="1" ht="12.75" customHeight="1">
      <c r="A183" s="47" t="s">
        <v>214</v>
      </c>
      <c r="C183" s="47" t="s">
        <v>86</v>
      </c>
      <c r="E183" s="45">
        <v>1488703</v>
      </c>
      <c r="F183" s="45"/>
      <c r="G183" s="45">
        <v>1690199</v>
      </c>
      <c r="H183" s="45"/>
      <c r="I183" s="45">
        <v>987969</v>
      </c>
      <c r="J183" s="45"/>
      <c r="K183" s="45">
        <v>0</v>
      </c>
      <c r="L183" s="45"/>
      <c r="M183" s="45">
        <v>0</v>
      </c>
      <c r="N183" s="45"/>
      <c r="O183" s="45">
        <v>371662</v>
      </c>
      <c r="P183" s="45"/>
      <c r="Q183" s="45">
        <v>483805</v>
      </c>
      <c r="R183" s="45"/>
      <c r="S183" s="45">
        <v>0</v>
      </c>
      <c r="T183" s="45"/>
      <c r="U183" s="45">
        <v>0</v>
      </c>
      <c r="V183" s="45"/>
      <c r="W183" s="45">
        <v>0</v>
      </c>
      <c r="X183" s="45"/>
      <c r="Y183" s="45">
        <v>0</v>
      </c>
      <c r="Z183" s="44"/>
      <c r="AA183" s="45">
        <v>0</v>
      </c>
      <c r="AB183" s="44"/>
      <c r="AC183" s="45">
        <f t="shared" si="3"/>
        <v>5022338</v>
      </c>
      <c r="AD183" s="45"/>
      <c r="AE183" s="48">
        <v>0</v>
      </c>
      <c r="AF183" s="48"/>
      <c r="AG183" s="45">
        <v>277850</v>
      </c>
      <c r="AH183" s="45"/>
      <c r="AI183" s="45">
        <v>5686500</v>
      </c>
      <c r="AJ183" s="45"/>
      <c r="AK183" s="45">
        <v>0</v>
      </c>
      <c r="AL183" s="45"/>
      <c r="AM183" s="45">
        <f>+'Gen rev'!U183-'Gen exp'!AC183-AG183+'Gen rev'!W183+AI183+AK183-'Gen Bal'!S183-'Gen exp'!AE183</f>
        <v>0</v>
      </c>
      <c r="AN183" s="45"/>
      <c r="AO183" s="45"/>
      <c r="AP183" s="45"/>
      <c r="AQ183" s="45"/>
      <c r="AR183" s="52"/>
      <c r="AS183" s="50"/>
    </row>
    <row r="184" spans="1:45" s="46" customFormat="1" ht="12.75" customHeight="1">
      <c r="A184" s="28" t="s">
        <v>215</v>
      </c>
      <c r="B184" s="49"/>
      <c r="C184" s="28" t="s">
        <v>22</v>
      </c>
      <c r="D184" s="49"/>
      <c r="E184" s="45">
        <v>2515722</v>
      </c>
      <c r="F184" s="45"/>
      <c r="G184" s="45">
        <v>4230850</v>
      </c>
      <c r="H184" s="45"/>
      <c r="I184" s="45">
        <v>279706</v>
      </c>
      <c r="J184" s="45"/>
      <c r="K184" s="45">
        <v>258958</v>
      </c>
      <c r="L184" s="45"/>
      <c r="M184" s="45">
        <v>0</v>
      </c>
      <c r="N184" s="45"/>
      <c r="O184" s="45">
        <v>0</v>
      </c>
      <c r="P184" s="45"/>
      <c r="Q184" s="45">
        <v>0</v>
      </c>
      <c r="R184" s="45"/>
      <c r="S184" s="45">
        <v>0</v>
      </c>
      <c r="T184" s="45"/>
      <c r="U184" s="45">
        <v>103130</v>
      </c>
      <c r="V184" s="45"/>
      <c r="W184" s="45">
        <v>23622</v>
      </c>
      <c r="X184" s="45"/>
      <c r="Y184" s="45">
        <v>5238</v>
      </c>
      <c r="Z184" s="44"/>
      <c r="AA184" s="45">
        <v>0</v>
      </c>
      <c r="AB184" s="44"/>
      <c r="AC184" s="45">
        <f t="shared" si="3"/>
        <v>7417226</v>
      </c>
      <c r="AD184" s="45"/>
      <c r="AE184" s="48">
        <v>0</v>
      </c>
      <c r="AF184" s="48"/>
      <c r="AG184" s="45">
        <v>444841</v>
      </c>
      <c r="AH184" s="45"/>
      <c r="AI184" s="45">
        <v>3917955</v>
      </c>
      <c r="AJ184" s="45"/>
      <c r="AK184" s="45">
        <v>0</v>
      </c>
      <c r="AL184" s="45"/>
      <c r="AM184" s="45">
        <f>+'Gen rev'!U184-'Gen exp'!AC184-AG184+'Gen rev'!W184+AI184+AK184-'Gen Bal'!S184-'Gen exp'!AE184</f>
        <v>0</v>
      </c>
      <c r="AN184" s="94"/>
      <c r="AO184" s="94"/>
      <c r="AP184" s="94"/>
      <c r="AQ184" s="94"/>
      <c r="AR184" s="90"/>
      <c r="AS184" s="64"/>
    </row>
    <row r="185" spans="1:45" s="49" customFormat="1" ht="12.75" customHeight="1">
      <c r="A185" s="64" t="s">
        <v>216</v>
      </c>
      <c r="B185" s="46"/>
      <c r="C185" s="64" t="s">
        <v>45</v>
      </c>
      <c r="D185" s="46"/>
      <c r="E185" s="45">
        <v>1883304</v>
      </c>
      <c r="F185" s="45"/>
      <c r="G185" s="45">
        <v>4692822</v>
      </c>
      <c r="H185" s="45"/>
      <c r="I185" s="45">
        <v>166242</v>
      </c>
      <c r="J185" s="45"/>
      <c r="K185" s="45">
        <v>9499</v>
      </c>
      <c r="L185" s="45"/>
      <c r="M185" s="45">
        <v>3465</v>
      </c>
      <c r="N185" s="45"/>
      <c r="O185" s="45">
        <v>505539</v>
      </c>
      <c r="P185" s="45"/>
      <c r="Q185" s="45">
        <v>0</v>
      </c>
      <c r="R185" s="45"/>
      <c r="S185" s="45">
        <v>0</v>
      </c>
      <c r="T185" s="45"/>
      <c r="U185" s="45">
        <v>448601</v>
      </c>
      <c r="V185" s="45"/>
      <c r="W185" s="45">
        <v>0</v>
      </c>
      <c r="X185" s="45"/>
      <c r="Y185" s="45">
        <v>16781</v>
      </c>
      <c r="Z185" s="44"/>
      <c r="AA185" s="45">
        <v>0</v>
      </c>
      <c r="AB185" s="44"/>
      <c r="AC185" s="45">
        <f t="shared" si="3"/>
        <v>7726253</v>
      </c>
      <c r="AD185" s="45"/>
      <c r="AE185" s="48">
        <v>0</v>
      </c>
      <c r="AF185" s="48"/>
      <c r="AG185" s="45">
        <v>281864</v>
      </c>
      <c r="AH185" s="45"/>
      <c r="AI185" s="45">
        <v>668585</v>
      </c>
      <c r="AJ185" s="45"/>
      <c r="AK185" s="45">
        <v>0</v>
      </c>
      <c r="AL185" s="45"/>
      <c r="AM185" s="45">
        <f>+'Gen rev'!U185-'Gen exp'!AC185-AG185+'Gen rev'!W185+AI185+AK185-'Gen Bal'!S185-'Gen exp'!AE185</f>
        <v>0</v>
      </c>
      <c r="AN185" s="45"/>
      <c r="AO185" s="45"/>
      <c r="AP185" s="45"/>
      <c r="AQ185" s="45"/>
      <c r="AR185" s="52"/>
      <c r="AS185" s="50"/>
    </row>
    <row r="186" spans="1:45" s="49" customFormat="1" ht="12.75" customHeight="1">
      <c r="A186" s="28" t="s">
        <v>217</v>
      </c>
      <c r="C186" s="28" t="s">
        <v>43</v>
      </c>
      <c r="E186" s="45">
        <v>3006392</v>
      </c>
      <c r="F186" s="45"/>
      <c r="G186" s="45">
        <v>6688974</v>
      </c>
      <c r="H186" s="45"/>
      <c r="I186" s="45">
        <v>1129727</v>
      </c>
      <c r="J186" s="45"/>
      <c r="K186" s="45">
        <v>181525</v>
      </c>
      <c r="L186" s="45"/>
      <c r="M186" s="45">
        <v>0</v>
      </c>
      <c r="N186" s="45"/>
      <c r="O186" s="45">
        <v>919317</v>
      </c>
      <c r="P186" s="45"/>
      <c r="Q186" s="45">
        <v>0</v>
      </c>
      <c r="R186" s="45"/>
      <c r="S186" s="45">
        <v>0</v>
      </c>
      <c r="T186" s="45"/>
      <c r="U186" s="45">
        <v>0</v>
      </c>
      <c r="V186" s="45"/>
      <c r="W186" s="45">
        <v>0</v>
      </c>
      <c r="X186" s="45"/>
      <c r="Y186" s="45">
        <v>0</v>
      </c>
      <c r="Z186" s="44"/>
      <c r="AA186" s="45">
        <v>0</v>
      </c>
      <c r="AB186" s="44"/>
      <c r="AC186" s="45">
        <f t="shared" si="3"/>
        <v>11925935</v>
      </c>
      <c r="AD186" s="45"/>
      <c r="AE186" s="48">
        <v>0</v>
      </c>
      <c r="AF186" s="48"/>
      <c r="AG186" s="45">
        <v>0</v>
      </c>
      <c r="AH186" s="45"/>
      <c r="AI186" s="45">
        <v>6323853</v>
      </c>
      <c r="AJ186" s="45"/>
      <c r="AK186" s="45">
        <v>-249</v>
      </c>
      <c r="AL186" s="45"/>
      <c r="AM186" s="45">
        <f>+'Gen rev'!U186-'Gen exp'!AC186-AG186+'Gen rev'!W186+AI186+AK186-'Gen Bal'!S186-'Gen exp'!AE186</f>
        <v>0</v>
      </c>
      <c r="AN186" s="44"/>
      <c r="AO186" s="44"/>
      <c r="AP186" s="44"/>
      <c r="AQ186" s="44"/>
    </row>
    <row r="187" spans="1:45" s="49" customFormat="1" ht="12.75" hidden="1" customHeight="1">
      <c r="A187" s="64" t="s">
        <v>218</v>
      </c>
      <c r="B187" s="46"/>
      <c r="C187" s="64" t="s">
        <v>27</v>
      </c>
      <c r="D187" s="46"/>
      <c r="E187" s="45">
        <v>1413643</v>
      </c>
      <c r="F187" s="45"/>
      <c r="G187" s="45">
        <v>3084750</v>
      </c>
      <c r="H187" s="45"/>
      <c r="I187" s="45">
        <v>357229</v>
      </c>
      <c r="J187" s="45"/>
      <c r="K187" s="45">
        <v>0</v>
      </c>
      <c r="L187" s="45"/>
      <c r="M187" s="45">
        <v>941435</v>
      </c>
      <c r="N187" s="45"/>
      <c r="O187" s="45">
        <v>316977</v>
      </c>
      <c r="P187" s="45"/>
      <c r="Q187" s="45">
        <v>0</v>
      </c>
      <c r="R187" s="45"/>
      <c r="S187" s="45">
        <v>0</v>
      </c>
      <c r="T187" s="45"/>
      <c r="U187" s="45">
        <v>459866</v>
      </c>
      <c r="V187" s="45"/>
      <c r="W187" s="45">
        <v>0</v>
      </c>
      <c r="X187" s="45"/>
      <c r="Y187" s="45">
        <v>0</v>
      </c>
      <c r="Z187" s="44"/>
      <c r="AA187" s="45">
        <v>0</v>
      </c>
      <c r="AB187" s="44"/>
      <c r="AC187" s="45">
        <f t="shared" si="3"/>
        <v>6573900</v>
      </c>
      <c r="AD187" s="45"/>
      <c r="AE187" s="48">
        <v>0</v>
      </c>
      <c r="AF187" s="48"/>
      <c r="AG187" s="45">
        <v>890000</v>
      </c>
      <c r="AH187" s="45"/>
      <c r="AI187" s="45">
        <v>906355</v>
      </c>
      <c r="AJ187" s="45"/>
      <c r="AK187" s="45">
        <v>0</v>
      </c>
      <c r="AL187" s="45"/>
      <c r="AM187" s="45">
        <f>+'Gen rev'!U187-'Gen exp'!AC187-AG187+'Gen rev'!W187+AI187+AK187-'Gen Bal'!S187-'Gen exp'!AE187</f>
        <v>0</v>
      </c>
      <c r="AN187" s="44"/>
      <c r="AO187" s="44"/>
      <c r="AP187" s="44"/>
      <c r="AQ187" s="44"/>
    </row>
    <row r="188" spans="1:45" s="49" customFormat="1" ht="12.75" customHeight="1">
      <c r="A188" s="28" t="s">
        <v>219</v>
      </c>
      <c r="C188" s="28" t="s">
        <v>199</v>
      </c>
      <c r="E188" s="45">
        <v>621534</v>
      </c>
      <c r="F188" s="45"/>
      <c r="G188" s="45">
        <v>1026978</v>
      </c>
      <c r="H188" s="45"/>
      <c r="I188" s="45">
        <v>0</v>
      </c>
      <c r="J188" s="45"/>
      <c r="K188" s="45">
        <v>95805</v>
      </c>
      <c r="L188" s="45"/>
      <c r="M188" s="45">
        <v>160637</v>
      </c>
      <c r="N188" s="45"/>
      <c r="O188" s="45">
        <v>499770</v>
      </c>
      <c r="P188" s="45"/>
      <c r="Q188" s="45">
        <v>364421</v>
      </c>
      <c r="R188" s="45"/>
      <c r="S188" s="45">
        <v>0</v>
      </c>
      <c r="T188" s="45"/>
      <c r="U188" s="45">
        <v>0</v>
      </c>
      <c r="V188" s="45"/>
      <c r="W188" s="45">
        <v>0</v>
      </c>
      <c r="X188" s="45"/>
      <c r="Y188" s="45">
        <v>0</v>
      </c>
      <c r="Z188" s="44"/>
      <c r="AA188" s="45">
        <v>0</v>
      </c>
      <c r="AB188" s="44"/>
      <c r="AC188" s="45">
        <f t="shared" si="3"/>
        <v>2769145</v>
      </c>
      <c r="AD188" s="45"/>
      <c r="AE188" s="48">
        <v>0</v>
      </c>
      <c r="AF188" s="48"/>
      <c r="AG188" s="45">
        <v>65000</v>
      </c>
      <c r="AH188" s="45"/>
      <c r="AI188" s="45">
        <v>1032060</v>
      </c>
      <c r="AJ188" s="45"/>
      <c r="AK188" s="45">
        <v>0</v>
      </c>
      <c r="AL188" s="45"/>
      <c r="AM188" s="45">
        <f>+'Gen rev'!U188-'Gen exp'!AC188-AG188+'Gen rev'!W188+AI188+AK188-'Gen Bal'!S188-'Gen exp'!AE188</f>
        <v>0</v>
      </c>
      <c r="AN188" s="44"/>
      <c r="AO188" s="44"/>
      <c r="AP188" s="44"/>
      <c r="AQ188" s="44"/>
    </row>
    <row r="189" spans="1:45" s="49" customFormat="1" ht="12.75" customHeight="1">
      <c r="A189" s="28" t="s">
        <v>220</v>
      </c>
      <c r="C189" s="28" t="s">
        <v>66</v>
      </c>
      <c r="E189" s="45">
        <v>1992395</v>
      </c>
      <c r="F189" s="45"/>
      <c r="G189" s="45">
        <v>51583</v>
      </c>
      <c r="H189" s="45"/>
      <c r="I189" s="45">
        <v>242926</v>
      </c>
      <c r="J189" s="45"/>
      <c r="K189" s="45">
        <v>0</v>
      </c>
      <c r="L189" s="45"/>
      <c r="M189" s="45">
        <v>0</v>
      </c>
      <c r="N189" s="45"/>
      <c r="O189" s="45">
        <v>33548</v>
      </c>
      <c r="P189" s="45"/>
      <c r="Q189" s="45">
        <v>0</v>
      </c>
      <c r="R189" s="45"/>
      <c r="S189" s="45">
        <v>132573</v>
      </c>
      <c r="T189" s="45"/>
      <c r="U189" s="45">
        <v>0</v>
      </c>
      <c r="V189" s="45"/>
      <c r="W189" s="45">
        <v>5873</v>
      </c>
      <c r="X189" s="45"/>
      <c r="Y189" s="45">
        <v>1154</v>
      </c>
      <c r="Z189" s="44"/>
      <c r="AA189" s="45">
        <v>0</v>
      </c>
      <c r="AB189" s="44"/>
      <c r="AC189" s="45">
        <f t="shared" si="3"/>
        <v>2460052</v>
      </c>
      <c r="AD189" s="45"/>
      <c r="AE189" s="48">
        <v>0</v>
      </c>
      <c r="AF189" s="48"/>
      <c r="AG189" s="45">
        <v>3842025</v>
      </c>
      <c r="AH189" s="45"/>
      <c r="AI189" s="45">
        <v>4915974</v>
      </c>
      <c r="AJ189" s="45"/>
      <c r="AK189" s="45">
        <v>0</v>
      </c>
      <c r="AL189" s="45"/>
      <c r="AM189" s="45">
        <f>+'Gen rev'!U189-'Gen exp'!AC189-AG189+'Gen rev'!W189+AI189+AK189-'Gen Bal'!S189-'Gen exp'!AE189</f>
        <v>0</v>
      </c>
      <c r="AN189" s="44"/>
      <c r="AO189" s="44"/>
      <c r="AP189" s="44"/>
      <c r="AQ189" s="44"/>
    </row>
    <row r="190" spans="1:45" s="49" customFormat="1" ht="12.75" customHeight="1">
      <c r="A190" s="28" t="s">
        <v>221</v>
      </c>
      <c r="C190" s="28" t="s">
        <v>27</v>
      </c>
      <c r="E190" s="45">
        <v>4504288</v>
      </c>
      <c r="F190" s="45"/>
      <c r="G190" s="45">
        <v>7370790</v>
      </c>
      <c r="H190" s="45"/>
      <c r="I190" s="45">
        <v>949327</v>
      </c>
      <c r="J190" s="45"/>
      <c r="K190" s="45">
        <v>0</v>
      </c>
      <c r="L190" s="45"/>
      <c r="M190" s="45">
        <v>614045</v>
      </c>
      <c r="N190" s="45"/>
      <c r="O190" s="45">
        <v>403320</v>
      </c>
      <c r="P190" s="45"/>
      <c r="Q190" s="45">
        <v>0</v>
      </c>
      <c r="R190" s="45"/>
      <c r="S190" s="45">
        <v>71892</v>
      </c>
      <c r="T190" s="45"/>
      <c r="U190" s="45">
        <v>0</v>
      </c>
      <c r="V190" s="45"/>
      <c r="W190" s="45">
        <v>0</v>
      </c>
      <c r="X190" s="45"/>
      <c r="Y190" s="45">
        <v>0</v>
      </c>
      <c r="Z190" s="44"/>
      <c r="AA190" s="45">
        <v>0</v>
      </c>
      <c r="AB190" s="44"/>
      <c r="AC190" s="45">
        <f t="shared" si="3"/>
        <v>13913662</v>
      </c>
      <c r="AD190" s="45"/>
      <c r="AE190" s="48">
        <v>0</v>
      </c>
      <c r="AF190" s="48"/>
      <c r="AG190" s="45">
        <v>5082260</v>
      </c>
      <c r="AH190" s="45"/>
      <c r="AI190" s="45">
        <v>8877892</v>
      </c>
      <c r="AJ190" s="45"/>
      <c r="AK190" s="45">
        <v>0</v>
      </c>
      <c r="AL190" s="45"/>
      <c r="AM190" s="45">
        <f>+'Gen rev'!U190-'Gen exp'!AC190-AG190+'Gen rev'!W190+AI190+AK190-'Gen Bal'!S190-'Gen exp'!AE190</f>
        <v>0</v>
      </c>
      <c r="AN190" s="44"/>
      <c r="AO190" s="44"/>
      <c r="AP190" s="44"/>
      <c r="AQ190" s="44"/>
    </row>
    <row r="191" spans="1:45" s="49" customFormat="1" ht="12.75" customHeight="1">
      <c r="A191" s="28" t="s">
        <v>222</v>
      </c>
      <c r="C191" s="28" t="s">
        <v>47</v>
      </c>
      <c r="E191" s="45">
        <v>988932</v>
      </c>
      <c r="F191" s="45"/>
      <c r="G191" s="45">
        <v>1832209</v>
      </c>
      <c r="H191" s="45"/>
      <c r="I191" s="45">
        <v>0</v>
      </c>
      <c r="J191" s="45"/>
      <c r="K191" s="45">
        <v>0</v>
      </c>
      <c r="L191" s="45"/>
      <c r="M191" s="45">
        <v>755399</v>
      </c>
      <c r="N191" s="45"/>
      <c r="O191" s="45">
        <v>15741</v>
      </c>
      <c r="P191" s="45"/>
      <c r="Q191" s="45">
        <v>254420</v>
      </c>
      <c r="R191" s="45"/>
      <c r="S191" s="45">
        <v>0</v>
      </c>
      <c r="T191" s="45"/>
      <c r="U191" s="45">
        <v>0</v>
      </c>
      <c r="V191" s="45"/>
      <c r="W191" s="45">
        <v>0</v>
      </c>
      <c r="X191" s="45"/>
      <c r="Y191" s="45">
        <v>0</v>
      </c>
      <c r="Z191" s="44"/>
      <c r="AA191" s="45">
        <v>0</v>
      </c>
      <c r="AB191" s="44"/>
      <c r="AC191" s="45">
        <f t="shared" si="3"/>
        <v>3846701</v>
      </c>
      <c r="AD191" s="45"/>
      <c r="AE191" s="48">
        <v>0</v>
      </c>
      <c r="AF191" s="48"/>
      <c r="AG191" s="45">
        <v>752311</v>
      </c>
      <c r="AH191" s="45"/>
      <c r="AI191" s="45">
        <v>1869255</v>
      </c>
      <c r="AJ191" s="45"/>
      <c r="AK191" s="45">
        <v>0</v>
      </c>
      <c r="AL191" s="45"/>
      <c r="AM191" s="45">
        <f>+'Gen rev'!U191-'Gen exp'!AC191-AG191+'Gen rev'!W191+AI191+AK191-'Gen Bal'!S191-'Gen exp'!AE191</f>
        <v>0</v>
      </c>
      <c r="AN191" s="44"/>
      <c r="AO191" s="44"/>
      <c r="AP191" s="44"/>
      <c r="AQ191" s="44"/>
    </row>
    <row r="192" spans="1:45" s="49" customFormat="1" ht="12.75" customHeight="1">
      <c r="A192" s="28" t="s">
        <v>223</v>
      </c>
      <c r="C192" s="28" t="s">
        <v>94</v>
      </c>
      <c r="E192" s="45">
        <v>948025</v>
      </c>
      <c r="F192" s="45"/>
      <c r="G192" s="45">
        <v>3076610</v>
      </c>
      <c r="H192" s="45"/>
      <c r="I192" s="45">
        <v>171085</v>
      </c>
      <c r="J192" s="45"/>
      <c r="K192" s="45">
        <v>0</v>
      </c>
      <c r="L192" s="45"/>
      <c r="M192" s="45">
        <v>8459</v>
      </c>
      <c r="N192" s="45"/>
      <c r="O192" s="45">
        <v>0</v>
      </c>
      <c r="P192" s="45"/>
      <c r="Q192" s="45">
        <v>0</v>
      </c>
      <c r="R192" s="45"/>
      <c r="S192" s="45">
        <v>0</v>
      </c>
      <c r="T192" s="45"/>
      <c r="U192" s="45">
        <v>0</v>
      </c>
      <c r="V192" s="45"/>
      <c r="W192" s="45">
        <v>0</v>
      </c>
      <c r="X192" s="45"/>
      <c r="Y192" s="45">
        <v>0</v>
      </c>
      <c r="Z192" s="44"/>
      <c r="AA192" s="45">
        <v>0</v>
      </c>
      <c r="AB192" s="44"/>
      <c r="AC192" s="45">
        <f t="shared" si="3"/>
        <v>4204179</v>
      </c>
      <c r="AD192" s="45"/>
      <c r="AE192" s="48">
        <v>0</v>
      </c>
      <c r="AF192" s="48"/>
      <c r="AG192" s="45">
        <v>0</v>
      </c>
      <c r="AH192" s="45"/>
      <c r="AI192" s="45">
        <v>1022812</v>
      </c>
      <c r="AJ192" s="45"/>
      <c r="AK192" s="45">
        <v>590</v>
      </c>
      <c r="AL192" s="45"/>
      <c r="AM192" s="45">
        <f>+'Gen rev'!U192-'Gen exp'!AC192-AG192+'Gen rev'!W192+AI192+AK192-'Gen Bal'!S192-'Gen exp'!AE192</f>
        <v>0</v>
      </c>
      <c r="AN192" s="44"/>
      <c r="AO192" s="44"/>
      <c r="AP192" s="44"/>
      <c r="AQ192" s="44"/>
    </row>
    <row r="193" spans="1:45" s="49" customFormat="1" ht="12.75" customHeight="1">
      <c r="A193" s="28" t="s">
        <v>76</v>
      </c>
      <c r="C193" s="28" t="s">
        <v>132</v>
      </c>
      <c r="E193" s="45">
        <v>4091878</v>
      </c>
      <c r="F193" s="45"/>
      <c r="G193" s="45">
        <v>9987419</v>
      </c>
      <c r="H193" s="45"/>
      <c r="I193" s="45">
        <v>2073450</v>
      </c>
      <c r="J193" s="45"/>
      <c r="K193" s="45">
        <v>317258</v>
      </c>
      <c r="L193" s="45"/>
      <c r="M193" s="45">
        <v>1142</v>
      </c>
      <c r="N193" s="45"/>
      <c r="O193" s="45">
        <v>0</v>
      </c>
      <c r="P193" s="45"/>
      <c r="Q193" s="45">
        <v>0</v>
      </c>
      <c r="R193" s="45"/>
      <c r="S193" s="45">
        <v>0</v>
      </c>
      <c r="T193" s="45"/>
      <c r="U193" s="45">
        <v>0</v>
      </c>
      <c r="V193" s="45"/>
      <c r="W193" s="45">
        <v>0</v>
      </c>
      <c r="X193" s="45"/>
      <c r="Y193" s="45">
        <v>0</v>
      </c>
      <c r="Z193" s="44"/>
      <c r="AA193" s="45">
        <v>0</v>
      </c>
      <c r="AB193" s="44"/>
      <c r="AC193" s="45">
        <f t="shared" si="3"/>
        <v>16471147</v>
      </c>
      <c r="AD193" s="45"/>
      <c r="AE193" s="48">
        <v>0</v>
      </c>
      <c r="AF193" s="48"/>
      <c r="AG193" s="45">
        <v>540213</v>
      </c>
      <c r="AH193" s="45"/>
      <c r="AI193" s="45">
        <v>3573480</v>
      </c>
      <c r="AJ193" s="45"/>
      <c r="AK193" s="45">
        <v>0</v>
      </c>
      <c r="AL193" s="45"/>
      <c r="AM193" s="45">
        <f>+'Gen rev'!U193-'Gen exp'!AC193-AG193+'Gen rev'!W193+AI193+AK193-'Gen Bal'!S193-'Gen exp'!AE193</f>
        <v>0</v>
      </c>
      <c r="AN193" s="44"/>
      <c r="AO193" s="44"/>
      <c r="AP193" s="44"/>
      <c r="AQ193" s="44"/>
    </row>
    <row r="194" spans="1:45" s="49" customFormat="1" ht="12.75" customHeight="1">
      <c r="A194" s="28" t="s">
        <v>224</v>
      </c>
      <c r="C194" s="28" t="s">
        <v>27</v>
      </c>
      <c r="E194" s="45">
        <v>2200272</v>
      </c>
      <c r="F194" s="45"/>
      <c r="G194" s="45">
        <v>2887429</v>
      </c>
      <c r="H194" s="45"/>
      <c r="I194" s="45">
        <v>520636</v>
      </c>
      <c r="J194" s="45"/>
      <c r="K194" s="45">
        <v>43488</v>
      </c>
      <c r="L194" s="45"/>
      <c r="M194" s="45">
        <v>1208082</v>
      </c>
      <c r="N194" s="45"/>
      <c r="O194" s="45">
        <v>185355</v>
      </c>
      <c r="P194" s="45"/>
      <c r="Q194" s="45">
        <v>0</v>
      </c>
      <c r="R194" s="45"/>
      <c r="S194" s="45">
        <v>39314</v>
      </c>
      <c r="T194" s="45"/>
      <c r="U194" s="45">
        <v>0</v>
      </c>
      <c r="V194" s="45"/>
      <c r="W194" s="45">
        <v>0</v>
      </c>
      <c r="X194" s="45"/>
      <c r="Y194" s="45">
        <v>0</v>
      </c>
      <c r="Z194" s="44"/>
      <c r="AA194" s="45">
        <v>0</v>
      </c>
      <c r="AB194" s="44"/>
      <c r="AC194" s="45">
        <f t="shared" si="3"/>
        <v>7084576</v>
      </c>
      <c r="AD194" s="45"/>
      <c r="AE194" s="48">
        <v>0</v>
      </c>
      <c r="AF194" s="48"/>
      <c r="AG194" s="45">
        <v>1034656</v>
      </c>
      <c r="AH194" s="45"/>
      <c r="AI194" s="45">
        <v>6657484</v>
      </c>
      <c r="AJ194" s="45"/>
      <c r="AK194" s="45">
        <v>0</v>
      </c>
      <c r="AL194" s="45"/>
      <c r="AM194" s="45">
        <f>+'Gen rev'!U194-'Gen exp'!AC194-AG194+'Gen rev'!W194+AI194+AK194-'Gen Bal'!S194-'Gen exp'!AE194</f>
        <v>0</v>
      </c>
      <c r="AN194" s="44"/>
      <c r="AO194" s="44"/>
      <c r="AP194" s="44"/>
      <c r="AQ194" s="44"/>
    </row>
    <row r="195" spans="1:45" s="49" customFormat="1" ht="12.75" customHeight="1">
      <c r="A195" s="28" t="s">
        <v>225</v>
      </c>
      <c r="C195" s="28" t="s">
        <v>27</v>
      </c>
      <c r="E195" s="45">
        <f>3929494+2116638</f>
        <v>6046132</v>
      </c>
      <c r="F195" s="45"/>
      <c r="G195" s="45">
        <f>9878531+6717714+103064</f>
        <v>16699309</v>
      </c>
      <c r="H195" s="45"/>
      <c r="I195" s="45">
        <v>3805141</v>
      </c>
      <c r="J195" s="45"/>
      <c r="K195" s="45">
        <v>522796</v>
      </c>
      <c r="L195" s="45"/>
      <c r="M195" s="45">
        <v>900401</v>
      </c>
      <c r="N195" s="45"/>
      <c r="O195" s="45">
        <f>2916521+927222</f>
        <v>3843743</v>
      </c>
      <c r="P195" s="45"/>
      <c r="Q195" s="45">
        <f>3032231+2570757</f>
        <v>5602988</v>
      </c>
      <c r="R195" s="45"/>
      <c r="S195" s="45">
        <v>0</v>
      </c>
      <c r="T195" s="45"/>
      <c r="U195" s="45">
        <v>0</v>
      </c>
      <c r="V195" s="45"/>
      <c r="W195" s="45">
        <v>0</v>
      </c>
      <c r="X195" s="45"/>
      <c r="Y195" s="45">
        <v>0</v>
      </c>
      <c r="Z195" s="44"/>
      <c r="AA195" s="45">
        <v>0</v>
      </c>
      <c r="AB195" s="44"/>
      <c r="AC195" s="45">
        <f t="shared" si="3"/>
        <v>37420510</v>
      </c>
      <c r="AD195" s="45"/>
      <c r="AE195" s="48">
        <v>0</v>
      </c>
      <c r="AF195" s="48"/>
      <c r="AG195" s="45">
        <v>1839306</v>
      </c>
      <c r="AH195" s="45"/>
      <c r="AI195" s="45">
        <v>11445692</v>
      </c>
      <c r="AJ195" s="45"/>
      <c r="AK195" s="45">
        <v>0</v>
      </c>
      <c r="AL195" s="45"/>
      <c r="AM195" s="45">
        <f>+'Gen rev'!U195-'Gen exp'!AC195-AG195+'Gen rev'!W195+AI195+AK195-'Gen Bal'!S195-'Gen exp'!AE195</f>
        <v>0</v>
      </c>
      <c r="AN195" s="44"/>
      <c r="AO195" s="44"/>
      <c r="AP195" s="44"/>
      <c r="AQ195" s="44"/>
    </row>
    <row r="196" spans="1:45" s="49" customFormat="1" ht="12.75" customHeight="1">
      <c r="A196" s="28" t="s">
        <v>226</v>
      </c>
      <c r="C196" s="28" t="s">
        <v>45</v>
      </c>
      <c r="E196" s="45">
        <v>3136401</v>
      </c>
      <c r="F196" s="45"/>
      <c r="G196" s="45">
        <v>5497182</v>
      </c>
      <c r="H196" s="45"/>
      <c r="I196" s="45">
        <v>497291</v>
      </c>
      <c r="J196" s="45"/>
      <c r="K196" s="45">
        <v>3885</v>
      </c>
      <c r="L196" s="45"/>
      <c r="M196" s="45">
        <v>0</v>
      </c>
      <c r="N196" s="45"/>
      <c r="O196" s="45">
        <v>2805182</v>
      </c>
      <c r="P196" s="45"/>
      <c r="Q196" s="45">
        <v>541779</v>
      </c>
      <c r="R196" s="45"/>
      <c r="S196" s="45">
        <v>0</v>
      </c>
      <c r="T196" s="45"/>
      <c r="U196" s="45">
        <v>0</v>
      </c>
      <c r="V196" s="45"/>
      <c r="W196" s="45">
        <v>0</v>
      </c>
      <c r="X196" s="45"/>
      <c r="Y196" s="45">
        <v>0</v>
      </c>
      <c r="Z196" s="44"/>
      <c r="AA196" s="45">
        <v>0</v>
      </c>
      <c r="AB196" s="44"/>
      <c r="AC196" s="45">
        <f t="shared" si="3"/>
        <v>12481720</v>
      </c>
      <c r="AD196" s="45"/>
      <c r="AE196" s="48">
        <v>0</v>
      </c>
      <c r="AF196" s="48"/>
      <c r="AG196" s="45">
        <v>3328983</v>
      </c>
      <c r="AH196" s="45"/>
      <c r="AI196" s="45">
        <v>5256240</v>
      </c>
      <c r="AJ196" s="45"/>
      <c r="AK196" s="45">
        <v>0</v>
      </c>
      <c r="AL196" s="45"/>
      <c r="AM196" s="45">
        <f>+'Gen rev'!U196-'Gen exp'!AC196-AG196+'Gen rev'!W196+AI196+AK196-'Gen Bal'!S196-'Gen exp'!AE196</f>
        <v>0</v>
      </c>
      <c r="AN196" s="44"/>
      <c r="AO196" s="44"/>
      <c r="AP196" s="44"/>
      <c r="AQ196" s="44"/>
    </row>
    <row r="197" spans="1:45" s="49" customFormat="1" ht="12.75" customHeight="1">
      <c r="A197" s="28"/>
      <c r="C197" s="28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4"/>
      <c r="AA197" s="45"/>
      <c r="AB197" s="44"/>
      <c r="AC197" s="45"/>
      <c r="AD197" s="45"/>
      <c r="AE197" s="48"/>
      <c r="AF197" s="48"/>
      <c r="AG197" s="48" t="s">
        <v>485</v>
      </c>
      <c r="AH197" s="45"/>
      <c r="AI197" s="45"/>
      <c r="AJ197" s="45"/>
      <c r="AK197" s="45"/>
      <c r="AL197" s="45"/>
      <c r="AM197" s="45"/>
      <c r="AN197" s="44"/>
      <c r="AO197" s="44"/>
      <c r="AP197" s="44"/>
      <c r="AQ197" s="44"/>
    </row>
    <row r="198" spans="1:45" s="46" customFormat="1" ht="12.75" customHeight="1">
      <c r="A198" s="64" t="s">
        <v>227</v>
      </c>
      <c r="C198" s="64" t="s">
        <v>17</v>
      </c>
      <c r="E198" s="94">
        <v>746288</v>
      </c>
      <c r="F198" s="94"/>
      <c r="G198" s="94">
        <v>1905579</v>
      </c>
      <c r="H198" s="94"/>
      <c r="I198" s="94">
        <v>201029</v>
      </c>
      <c r="J198" s="94"/>
      <c r="K198" s="94">
        <v>32453</v>
      </c>
      <c r="L198" s="94"/>
      <c r="M198" s="94">
        <v>0</v>
      </c>
      <c r="N198" s="94"/>
      <c r="O198" s="94">
        <v>61072</v>
      </c>
      <c r="P198" s="94"/>
      <c r="Q198" s="94">
        <v>0</v>
      </c>
      <c r="R198" s="94"/>
      <c r="S198" s="94">
        <v>1500</v>
      </c>
      <c r="T198" s="94"/>
      <c r="U198" s="94">
        <v>0</v>
      </c>
      <c r="V198" s="94"/>
      <c r="W198" s="94">
        <v>37608</v>
      </c>
      <c r="X198" s="94"/>
      <c r="Y198" s="94">
        <v>13974</v>
      </c>
      <c r="AA198" s="94">
        <v>0</v>
      </c>
      <c r="AC198" s="94">
        <f t="shared" si="3"/>
        <v>2999503</v>
      </c>
      <c r="AD198" s="94"/>
      <c r="AE198" s="68">
        <v>0</v>
      </c>
      <c r="AF198" s="68"/>
      <c r="AG198" s="94">
        <v>26379</v>
      </c>
      <c r="AH198" s="94"/>
      <c r="AI198" s="94">
        <v>149766</v>
      </c>
      <c r="AJ198" s="94"/>
      <c r="AK198" s="94">
        <v>0</v>
      </c>
      <c r="AL198" s="94"/>
      <c r="AM198" s="94">
        <f>+'Gen rev'!U198-'Gen exp'!AC198-AG198+'Gen rev'!W198+AI198+AK198-'Gen Bal'!S198-'Gen exp'!AE198</f>
        <v>0</v>
      </c>
    </row>
    <row r="199" spans="1:45" s="49" customFormat="1" ht="12.75" customHeight="1">
      <c r="A199" s="28" t="s">
        <v>228</v>
      </c>
      <c r="C199" s="28" t="s">
        <v>153</v>
      </c>
      <c r="E199" s="45">
        <v>1057817</v>
      </c>
      <c r="F199" s="45"/>
      <c r="G199" s="45">
        <v>2457031</v>
      </c>
      <c r="H199" s="45"/>
      <c r="I199" s="45">
        <v>0</v>
      </c>
      <c r="J199" s="45"/>
      <c r="K199" s="45">
        <v>0</v>
      </c>
      <c r="L199" s="45"/>
      <c r="M199" s="45">
        <v>32580</v>
      </c>
      <c r="N199" s="45"/>
      <c r="O199" s="45">
        <v>0</v>
      </c>
      <c r="P199" s="45"/>
      <c r="Q199" s="45">
        <v>0</v>
      </c>
      <c r="R199" s="45"/>
      <c r="S199" s="45">
        <v>0</v>
      </c>
      <c r="T199" s="45"/>
      <c r="U199" s="45">
        <v>0</v>
      </c>
      <c r="V199" s="45"/>
      <c r="W199" s="45">
        <v>0</v>
      </c>
      <c r="X199" s="45"/>
      <c r="Y199" s="45">
        <v>0</v>
      </c>
      <c r="Z199" s="44"/>
      <c r="AA199" s="45">
        <v>0</v>
      </c>
      <c r="AB199" s="44"/>
      <c r="AC199" s="45">
        <f t="shared" si="3"/>
        <v>3547428</v>
      </c>
      <c r="AD199" s="45"/>
      <c r="AE199" s="48">
        <v>-39058</v>
      </c>
      <c r="AF199" s="48"/>
      <c r="AG199" s="45">
        <v>331925</v>
      </c>
      <c r="AH199" s="45"/>
      <c r="AI199" s="45">
        <v>854719</v>
      </c>
      <c r="AJ199" s="45"/>
      <c r="AK199" s="45">
        <v>0</v>
      </c>
      <c r="AL199" s="45"/>
      <c r="AM199" s="45">
        <f>+'Gen rev'!U199-'Gen exp'!AC199-AG199+'Gen rev'!W199+AI199+AK199-'Gen Bal'!S199-'Gen exp'!AE199</f>
        <v>0</v>
      </c>
      <c r="AN199" s="45"/>
      <c r="AO199" s="45"/>
      <c r="AP199" s="45"/>
      <c r="AQ199" s="45"/>
      <c r="AR199" s="52"/>
      <c r="AS199" s="50"/>
    </row>
    <row r="200" spans="1:45" s="49" customFormat="1" ht="12.75" customHeight="1">
      <c r="A200" s="28" t="s">
        <v>229</v>
      </c>
      <c r="C200" s="28" t="s">
        <v>228</v>
      </c>
      <c r="E200" s="45">
        <v>1398540</v>
      </c>
      <c r="F200" s="45"/>
      <c r="G200" s="45">
        <v>10888927</v>
      </c>
      <c r="H200" s="45"/>
      <c r="I200" s="45">
        <v>1101616</v>
      </c>
      <c r="J200" s="45"/>
      <c r="K200" s="45">
        <v>0</v>
      </c>
      <c r="L200" s="45"/>
      <c r="M200" s="45">
        <v>0</v>
      </c>
      <c r="N200" s="45"/>
      <c r="O200" s="45">
        <v>1366273</v>
      </c>
      <c r="P200" s="45"/>
      <c r="Q200" s="45">
        <v>0</v>
      </c>
      <c r="R200" s="45"/>
      <c r="S200" s="45">
        <v>21836</v>
      </c>
      <c r="T200" s="45"/>
      <c r="U200" s="45">
        <v>0</v>
      </c>
      <c r="V200" s="45"/>
      <c r="W200" s="45">
        <v>0</v>
      </c>
      <c r="X200" s="45"/>
      <c r="Y200" s="45">
        <v>0</v>
      </c>
      <c r="Z200" s="44"/>
      <c r="AA200" s="45">
        <v>0</v>
      </c>
      <c r="AB200" s="44"/>
      <c r="AC200" s="45">
        <f t="shared" si="3"/>
        <v>14777192</v>
      </c>
      <c r="AD200" s="45"/>
      <c r="AE200" s="48">
        <v>0</v>
      </c>
      <c r="AF200" s="48"/>
      <c r="AG200" s="45">
        <v>0</v>
      </c>
      <c r="AH200" s="45"/>
      <c r="AI200" s="45">
        <v>5097216</v>
      </c>
      <c r="AJ200" s="45"/>
      <c r="AK200" s="45">
        <v>0</v>
      </c>
      <c r="AL200" s="45"/>
      <c r="AM200" s="45">
        <f>+'Gen rev'!U200-'Gen exp'!AC200-AG200+'Gen rev'!W200+AI200+AK200-'Gen Bal'!S200-'Gen exp'!AE200</f>
        <v>0</v>
      </c>
      <c r="AN200" s="45"/>
      <c r="AO200" s="45"/>
      <c r="AP200" s="45"/>
      <c r="AQ200" s="45"/>
      <c r="AR200" s="52"/>
      <c r="AS200" s="50"/>
    </row>
    <row r="201" spans="1:45" s="49" customFormat="1" ht="12.75" customHeight="1">
      <c r="A201" s="64" t="s">
        <v>230</v>
      </c>
      <c r="B201" s="46"/>
      <c r="C201" s="64" t="s">
        <v>45</v>
      </c>
      <c r="D201" s="46"/>
      <c r="E201" s="45">
        <v>711960</v>
      </c>
      <c r="F201" s="45"/>
      <c r="G201" s="45">
        <v>1300325</v>
      </c>
      <c r="H201" s="45"/>
      <c r="I201" s="45">
        <v>308009</v>
      </c>
      <c r="J201" s="45"/>
      <c r="K201" s="45">
        <v>4746</v>
      </c>
      <c r="L201" s="45"/>
      <c r="M201" s="45">
        <v>0</v>
      </c>
      <c r="N201" s="45"/>
      <c r="O201" s="45">
        <v>22085</v>
      </c>
      <c r="P201" s="45"/>
      <c r="Q201" s="45">
        <v>0</v>
      </c>
      <c r="R201" s="45"/>
      <c r="S201" s="45">
        <v>0</v>
      </c>
      <c r="T201" s="45"/>
      <c r="U201" s="45">
        <v>0</v>
      </c>
      <c r="V201" s="45"/>
      <c r="W201" s="45">
        <v>4272</v>
      </c>
      <c r="X201" s="45"/>
      <c r="Y201" s="45">
        <v>0</v>
      </c>
      <c r="Z201" s="44"/>
      <c r="AA201" s="45">
        <v>0</v>
      </c>
      <c r="AB201" s="44"/>
      <c r="AC201" s="45">
        <f t="shared" si="3"/>
        <v>2351397</v>
      </c>
      <c r="AD201" s="45"/>
      <c r="AE201" s="48">
        <v>0</v>
      </c>
      <c r="AF201" s="48"/>
      <c r="AG201" s="45">
        <v>825699</v>
      </c>
      <c r="AH201" s="45"/>
      <c r="AI201" s="45">
        <v>1242902</v>
      </c>
      <c r="AJ201" s="45"/>
      <c r="AK201" s="45">
        <v>0</v>
      </c>
      <c r="AL201" s="45"/>
      <c r="AM201" s="45">
        <f>+'Gen rev'!U201-'Gen exp'!AC201-AG201+'Gen rev'!W201+AI201+AK201-'Gen Bal'!S201-'Gen exp'!AE201</f>
        <v>0</v>
      </c>
      <c r="AN201" s="44"/>
      <c r="AO201" s="44"/>
      <c r="AP201" s="44"/>
      <c r="AQ201" s="44"/>
    </row>
    <row r="202" spans="1:45" s="49" customFormat="1" ht="12.75" customHeight="1">
      <c r="A202" s="28" t="s">
        <v>231</v>
      </c>
      <c r="C202" s="28" t="s">
        <v>27</v>
      </c>
      <c r="E202" s="45">
        <v>5443651</v>
      </c>
      <c r="F202" s="45"/>
      <c r="G202" s="45">
        <v>12928002</v>
      </c>
      <c r="H202" s="45"/>
      <c r="I202" s="45">
        <v>2228281</v>
      </c>
      <c r="J202" s="45"/>
      <c r="K202" s="45">
        <v>98755</v>
      </c>
      <c r="L202" s="45"/>
      <c r="M202" s="45">
        <v>4326404</v>
      </c>
      <c r="N202" s="45"/>
      <c r="O202" s="45">
        <v>33670</v>
      </c>
      <c r="P202" s="45"/>
      <c r="Q202" s="45">
        <v>1970238</v>
      </c>
      <c r="R202" s="45"/>
      <c r="S202" s="45">
        <v>0</v>
      </c>
      <c r="T202" s="45"/>
      <c r="U202" s="45">
        <v>0</v>
      </c>
      <c r="V202" s="45"/>
      <c r="W202" s="45">
        <v>0</v>
      </c>
      <c r="X202" s="45"/>
      <c r="Y202" s="45">
        <v>0</v>
      </c>
      <c r="Z202" s="44"/>
      <c r="AA202" s="45">
        <v>0</v>
      </c>
      <c r="AB202" s="44"/>
      <c r="AC202" s="45">
        <f t="shared" si="3"/>
        <v>27029001</v>
      </c>
      <c r="AD202" s="45"/>
      <c r="AE202" s="48">
        <v>0</v>
      </c>
      <c r="AF202" s="48"/>
      <c r="AG202" s="45">
        <v>10124908</v>
      </c>
      <c r="AH202" s="45"/>
      <c r="AI202" s="45">
        <v>28644773</v>
      </c>
      <c r="AJ202" s="45"/>
      <c r="AK202" s="45">
        <v>0</v>
      </c>
      <c r="AL202" s="45"/>
      <c r="AM202" s="45">
        <f>+'Gen rev'!U202-'Gen exp'!AC202-AG202+'Gen rev'!W202+AI202+AK202-'Gen Bal'!S202-'Gen exp'!AE202</f>
        <v>0</v>
      </c>
      <c r="AN202" s="44"/>
      <c r="AO202" s="44"/>
      <c r="AP202" s="44"/>
      <c r="AQ202" s="44"/>
    </row>
    <row r="203" spans="1:45" s="49" customFormat="1" ht="12.75" customHeight="1">
      <c r="A203" s="28" t="s">
        <v>232</v>
      </c>
      <c r="C203" s="28" t="s">
        <v>27</v>
      </c>
      <c r="E203" s="45">
        <v>2847633</v>
      </c>
      <c r="F203" s="45"/>
      <c r="G203" s="45">
        <v>8653989</v>
      </c>
      <c r="H203" s="45"/>
      <c r="I203" s="45">
        <v>236164</v>
      </c>
      <c r="J203" s="45"/>
      <c r="K203" s="45">
        <v>135702</v>
      </c>
      <c r="L203" s="45"/>
      <c r="M203" s="45">
        <v>1083019</v>
      </c>
      <c r="N203" s="45"/>
      <c r="O203" s="45">
        <v>400337</v>
      </c>
      <c r="P203" s="45"/>
      <c r="Q203" s="45">
        <v>0</v>
      </c>
      <c r="R203" s="45"/>
      <c r="S203" s="45">
        <v>0</v>
      </c>
      <c r="T203" s="45"/>
      <c r="U203" s="45">
        <v>0</v>
      </c>
      <c r="V203" s="45"/>
      <c r="W203" s="45">
        <v>5971</v>
      </c>
      <c r="X203" s="45"/>
      <c r="Y203" s="45">
        <v>13579</v>
      </c>
      <c r="Z203" s="44"/>
      <c r="AA203" s="45">
        <v>1984371</v>
      </c>
      <c r="AB203" s="44"/>
      <c r="AC203" s="45">
        <f t="shared" si="3"/>
        <v>15360765</v>
      </c>
      <c r="AD203" s="45"/>
      <c r="AE203" s="48">
        <v>0</v>
      </c>
      <c r="AF203" s="48"/>
      <c r="AG203" s="45">
        <v>1618079</v>
      </c>
      <c r="AH203" s="45"/>
      <c r="AI203" s="45">
        <v>4056774</v>
      </c>
      <c r="AJ203" s="45"/>
      <c r="AK203" s="45">
        <v>0</v>
      </c>
      <c r="AL203" s="45"/>
      <c r="AM203" s="45">
        <f>+'Gen rev'!U203-'Gen exp'!AC203-AG203+'Gen rev'!W203+AI203+AK203-'Gen Bal'!S203-'Gen exp'!AE203</f>
        <v>0</v>
      </c>
      <c r="AN203" s="45"/>
      <c r="AO203" s="45"/>
      <c r="AP203" s="45"/>
      <c r="AQ203" s="45"/>
      <c r="AR203" s="52"/>
      <c r="AS203" s="50"/>
    </row>
    <row r="204" spans="1:45" s="49" customFormat="1" ht="12.75" customHeight="1">
      <c r="A204" s="28" t="s">
        <v>233</v>
      </c>
      <c r="C204" s="28" t="s">
        <v>111</v>
      </c>
      <c r="E204" s="45">
        <v>3748615</v>
      </c>
      <c r="F204" s="45"/>
      <c r="G204" s="45">
        <v>2562619</v>
      </c>
      <c r="H204" s="45"/>
      <c r="I204" s="45">
        <v>725553</v>
      </c>
      <c r="J204" s="45"/>
      <c r="K204" s="45">
        <v>11518</v>
      </c>
      <c r="L204" s="45"/>
      <c r="M204" s="45">
        <v>0</v>
      </c>
      <c r="N204" s="45"/>
      <c r="O204" s="45">
        <v>418201</v>
      </c>
      <c r="P204" s="45"/>
      <c r="Q204" s="45">
        <v>0</v>
      </c>
      <c r="R204" s="45"/>
      <c r="S204" s="45">
        <v>0</v>
      </c>
      <c r="T204" s="45"/>
      <c r="U204" s="45">
        <v>0</v>
      </c>
      <c r="V204" s="45"/>
      <c r="W204" s="45">
        <v>8032</v>
      </c>
      <c r="X204" s="45"/>
      <c r="Y204" s="45">
        <v>812</v>
      </c>
      <c r="Z204" s="44"/>
      <c r="AA204" s="45">
        <v>0</v>
      </c>
      <c r="AB204" s="44"/>
      <c r="AC204" s="45">
        <f t="shared" si="3"/>
        <v>7475350</v>
      </c>
      <c r="AD204" s="45"/>
      <c r="AE204" s="48">
        <v>0</v>
      </c>
      <c r="AF204" s="48"/>
      <c r="AG204" s="45">
        <v>1748392</v>
      </c>
      <c r="AH204" s="45"/>
      <c r="AI204" s="45">
        <v>4902925</v>
      </c>
      <c r="AJ204" s="45"/>
      <c r="AK204" s="45">
        <v>-1140</v>
      </c>
      <c r="AL204" s="45"/>
      <c r="AM204" s="45">
        <f>+'Gen rev'!U204-'Gen exp'!AC204-AG204+'Gen rev'!W204+AI204+AK204-'Gen Bal'!S204-'Gen exp'!AE204</f>
        <v>0</v>
      </c>
      <c r="AN204" s="35"/>
      <c r="AO204" s="35"/>
      <c r="AP204" s="35"/>
      <c r="AQ204" s="35"/>
      <c r="AR204" s="50"/>
      <c r="AS204" s="50"/>
    </row>
    <row r="205" spans="1:45" s="49" customFormat="1" ht="12.75" customHeight="1">
      <c r="A205" s="28" t="s">
        <v>234</v>
      </c>
      <c r="C205" s="28" t="s">
        <v>45</v>
      </c>
      <c r="E205" s="45">
        <v>4519732</v>
      </c>
      <c r="F205" s="45"/>
      <c r="G205" s="45">
        <v>7569005</v>
      </c>
      <c r="H205" s="45"/>
      <c r="I205" s="45">
        <v>594500</v>
      </c>
      <c r="J205" s="45"/>
      <c r="K205" s="45">
        <v>281673</v>
      </c>
      <c r="L205" s="45"/>
      <c r="M205" s="45">
        <v>1044370</v>
      </c>
      <c r="N205" s="45"/>
      <c r="O205" s="45">
        <v>1717300</v>
      </c>
      <c r="P205" s="45"/>
      <c r="Q205" s="45">
        <v>0</v>
      </c>
      <c r="R205" s="45"/>
      <c r="S205" s="45">
        <v>419763</v>
      </c>
      <c r="T205" s="45"/>
      <c r="U205" s="45">
        <v>0</v>
      </c>
      <c r="V205" s="45"/>
      <c r="W205" s="45">
        <v>21757</v>
      </c>
      <c r="X205" s="45"/>
      <c r="Y205" s="45">
        <v>2712</v>
      </c>
      <c r="Z205" s="44"/>
      <c r="AA205" s="45">
        <v>0</v>
      </c>
      <c r="AB205" s="44"/>
      <c r="AC205" s="45">
        <f t="shared" si="3"/>
        <v>16170812</v>
      </c>
      <c r="AD205" s="45"/>
      <c r="AE205" s="48">
        <v>0</v>
      </c>
      <c r="AF205" s="48"/>
      <c r="AG205" s="45">
        <v>4110618</v>
      </c>
      <c r="AH205" s="45"/>
      <c r="AI205" s="45">
        <v>8104975</v>
      </c>
      <c r="AJ205" s="45"/>
      <c r="AK205" s="45">
        <v>0</v>
      </c>
      <c r="AL205" s="45"/>
      <c r="AM205" s="45">
        <f>+'Gen rev'!U205-'Gen exp'!AC205-AG205+'Gen rev'!W205+AI205+AK205-'Gen Bal'!S205-'Gen exp'!AE205</f>
        <v>0</v>
      </c>
      <c r="AN205" s="44"/>
      <c r="AO205" s="44"/>
      <c r="AP205" s="44"/>
      <c r="AQ205" s="44"/>
    </row>
    <row r="206" spans="1:45" s="49" customFormat="1" ht="12.75" customHeight="1">
      <c r="A206" s="28" t="s">
        <v>235</v>
      </c>
      <c r="C206" s="28" t="s">
        <v>183</v>
      </c>
      <c r="E206" s="45">
        <v>10524328</v>
      </c>
      <c r="F206" s="45"/>
      <c r="G206" s="45">
        <v>22995773</v>
      </c>
      <c r="H206" s="45"/>
      <c r="I206" s="45">
        <v>1059461</v>
      </c>
      <c r="J206" s="45"/>
      <c r="K206" s="45">
        <v>64482</v>
      </c>
      <c r="L206" s="45"/>
      <c r="M206" s="45">
        <v>255948</v>
      </c>
      <c r="N206" s="45"/>
      <c r="O206" s="45">
        <v>2090937</v>
      </c>
      <c r="P206" s="45"/>
      <c r="Q206" s="45">
        <v>0</v>
      </c>
      <c r="R206" s="45"/>
      <c r="S206" s="45">
        <v>38218</v>
      </c>
      <c r="T206" s="45"/>
      <c r="U206" s="45">
        <v>0</v>
      </c>
      <c r="V206" s="45"/>
      <c r="W206" s="45">
        <v>0</v>
      </c>
      <c r="X206" s="45"/>
      <c r="Y206" s="45">
        <v>0</v>
      </c>
      <c r="Z206" s="44"/>
      <c r="AA206" s="45">
        <v>0</v>
      </c>
      <c r="AB206" s="44"/>
      <c r="AC206" s="45">
        <f t="shared" si="3"/>
        <v>37029147</v>
      </c>
      <c r="AD206" s="45"/>
      <c r="AE206" s="48">
        <v>0</v>
      </c>
      <c r="AF206" s="48"/>
      <c r="AG206" s="45">
        <v>1009524</v>
      </c>
      <c r="AH206" s="45"/>
      <c r="AI206" s="45">
        <v>5502631</v>
      </c>
      <c r="AJ206" s="45"/>
      <c r="AK206" s="45">
        <v>0</v>
      </c>
      <c r="AL206" s="45"/>
      <c r="AM206" s="45">
        <f>+'Gen rev'!U206-'Gen exp'!AC206-AG206+'Gen rev'!W206+AI206+AK206-'Gen Bal'!S206-'Gen exp'!AE206</f>
        <v>0</v>
      </c>
      <c r="AN206" s="44"/>
      <c r="AO206" s="44"/>
      <c r="AP206" s="44"/>
      <c r="AQ206" s="44"/>
    </row>
    <row r="207" spans="1:45" s="49" customFormat="1" ht="12.75" customHeight="1">
      <c r="A207" s="64" t="s">
        <v>236</v>
      </c>
      <c r="B207" s="46"/>
      <c r="C207" s="64" t="s">
        <v>45</v>
      </c>
      <c r="D207" s="46"/>
      <c r="E207" s="45">
        <v>3846875</v>
      </c>
      <c r="F207" s="45"/>
      <c r="G207" s="45">
        <v>4664860</v>
      </c>
      <c r="H207" s="45"/>
      <c r="I207" s="45">
        <v>0</v>
      </c>
      <c r="J207" s="45"/>
      <c r="K207" s="45">
        <v>93939</v>
      </c>
      <c r="L207" s="45"/>
      <c r="M207" s="45">
        <v>50816</v>
      </c>
      <c r="N207" s="45"/>
      <c r="O207" s="45">
        <v>99858</v>
      </c>
      <c r="P207" s="45"/>
      <c r="Q207" s="45">
        <v>620</v>
      </c>
      <c r="R207" s="45"/>
      <c r="S207" s="45">
        <v>0</v>
      </c>
      <c r="T207" s="45"/>
      <c r="U207" s="45">
        <v>0</v>
      </c>
      <c r="V207" s="45"/>
      <c r="W207" s="45">
        <v>0</v>
      </c>
      <c r="X207" s="45"/>
      <c r="Y207" s="45">
        <v>0</v>
      </c>
      <c r="Z207" s="44"/>
      <c r="AA207" s="45">
        <v>1116301</v>
      </c>
      <c r="AB207" s="44"/>
      <c r="AC207" s="45">
        <f t="shared" si="3"/>
        <v>9873269</v>
      </c>
      <c r="AD207" s="45"/>
      <c r="AE207" s="48">
        <v>0</v>
      </c>
      <c r="AF207" s="48"/>
      <c r="AG207" s="45">
        <v>1227181</v>
      </c>
      <c r="AH207" s="45"/>
      <c r="AI207" s="45">
        <v>6375471</v>
      </c>
      <c r="AJ207" s="45"/>
      <c r="AK207" s="45">
        <v>15312</v>
      </c>
      <c r="AL207" s="45"/>
      <c r="AM207" s="45">
        <f>+'Gen rev'!U207-'Gen exp'!AC207-AG207+'Gen rev'!W207+AI207+AK207-'Gen Bal'!S207-'Gen exp'!AE207</f>
        <v>0</v>
      </c>
      <c r="AN207" s="45"/>
      <c r="AO207" s="45"/>
      <c r="AP207" s="45"/>
      <c r="AQ207" s="45"/>
      <c r="AR207" s="52"/>
      <c r="AS207" s="50"/>
    </row>
    <row r="208" spans="1:45" s="49" customFormat="1" ht="12.75" customHeight="1">
      <c r="A208" s="28" t="s">
        <v>237</v>
      </c>
      <c r="C208" s="28" t="s">
        <v>33</v>
      </c>
      <c r="E208" s="45">
        <v>315980</v>
      </c>
      <c r="F208" s="45"/>
      <c r="G208" s="45">
        <v>2556</v>
      </c>
      <c r="H208" s="45"/>
      <c r="I208" s="45">
        <v>0</v>
      </c>
      <c r="J208" s="45"/>
      <c r="K208" s="45">
        <v>33189</v>
      </c>
      <c r="L208" s="45"/>
      <c r="M208" s="45">
        <v>0</v>
      </c>
      <c r="N208" s="45"/>
      <c r="O208" s="45">
        <v>0</v>
      </c>
      <c r="P208" s="45"/>
      <c r="Q208" s="45">
        <v>0</v>
      </c>
      <c r="R208" s="45"/>
      <c r="S208" s="45">
        <v>0</v>
      </c>
      <c r="T208" s="45"/>
      <c r="U208" s="45">
        <v>0</v>
      </c>
      <c r="V208" s="45"/>
      <c r="W208" s="45">
        <v>2705</v>
      </c>
      <c r="X208" s="45"/>
      <c r="Y208" s="45">
        <v>309</v>
      </c>
      <c r="Z208" s="44"/>
      <c r="AA208" s="45">
        <v>0</v>
      </c>
      <c r="AB208" s="44"/>
      <c r="AC208" s="45">
        <f t="shared" si="3"/>
        <v>354739</v>
      </c>
      <c r="AD208" s="45"/>
      <c r="AE208" s="48">
        <v>0</v>
      </c>
      <c r="AF208" s="48"/>
      <c r="AG208" s="45">
        <v>1077550</v>
      </c>
      <c r="AH208" s="45"/>
      <c r="AI208" s="45">
        <v>571438</v>
      </c>
      <c r="AJ208" s="45"/>
      <c r="AK208" s="45">
        <v>0</v>
      </c>
      <c r="AL208" s="45"/>
      <c r="AM208" s="45">
        <f>+'Gen rev'!U208-'Gen exp'!AC208-AG208+'Gen rev'!W208+AI208+AK208-'Gen Bal'!S208-'Gen exp'!AE208</f>
        <v>0</v>
      </c>
      <c r="AN208" s="45"/>
      <c r="AO208" s="45"/>
      <c r="AP208" s="45"/>
      <c r="AQ208" s="45"/>
      <c r="AR208" s="52"/>
      <c r="AS208" s="50"/>
    </row>
    <row r="209" spans="1:45" s="49" customFormat="1" ht="12.75" customHeight="1">
      <c r="A209" s="28" t="s">
        <v>238</v>
      </c>
      <c r="C209" s="28" t="s">
        <v>239</v>
      </c>
      <c r="E209" s="45">
        <v>1120922</v>
      </c>
      <c r="F209" s="45"/>
      <c r="G209" s="45">
        <v>2334548</v>
      </c>
      <c r="H209" s="45"/>
      <c r="I209" s="45">
        <v>27556</v>
      </c>
      <c r="J209" s="45"/>
      <c r="K209" s="45">
        <v>2206</v>
      </c>
      <c r="L209" s="45"/>
      <c r="M209" s="45">
        <v>0</v>
      </c>
      <c r="N209" s="45"/>
      <c r="O209" s="45">
        <v>203021</v>
      </c>
      <c r="P209" s="45"/>
      <c r="Q209" s="45">
        <v>0</v>
      </c>
      <c r="R209" s="45"/>
      <c r="S209" s="45">
        <v>0</v>
      </c>
      <c r="T209" s="45"/>
      <c r="U209" s="45">
        <v>0</v>
      </c>
      <c r="V209" s="45"/>
      <c r="W209" s="45">
        <v>0</v>
      </c>
      <c r="X209" s="45"/>
      <c r="Y209" s="45">
        <v>0</v>
      </c>
      <c r="Z209" s="44"/>
      <c r="AA209" s="45">
        <v>0</v>
      </c>
      <c r="AB209" s="44"/>
      <c r="AC209" s="45">
        <f t="shared" si="3"/>
        <v>3688253</v>
      </c>
      <c r="AD209" s="45"/>
      <c r="AE209" s="48">
        <v>0</v>
      </c>
      <c r="AF209" s="48"/>
      <c r="AG209" s="45">
        <v>1361188</v>
      </c>
      <c r="AH209" s="45"/>
      <c r="AI209" s="45">
        <v>4607859</v>
      </c>
      <c r="AJ209" s="45"/>
      <c r="AK209" s="45">
        <v>12748</v>
      </c>
      <c r="AL209" s="45"/>
      <c r="AM209" s="45">
        <f>+'Gen rev'!U209-'Gen exp'!AC209-AG209+'Gen rev'!W209+AI209+AK209-'Gen Bal'!S209-'Gen exp'!AE209</f>
        <v>0</v>
      </c>
      <c r="AN209" s="45"/>
      <c r="AO209" s="45"/>
      <c r="AP209" s="45"/>
      <c r="AQ209" s="45"/>
      <c r="AR209" s="52"/>
      <c r="AS209" s="50"/>
    </row>
    <row r="210" spans="1:45" s="49" customFormat="1" ht="12.75" customHeight="1">
      <c r="A210" s="28" t="s">
        <v>487</v>
      </c>
      <c r="C210" s="28" t="s">
        <v>249</v>
      </c>
      <c r="E210" s="45">
        <v>2970717</v>
      </c>
      <c r="F210" s="45"/>
      <c r="G210" s="45">
        <v>7714091</v>
      </c>
      <c r="H210" s="45"/>
      <c r="I210" s="45">
        <v>62828</v>
      </c>
      <c r="J210" s="45"/>
      <c r="K210" s="45">
        <v>490409</v>
      </c>
      <c r="L210" s="45"/>
      <c r="M210" s="45">
        <v>1091139</v>
      </c>
      <c r="N210" s="45"/>
      <c r="O210" s="45">
        <v>781700</v>
      </c>
      <c r="P210" s="45"/>
      <c r="Q210" s="45">
        <v>0</v>
      </c>
      <c r="R210" s="45"/>
      <c r="S210" s="45">
        <v>24406</v>
      </c>
      <c r="T210" s="45"/>
      <c r="U210" s="45">
        <v>0</v>
      </c>
      <c r="V210" s="45"/>
      <c r="W210" s="45">
        <v>64398</v>
      </c>
      <c r="X210" s="45"/>
      <c r="Y210" s="45">
        <v>45885</v>
      </c>
      <c r="Z210" s="44"/>
      <c r="AA210" s="45">
        <v>0</v>
      </c>
      <c r="AB210" s="44"/>
      <c r="AC210" s="45">
        <f>SUM(E210:AA210)</f>
        <v>13245573</v>
      </c>
      <c r="AD210" s="45"/>
      <c r="AE210" s="48">
        <v>0</v>
      </c>
      <c r="AF210" s="48"/>
      <c r="AG210" s="45">
        <v>0</v>
      </c>
      <c r="AH210" s="45"/>
      <c r="AI210" s="45">
        <v>934784</v>
      </c>
      <c r="AJ210" s="45"/>
      <c r="AK210" s="45">
        <v>0</v>
      </c>
      <c r="AL210" s="45"/>
      <c r="AM210" s="45">
        <f>+'Gen rev'!U210-'Gen exp'!AC210-AG210+'Gen rev'!W210+AI210+AK210-'Gen Bal'!S210-'Gen exp'!AE210</f>
        <v>0</v>
      </c>
      <c r="AN210" s="44"/>
      <c r="AO210" s="44"/>
      <c r="AP210" s="44"/>
      <c r="AQ210" s="44"/>
    </row>
    <row r="211" spans="1:45" s="49" customFormat="1" ht="12.75" customHeight="1">
      <c r="A211" s="28" t="s">
        <v>240</v>
      </c>
      <c r="C211" s="28" t="s">
        <v>13</v>
      </c>
      <c r="E211" s="45">
        <v>5670208</v>
      </c>
      <c r="F211" s="45"/>
      <c r="G211" s="45">
        <v>8767159</v>
      </c>
      <c r="H211" s="45"/>
      <c r="I211" s="45">
        <v>1291855</v>
      </c>
      <c r="J211" s="45"/>
      <c r="K211" s="45">
        <v>384148</v>
      </c>
      <c r="L211" s="45"/>
      <c r="M211" s="45">
        <v>530993</v>
      </c>
      <c r="N211" s="45"/>
      <c r="O211" s="45">
        <v>1816525</v>
      </c>
      <c r="P211" s="45"/>
      <c r="Q211" s="45">
        <v>0</v>
      </c>
      <c r="R211" s="45"/>
      <c r="S211" s="45">
        <v>300000</v>
      </c>
      <c r="T211" s="45"/>
      <c r="U211" s="45">
        <v>0</v>
      </c>
      <c r="V211" s="45"/>
      <c r="W211" s="45">
        <v>0</v>
      </c>
      <c r="X211" s="45"/>
      <c r="Y211" s="45">
        <v>0</v>
      </c>
      <c r="Z211" s="44"/>
      <c r="AA211" s="45">
        <v>0</v>
      </c>
      <c r="AB211" s="44"/>
      <c r="AC211" s="45">
        <f t="shared" si="3"/>
        <v>18760888</v>
      </c>
      <c r="AD211" s="45"/>
      <c r="AE211" s="48">
        <v>0</v>
      </c>
      <c r="AF211" s="48"/>
      <c r="AG211" s="45">
        <v>691852</v>
      </c>
      <c r="AH211" s="45"/>
      <c r="AI211" s="45">
        <v>6278829</v>
      </c>
      <c r="AJ211" s="45"/>
      <c r="AK211" s="45">
        <v>0</v>
      </c>
      <c r="AL211" s="45"/>
      <c r="AM211" s="45">
        <f>+'Gen rev'!U211-'Gen exp'!AC211-AG211+'Gen rev'!W211+AI211+AK211-'Gen Bal'!S211-'Gen exp'!AE211</f>
        <v>0</v>
      </c>
      <c r="AN211" s="44"/>
      <c r="AO211" s="44"/>
      <c r="AP211" s="44"/>
      <c r="AQ211" s="44"/>
    </row>
    <row r="212" spans="1:45" s="146" customFormat="1" ht="12.75" hidden="1" customHeight="1">
      <c r="A212" s="147" t="s">
        <v>241</v>
      </c>
      <c r="C212" s="147" t="s">
        <v>22</v>
      </c>
      <c r="E212" s="143">
        <v>0</v>
      </c>
      <c r="F212" s="143"/>
      <c r="G212" s="143">
        <v>0</v>
      </c>
      <c r="H212" s="143"/>
      <c r="I212" s="143">
        <v>0</v>
      </c>
      <c r="J212" s="143"/>
      <c r="K212" s="143">
        <v>0</v>
      </c>
      <c r="L212" s="143"/>
      <c r="M212" s="143">
        <v>0</v>
      </c>
      <c r="N212" s="143"/>
      <c r="O212" s="143">
        <v>0</v>
      </c>
      <c r="P212" s="143"/>
      <c r="Q212" s="143">
        <v>0</v>
      </c>
      <c r="R212" s="143"/>
      <c r="S212" s="143">
        <v>0</v>
      </c>
      <c r="T212" s="143"/>
      <c r="U212" s="143">
        <v>0</v>
      </c>
      <c r="V212" s="143"/>
      <c r="W212" s="143">
        <v>0</v>
      </c>
      <c r="X212" s="143"/>
      <c r="Y212" s="143">
        <v>0</v>
      </c>
      <c r="Z212" s="137"/>
      <c r="AA212" s="143">
        <v>0</v>
      </c>
      <c r="AB212" s="137"/>
      <c r="AC212" s="143">
        <f t="shared" si="3"/>
        <v>0</v>
      </c>
      <c r="AD212" s="143"/>
      <c r="AE212" s="148">
        <v>0</v>
      </c>
      <c r="AF212" s="148"/>
      <c r="AG212" s="143">
        <v>0</v>
      </c>
      <c r="AH212" s="143"/>
      <c r="AI212" s="143">
        <v>0</v>
      </c>
      <c r="AJ212" s="143"/>
      <c r="AK212" s="143">
        <v>0</v>
      </c>
      <c r="AL212" s="143"/>
      <c r="AM212" s="143">
        <f>+'Gen rev'!U212-'Gen exp'!AC212-AG212+'Gen rev'!W212+AI212+AK212-'Gen Bal'!S212-'Gen exp'!AE212</f>
        <v>0</v>
      </c>
      <c r="AN212" s="143"/>
      <c r="AO212" s="143"/>
      <c r="AP212" s="143"/>
      <c r="AQ212" s="143"/>
      <c r="AR212" s="150"/>
      <c r="AS212" s="151"/>
    </row>
    <row r="213" spans="1:45" s="49" customFormat="1" ht="12.75" customHeight="1">
      <c r="A213" s="28" t="s">
        <v>242</v>
      </c>
      <c r="C213" s="28" t="s">
        <v>27</v>
      </c>
      <c r="E213" s="45">
        <v>6478223</v>
      </c>
      <c r="F213" s="45"/>
      <c r="G213" s="45">
        <v>8573735</v>
      </c>
      <c r="H213" s="45"/>
      <c r="I213" s="45">
        <v>1369984</v>
      </c>
      <c r="J213" s="45"/>
      <c r="K213" s="45">
        <v>315983</v>
      </c>
      <c r="L213" s="45"/>
      <c r="M213" s="45">
        <v>0</v>
      </c>
      <c r="N213" s="45"/>
      <c r="O213" s="45">
        <v>377779</v>
      </c>
      <c r="P213" s="45"/>
      <c r="Q213" s="45">
        <v>2505278</v>
      </c>
      <c r="R213" s="45"/>
      <c r="S213" s="45">
        <v>783800</v>
      </c>
      <c r="T213" s="45"/>
      <c r="U213" s="45">
        <v>0</v>
      </c>
      <c r="V213" s="45"/>
      <c r="W213" s="45">
        <v>0</v>
      </c>
      <c r="X213" s="45"/>
      <c r="Y213" s="45">
        <v>0</v>
      </c>
      <c r="Z213" s="44"/>
      <c r="AA213" s="45">
        <v>0</v>
      </c>
      <c r="AB213" s="44"/>
      <c r="AC213" s="45">
        <f t="shared" si="3"/>
        <v>20404782</v>
      </c>
      <c r="AD213" s="45"/>
      <c r="AE213" s="48">
        <v>0</v>
      </c>
      <c r="AF213" s="48"/>
      <c r="AG213" s="45">
        <v>10533195</v>
      </c>
      <c r="AH213" s="45"/>
      <c r="AI213" s="45">
        <v>9979188</v>
      </c>
      <c r="AJ213" s="45"/>
      <c r="AK213" s="45">
        <v>0</v>
      </c>
      <c r="AL213" s="45"/>
      <c r="AM213" s="45">
        <f>+'Gen rev'!U213-'Gen exp'!AC213-AG213+'Gen rev'!W213+AI213+AK213-'Gen Bal'!S213-'Gen exp'!AE213</f>
        <v>0</v>
      </c>
      <c r="AN213" s="44"/>
      <c r="AO213" s="44"/>
      <c r="AP213" s="44"/>
      <c r="AQ213" s="44"/>
    </row>
    <row r="214" spans="1:45" s="49" customFormat="1" ht="12.75" customHeight="1">
      <c r="A214" s="28" t="s">
        <v>243</v>
      </c>
      <c r="C214" s="28" t="s">
        <v>163</v>
      </c>
      <c r="E214" s="45">
        <v>3429035</v>
      </c>
      <c r="F214" s="45"/>
      <c r="G214" s="45">
        <v>4491461</v>
      </c>
      <c r="H214" s="45"/>
      <c r="I214" s="45">
        <v>402658</v>
      </c>
      <c r="J214" s="45"/>
      <c r="K214" s="45">
        <v>175009</v>
      </c>
      <c r="L214" s="45"/>
      <c r="M214" s="45">
        <v>278912</v>
      </c>
      <c r="N214" s="45"/>
      <c r="O214" s="45">
        <v>796848</v>
      </c>
      <c r="P214" s="45"/>
      <c r="Q214" s="45">
        <v>544426</v>
      </c>
      <c r="R214" s="45"/>
      <c r="S214" s="45">
        <v>0</v>
      </c>
      <c r="T214" s="45"/>
      <c r="U214" s="45">
        <v>0</v>
      </c>
      <c r="V214" s="45"/>
      <c r="W214" s="45">
        <v>0</v>
      </c>
      <c r="X214" s="45"/>
      <c r="Y214" s="45">
        <v>0</v>
      </c>
      <c r="Z214" s="44"/>
      <c r="AA214" s="45">
        <v>0</v>
      </c>
      <c r="AB214" s="44"/>
      <c r="AC214" s="45">
        <f>SUM(E214:AA214)</f>
        <v>10118349</v>
      </c>
      <c r="AD214" s="45"/>
      <c r="AE214" s="48">
        <v>0</v>
      </c>
      <c r="AF214" s="48"/>
      <c r="AG214" s="45">
        <v>0</v>
      </c>
      <c r="AH214" s="45"/>
      <c r="AI214" s="45">
        <v>1193295</v>
      </c>
      <c r="AJ214" s="45"/>
      <c r="AK214" s="45">
        <v>27515</v>
      </c>
      <c r="AL214" s="45"/>
      <c r="AM214" s="45">
        <f>+'Gen rev'!U214-'Gen exp'!AC214-AG214+'Gen rev'!W214+AI214+AK214-'Gen Bal'!S214-'Gen exp'!AE214</f>
        <v>0</v>
      </c>
      <c r="AN214" s="44"/>
      <c r="AO214" s="44"/>
      <c r="AP214" s="44"/>
      <c r="AQ214" s="44"/>
    </row>
    <row r="215" spans="1:45" s="49" customFormat="1" ht="12.75" customHeight="1">
      <c r="A215" s="28" t="s">
        <v>244</v>
      </c>
      <c r="C215" s="28" t="s">
        <v>13</v>
      </c>
      <c r="E215" s="45">
        <v>2855878</v>
      </c>
      <c r="F215" s="45"/>
      <c r="G215" s="45">
        <v>3414153</v>
      </c>
      <c r="H215" s="45"/>
      <c r="I215" s="45">
        <v>391535</v>
      </c>
      <c r="J215" s="45"/>
      <c r="K215" s="45">
        <v>0</v>
      </c>
      <c r="L215" s="45"/>
      <c r="M215" s="45">
        <v>390220</v>
      </c>
      <c r="N215" s="45"/>
      <c r="O215" s="45">
        <v>1244283</v>
      </c>
      <c r="P215" s="45"/>
      <c r="Q215" s="45">
        <v>0</v>
      </c>
      <c r="R215" s="45"/>
      <c r="S215" s="45">
        <v>236231</v>
      </c>
      <c r="T215" s="45"/>
      <c r="U215" s="45">
        <v>0</v>
      </c>
      <c r="V215" s="45"/>
      <c r="W215" s="45">
        <v>13920</v>
      </c>
      <c r="X215" s="45"/>
      <c r="Y215" s="45">
        <v>1224</v>
      </c>
      <c r="Z215" s="44"/>
      <c r="AA215" s="45">
        <v>0</v>
      </c>
      <c r="AB215" s="44"/>
      <c r="AC215" s="45">
        <f t="shared" ref="AC215:AC255" si="4">SUM(E215:AA215)</f>
        <v>8547444</v>
      </c>
      <c r="AD215" s="45"/>
      <c r="AE215" s="48">
        <v>0</v>
      </c>
      <c r="AF215" s="48"/>
      <c r="AG215" s="45">
        <v>3741173</v>
      </c>
      <c r="AH215" s="45"/>
      <c r="AI215" s="45">
        <v>2766328</v>
      </c>
      <c r="AJ215" s="45"/>
      <c r="AK215" s="45">
        <v>0</v>
      </c>
      <c r="AL215" s="45"/>
      <c r="AM215" s="45">
        <f>+'Gen rev'!U215-'Gen exp'!AC215-AG215+'Gen rev'!W215+AI215+AK215-'Gen Bal'!S215-'Gen exp'!AE215</f>
        <v>0</v>
      </c>
      <c r="AN215" s="45"/>
      <c r="AO215" s="45"/>
      <c r="AP215" s="45"/>
      <c r="AQ215" s="45"/>
      <c r="AR215" s="52"/>
      <c r="AS215" s="50"/>
    </row>
    <row r="216" spans="1:45" s="46" customFormat="1" ht="12.75" customHeight="1">
      <c r="A216" s="28" t="s">
        <v>341</v>
      </c>
      <c r="B216" s="49"/>
      <c r="C216" s="28" t="s">
        <v>110</v>
      </c>
      <c r="D216" s="49"/>
      <c r="E216" s="45">
        <v>2419164</v>
      </c>
      <c r="F216" s="45"/>
      <c r="G216" s="45">
        <v>6345688</v>
      </c>
      <c r="H216" s="45"/>
      <c r="I216" s="45">
        <v>213782</v>
      </c>
      <c r="J216" s="45"/>
      <c r="K216" s="45">
        <v>0</v>
      </c>
      <c r="L216" s="45"/>
      <c r="M216" s="45">
        <v>0</v>
      </c>
      <c r="N216" s="45"/>
      <c r="O216" s="45">
        <v>0</v>
      </c>
      <c r="P216" s="45"/>
      <c r="Q216" s="45">
        <v>0</v>
      </c>
      <c r="R216" s="45"/>
      <c r="S216" s="45">
        <v>139963</v>
      </c>
      <c r="T216" s="45"/>
      <c r="U216" s="45">
        <v>0</v>
      </c>
      <c r="V216" s="45"/>
      <c r="W216" s="45">
        <v>14040</v>
      </c>
      <c r="X216" s="45"/>
      <c r="Y216" s="45">
        <v>1863</v>
      </c>
      <c r="Z216" s="44"/>
      <c r="AA216" s="45">
        <v>0</v>
      </c>
      <c r="AB216" s="44"/>
      <c r="AC216" s="45">
        <f t="shared" si="4"/>
        <v>9134500</v>
      </c>
      <c r="AD216" s="45"/>
      <c r="AE216" s="48">
        <v>0</v>
      </c>
      <c r="AF216" s="48"/>
      <c r="AG216" s="45">
        <v>1283234</v>
      </c>
      <c r="AH216" s="45"/>
      <c r="AI216" s="45">
        <v>1578397</v>
      </c>
      <c r="AJ216" s="45"/>
      <c r="AK216" s="45">
        <v>-4832</v>
      </c>
      <c r="AL216" s="45"/>
      <c r="AM216" s="45">
        <f>+'Gen rev'!U216-'Gen exp'!AC216-AG216+'Gen rev'!W216+AI216+AK216-'Gen Bal'!S216-'Gen exp'!AE216</f>
        <v>0</v>
      </c>
      <c r="AN216" s="94"/>
      <c r="AO216" s="94"/>
      <c r="AP216" s="94"/>
      <c r="AQ216" s="94"/>
      <c r="AR216" s="90"/>
      <c r="AS216" s="64"/>
    </row>
    <row r="217" spans="1:45" s="49" customFormat="1" ht="12.75" customHeight="1">
      <c r="A217" s="28" t="s">
        <v>246</v>
      </c>
      <c r="C217" s="28" t="s">
        <v>209</v>
      </c>
      <c r="E217" s="45">
        <v>1449098</v>
      </c>
      <c r="F217" s="45"/>
      <c r="G217" s="45">
        <v>2973305</v>
      </c>
      <c r="H217" s="45"/>
      <c r="I217" s="45">
        <v>238806</v>
      </c>
      <c r="J217" s="45"/>
      <c r="K217" s="45">
        <v>0</v>
      </c>
      <c r="L217" s="45"/>
      <c r="M217" s="45">
        <v>0</v>
      </c>
      <c r="N217" s="45"/>
      <c r="O217" s="45">
        <v>451807</v>
      </c>
      <c r="P217" s="45"/>
      <c r="Q217" s="45">
        <v>223769</v>
      </c>
      <c r="R217" s="45"/>
      <c r="S217" s="45">
        <v>75901</v>
      </c>
      <c r="T217" s="45"/>
      <c r="U217" s="45">
        <v>0</v>
      </c>
      <c r="V217" s="45"/>
      <c r="W217" s="45">
        <v>12062</v>
      </c>
      <c r="X217" s="45"/>
      <c r="Y217" s="45">
        <v>1450</v>
      </c>
      <c r="Z217" s="44"/>
      <c r="AA217" s="45">
        <v>0</v>
      </c>
      <c r="AB217" s="44"/>
      <c r="AC217" s="45">
        <f t="shared" si="4"/>
        <v>5426198</v>
      </c>
      <c r="AD217" s="45"/>
      <c r="AE217" s="48">
        <v>0</v>
      </c>
      <c r="AF217" s="48"/>
      <c r="AG217" s="45">
        <v>0</v>
      </c>
      <c r="AH217" s="45"/>
      <c r="AI217" s="45">
        <v>3639982</v>
      </c>
      <c r="AJ217" s="45"/>
      <c r="AK217" s="45">
        <v>6343</v>
      </c>
      <c r="AL217" s="45"/>
      <c r="AM217" s="45">
        <f>+'Gen rev'!U217-'Gen exp'!AC217-AG217+'Gen rev'!W217+AI217+AK217-'Gen Bal'!S217-'Gen exp'!AE217</f>
        <v>0</v>
      </c>
      <c r="AN217" s="35"/>
      <c r="AO217" s="35"/>
      <c r="AP217" s="35"/>
      <c r="AQ217" s="35"/>
      <c r="AR217" s="50"/>
      <c r="AS217" s="50"/>
    </row>
    <row r="218" spans="1:45" s="49" customFormat="1" ht="12.75" customHeight="1">
      <c r="A218" s="28" t="s">
        <v>247</v>
      </c>
      <c r="C218" s="28" t="s">
        <v>163</v>
      </c>
      <c r="E218" s="45">
        <v>16870000</v>
      </c>
      <c r="F218" s="45"/>
      <c r="G218" s="45">
        <v>162812000</v>
      </c>
      <c r="H218" s="45"/>
      <c r="I218" s="45">
        <v>4987000</v>
      </c>
      <c r="J218" s="45"/>
      <c r="K218" s="45">
        <v>15867000</v>
      </c>
      <c r="L218" s="45"/>
      <c r="M218" s="45">
        <v>0</v>
      </c>
      <c r="N218" s="45"/>
      <c r="O218" s="45">
        <v>3071000</v>
      </c>
      <c r="P218" s="45"/>
      <c r="Q218" s="45">
        <v>74000</v>
      </c>
      <c r="R218" s="45"/>
      <c r="S218" s="45">
        <v>633000</v>
      </c>
      <c r="T218" s="45"/>
      <c r="U218" s="45">
        <v>0</v>
      </c>
      <c r="V218" s="45"/>
      <c r="W218" s="45">
        <v>1437000</v>
      </c>
      <c r="X218" s="45"/>
      <c r="Y218" s="45">
        <v>1010000</v>
      </c>
      <c r="Z218" s="44"/>
      <c r="AA218" s="45">
        <v>0</v>
      </c>
      <c r="AB218" s="44"/>
      <c r="AC218" s="45">
        <f t="shared" si="4"/>
        <v>206761000</v>
      </c>
      <c r="AD218" s="45"/>
      <c r="AE218" s="48">
        <v>0</v>
      </c>
      <c r="AF218" s="48"/>
      <c r="AG218" s="45">
        <v>34866000</v>
      </c>
      <c r="AH218" s="45"/>
      <c r="AI218" s="45">
        <v>10792000</v>
      </c>
      <c r="AJ218" s="45"/>
      <c r="AK218" s="45">
        <v>27000</v>
      </c>
      <c r="AL218" s="45"/>
      <c r="AM218" s="45">
        <f>+'Gen rev'!U218-'Gen exp'!AC218-AG218+'Gen rev'!W218+AI218+AK218-'Gen Bal'!S218-'Gen exp'!AE218</f>
        <v>0</v>
      </c>
      <c r="AN218" s="44"/>
      <c r="AO218" s="44"/>
      <c r="AP218" s="44"/>
      <c r="AQ218" s="44"/>
    </row>
    <row r="219" spans="1:45" s="49" customFormat="1" ht="12.75" customHeight="1">
      <c r="A219" s="28" t="s">
        <v>248</v>
      </c>
      <c r="C219" s="28" t="s">
        <v>249</v>
      </c>
      <c r="E219" s="45">
        <v>458356</v>
      </c>
      <c r="F219" s="45"/>
      <c r="G219" s="45">
        <v>1271203</v>
      </c>
      <c r="H219" s="45"/>
      <c r="I219" s="45">
        <v>0</v>
      </c>
      <c r="J219" s="45"/>
      <c r="K219" s="45">
        <v>11716</v>
      </c>
      <c r="L219" s="45"/>
      <c r="M219" s="45">
        <v>53006</v>
      </c>
      <c r="N219" s="45"/>
      <c r="O219" s="45">
        <v>6000</v>
      </c>
      <c r="P219" s="45"/>
      <c r="Q219" s="45">
        <v>0</v>
      </c>
      <c r="R219" s="45"/>
      <c r="S219" s="45">
        <v>898889</v>
      </c>
      <c r="T219" s="45"/>
      <c r="U219" s="45">
        <v>0</v>
      </c>
      <c r="V219" s="45"/>
      <c r="W219" s="45">
        <v>34624</v>
      </c>
      <c r="X219" s="45"/>
      <c r="Y219" s="45">
        <v>35798</v>
      </c>
      <c r="Z219" s="44"/>
      <c r="AA219" s="45">
        <v>0</v>
      </c>
      <c r="AB219" s="44"/>
      <c r="AC219" s="45">
        <f t="shared" si="4"/>
        <v>2769592</v>
      </c>
      <c r="AD219" s="45"/>
      <c r="AE219" s="48">
        <v>0</v>
      </c>
      <c r="AF219" s="48"/>
      <c r="AG219" s="45">
        <v>577627</v>
      </c>
      <c r="AH219" s="45"/>
      <c r="AI219" s="45">
        <v>718066</v>
      </c>
      <c r="AJ219" s="45"/>
      <c r="AK219" s="45">
        <v>0</v>
      </c>
      <c r="AL219" s="45"/>
      <c r="AM219" s="45">
        <f>+'Gen rev'!U219-'Gen exp'!AC219-AG219+'Gen rev'!W219+AI219+AK219-'Gen Bal'!S219-'Gen exp'!AE219</f>
        <v>0</v>
      </c>
      <c r="AN219" s="44"/>
      <c r="AO219" s="44"/>
      <c r="AP219" s="44"/>
      <c r="AQ219" s="44"/>
    </row>
    <row r="220" spans="1:45" s="49" customFormat="1" ht="12.75" customHeight="1">
      <c r="A220" s="28" t="s">
        <v>250</v>
      </c>
      <c r="C220" s="28" t="s">
        <v>103</v>
      </c>
      <c r="E220" s="45">
        <v>357520</v>
      </c>
      <c r="F220" s="45"/>
      <c r="G220" s="45">
        <v>1808562</v>
      </c>
      <c r="H220" s="45"/>
      <c r="I220" s="45">
        <v>104527</v>
      </c>
      <c r="J220" s="45"/>
      <c r="K220" s="45">
        <v>67681</v>
      </c>
      <c r="L220" s="45"/>
      <c r="M220" s="45">
        <v>0</v>
      </c>
      <c r="N220" s="45"/>
      <c r="O220" s="45">
        <v>682</v>
      </c>
      <c r="P220" s="45"/>
      <c r="Q220" s="45">
        <v>55109</v>
      </c>
      <c r="R220" s="45"/>
      <c r="S220" s="45">
        <v>0</v>
      </c>
      <c r="T220" s="45"/>
      <c r="U220" s="45">
        <v>0</v>
      </c>
      <c r="V220" s="45"/>
      <c r="W220" s="45">
        <v>0</v>
      </c>
      <c r="X220" s="45"/>
      <c r="Y220" s="45">
        <v>0</v>
      </c>
      <c r="Z220" s="44"/>
      <c r="AA220" s="45">
        <v>0</v>
      </c>
      <c r="AB220" s="44"/>
      <c r="AC220" s="45">
        <f t="shared" si="4"/>
        <v>2394081</v>
      </c>
      <c r="AD220" s="45"/>
      <c r="AE220" s="48">
        <v>0</v>
      </c>
      <c r="AF220" s="48"/>
      <c r="AG220" s="45">
        <v>259762</v>
      </c>
      <c r="AH220" s="45"/>
      <c r="AI220" s="45">
        <v>1603917</v>
      </c>
      <c r="AJ220" s="45"/>
      <c r="AK220" s="45">
        <v>0</v>
      </c>
      <c r="AL220" s="45"/>
      <c r="AM220" s="45">
        <f>+'Gen rev'!U220-'Gen exp'!AC220-AG220+'Gen rev'!W220+AI220+AK220-'Gen Bal'!S220-'Gen exp'!AE220</f>
        <v>0</v>
      </c>
      <c r="AN220" s="48"/>
      <c r="AO220" s="48"/>
      <c r="AP220" s="48"/>
      <c r="AQ220" s="48"/>
      <c r="AR220" s="52"/>
      <c r="AS220" s="50"/>
    </row>
    <row r="221" spans="1:45" s="49" customFormat="1" ht="12.75" customHeight="1">
      <c r="A221" s="28" t="s">
        <v>251</v>
      </c>
      <c r="C221" s="28" t="s">
        <v>66</v>
      </c>
      <c r="E221" s="45">
        <v>2818858</v>
      </c>
      <c r="F221" s="45"/>
      <c r="G221" s="45">
        <v>5286352</v>
      </c>
      <c r="H221" s="45"/>
      <c r="I221" s="45">
        <v>557201</v>
      </c>
      <c r="J221" s="45"/>
      <c r="K221" s="45">
        <v>0</v>
      </c>
      <c r="L221" s="45"/>
      <c r="M221" s="45">
        <v>329963</v>
      </c>
      <c r="N221" s="45"/>
      <c r="O221" s="45">
        <v>463226</v>
      </c>
      <c r="P221" s="45"/>
      <c r="Q221" s="45">
        <v>0</v>
      </c>
      <c r="R221" s="45"/>
      <c r="S221" s="45">
        <v>103170</v>
      </c>
      <c r="T221" s="45"/>
      <c r="U221" s="45">
        <v>0</v>
      </c>
      <c r="V221" s="45"/>
      <c r="W221" s="45">
        <v>42335</v>
      </c>
      <c r="X221" s="45"/>
      <c r="Y221" s="45">
        <v>73554</v>
      </c>
      <c r="Z221" s="44"/>
      <c r="AA221" s="45">
        <v>0</v>
      </c>
      <c r="AB221" s="44"/>
      <c r="AC221" s="45">
        <f>SUM(E221:AA221)</f>
        <v>9674659</v>
      </c>
      <c r="AD221" s="45"/>
      <c r="AE221" s="48">
        <v>0</v>
      </c>
      <c r="AF221" s="48"/>
      <c r="AG221" s="45">
        <v>549437</v>
      </c>
      <c r="AH221" s="45"/>
      <c r="AI221" s="45">
        <v>2354659</v>
      </c>
      <c r="AJ221" s="45"/>
      <c r="AK221" s="45">
        <v>0</v>
      </c>
      <c r="AL221" s="45"/>
      <c r="AM221" s="45">
        <f>+'Gen rev'!U221-'Gen exp'!AC221-AG221+'Gen rev'!W221+AI221+AK221-'Gen Bal'!S221-'Gen exp'!AE221</f>
        <v>0</v>
      </c>
      <c r="AN221" s="45"/>
      <c r="AO221" s="45"/>
      <c r="AP221" s="45"/>
      <c r="AQ221" s="45"/>
      <c r="AR221" s="52"/>
      <c r="AS221" s="50"/>
    </row>
    <row r="222" spans="1:45" s="49" customFormat="1" ht="12.75" customHeight="1">
      <c r="A222" s="64" t="s">
        <v>252</v>
      </c>
      <c r="B222" s="46"/>
      <c r="C222" s="64" t="s">
        <v>209</v>
      </c>
      <c r="D222" s="46"/>
      <c r="E222" s="45">
        <v>4711870</v>
      </c>
      <c r="F222" s="45"/>
      <c r="G222" s="45">
        <v>9234356</v>
      </c>
      <c r="H222" s="45"/>
      <c r="I222" s="45">
        <v>583034</v>
      </c>
      <c r="J222" s="45"/>
      <c r="K222" s="45">
        <v>0</v>
      </c>
      <c r="L222" s="45"/>
      <c r="M222" s="45">
        <v>0</v>
      </c>
      <c r="N222" s="45"/>
      <c r="O222" s="45">
        <v>1314812</v>
      </c>
      <c r="P222" s="45"/>
      <c r="Q222" s="45">
        <v>1224791</v>
      </c>
      <c r="R222" s="45"/>
      <c r="S222" s="45">
        <v>0</v>
      </c>
      <c r="T222" s="45"/>
      <c r="U222" s="45">
        <v>0</v>
      </c>
      <c r="V222" s="45"/>
      <c r="W222" s="45">
        <v>0</v>
      </c>
      <c r="X222" s="45"/>
      <c r="Y222" s="45">
        <v>0</v>
      </c>
      <c r="Z222" s="44"/>
      <c r="AA222" s="45">
        <v>0</v>
      </c>
      <c r="AB222" s="44"/>
      <c r="AC222" s="45">
        <f t="shared" si="4"/>
        <v>17068863</v>
      </c>
      <c r="AD222" s="45"/>
      <c r="AE222" s="48">
        <v>0</v>
      </c>
      <c r="AF222" s="48"/>
      <c r="AG222" s="45">
        <v>3086874</v>
      </c>
      <c r="AH222" s="45"/>
      <c r="AI222" s="45">
        <v>37022214</v>
      </c>
      <c r="AJ222" s="45"/>
      <c r="AK222" s="45">
        <v>0</v>
      </c>
      <c r="AL222" s="45"/>
      <c r="AM222" s="45">
        <f>+'Gen rev'!U222-'Gen exp'!AC222-AG222+'Gen rev'!W222+AI222+AK222-'Gen Bal'!S222-'Gen exp'!AE222</f>
        <v>0</v>
      </c>
      <c r="AN222" s="45"/>
      <c r="AO222" s="45"/>
      <c r="AP222" s="45"/>
      <c r="AQ222" s="45"/>
      <c r="AR222" s="52"/>
      <c r="AS222" s="50"/>
    </row>
    <row r="223" spans="1:45" s="49" customFormat="1" ht="12.75" customHeight="1">
      <c r="A223" s="28" t="s">
        <v>253</v>
      </c>
      <c r="C223" s="28" t="s">
        <v>13</v>
      </c>
      <c r="E223" s="45">
        <v>3345302</v>
      </c>
      <c r="F223" s="45"/>
      <c r="G223" s="45">
        <v>7916366</v>
      </c>
      <c r="H223" s="45"/>
      <c r="I223" s="45">
        <v>1461380</v>
      </c>
      <c r="J223" s="45"/>
      <c r="K223" s="45">
        <v>0</v>
      </c>
      <c r="L223" s="45"/>
      <c r="M223" s="45">
        <v>3692545</v>
      </c>
      <c r="N223" s="45"/>
      <c r="O223" s="45">
        <v>1764630</v>
      </c>
      <c r="P223" s="45"/>
      <c r="Q223" s="45">
        <v>0</v>
      </c>
      <c r="R223" s="45"/>
      <c r="S223" s="45">
        <v>0</v>
      </c>
      <c r="T223" s="45"/>
      <c r="U223" s="45">
        <v>0</v>
      </c>
      <c r="V223" s="45"/>
      <c r="W223" s="45">
        <v>0</v>
      </c>
      <c r="X223" s="45"/>
      <c r="Y223" s="45">
        <v>0</v>
      </c>
      <c r="Z223" s="44"/>
      <c r="AA223" s="45">
        <v>0</v>
      </c>
      <c r="AB223" s="44"/>
      <c r="AC223" s="45">
        <f>SUM(E223:AA223)</f>
        <v>18180223</v>
      </c>
      <c r="AD223" s="45"/>
      <c r="AE223" s="48">
        <v>0</v>
      </c>
      <c r="AF223" s="48"/>
      <c r="AG223" s="45">
        <v>1115000</v>
      </c>
      <c r="AH223" s="45"/>
      <c r="AI223" s="45">
        <v>8314028</v>
      </c>
      <c r="AJ223" s="45"/>
      <c r="AK223" s="45">
        <v>0</v>
      </c>
      <c r="AL223" s="45"/>
      <c r="AM223" s="45">
        <f>+'Gen rev'!U223-'Gen exp'!AC223-AG223+'Gen rev'!W223+AI223+AK223-'Gen Bal'!S223-'Gen exp'!AE223</f>
        <v>0</v>
      </c>
      <c r="AN223" s="45"/>
      <c r="AO223" s="45"/>
      <c r="AP223" s="45"/>
      <c r="AQ223" s="45"/>
      <c r="AR223" s="52"/>
      <c r="AS223" s="50"/>
    </row>
    <row r="224" spans="1:45" s="49" customFormat="1" ht="12.75" customHeight="1">
      <c r="A224" s="28" t="s">
        <v>254</v>
      </c>
      <c r="C224" s="28" t="s">
        <v>89</v>
      </c>
      <c r="E224" s="45">
        <v>518133</v>
      </c>
      <c r="F224" s="45"/>
      <c r="G224" s="45">
        <v>1095684</v>
      </c>
      <c r="H224" s="45"/>
      <c r="I224" s="45">
        <v>0</v>
      </c>
      <c r="J224" s="45"/>
      <c r="K224" s="45">
        <v>6166</v>
      </c>
      <c r="L224" s="45"/>
      <c r="M224" s="45">
        <v>0</v>
      </c>
      <c r="N224" s="45"/>
      <c r="O224" s="45">
        <v>0</v>
      </c>
      <c r="P224" s="45"/>
      <c r="Q224" s="45">
        <v>0</v>
      </c>
      <c r="R224" s="45"/>
      <c r="S224" s="45">
        <v>0</v>
      </c>
      <c r="T224" s="45"/>
      <c r="U224" s="45">
        <v>0</v>
      </c>
      <c r="V224" s="45"/>
      <c r="W224" s="45">
        <v>0</v>
      </c>
      <c r="X224" s="45"/>
      <c r="Y224" s="45">
        <v>122363</v>
      </c>
      <c r="Z224" s="44"/>
      <c r="AA224" s="45">
        <v>0</v>
      </c>
      <c r="AB224" s="44"/>
      <c r="AC224" s="45">
        <f t="shared" si="4"/>
        <v>1742346</v>
      </c>
      <c r="AD224" s="45"/>
      <c r="AE224" s="48">
        <v>0</v>
      </c>
      <c r="AF224" s="48"/>
      <c r="AG224" s="45">
        <v>45000</v>
      </c>
      <c r="AH224" s="45"/>
      <c r="AI224" s="45">
        <v>1337728</v>
      </c>
      <c r="AJ224" s="45"/>
      <c r="AK224" s="45">
        <v>0</v>
      </c>
      <c r="AL224" s="45"/>
      <c r="AM224" s="45">
        <f>+'Gen rev'!U224-'Gen exp'!AC224-AG224+'Gen rev'!W224+AI224+AK224-'Gen Bal'!S224-'Gen exp'!AE224</f>
        <v>0</v>
      </c>
      <c r="AN224" s="45"/>
      <c r="AO224" s="45"/>
      <c r="AP224" s="45"/>
      <c r="AQ224" s="45"/>
      <c r="AR224" s="52"/>
      <c r="AS224" s="50"/>
    </row>
    <row r="225" spans="1:45" s="49" customFormat="1" ht="12.75" customHeight="1">
      <c r="A225" s="28" t="s">
        <v>159</v>
      </c>
      <c r="C225" s="28" t="s">
        <v>66</v>
      </c>
      <c r="E225" s="45">
        <v>429039</v>
      </c>
      <c r="F225" s="45"/>
      <c r="G225" s="45">
        <v>0</v>
      </c>
      <c r="H225" s="45"/>
      <c r="I225" s="45">
        <v>0</v>
      </c>
      <c r="J225" s="45"/>
      <c r="K225" s="45">
        <v>0</v>
      </c>
      <c r="L225" s="45"/>
      <c r="M225" s="45">
        <v>0</v>
      </c>
      <c r="N225" s="45"/>
      <c r="O225" s="45">
        <v>0</v>
      </c>
      <c r="P225" s="45"/>
      <c r="Q225" s="45">
        <v>0</v>
      </c>
      <c r="R225" s="45"/>
      <c r="S225" s="45">
        <v>0</v>
      </c>
      <c r="T225" s="45"/>
      <c r="U225" s="45">
        <v>0</v>
      </c>
      <c r="V225" s="45"/>
      <c r="W225" s="45">
        <v>0</v>
      </c>
      <c r="X225" s="45"/>
      <c r="Y225" s="45">
        <v>1480</v>
      </c>
      <c r="Z225" s="44"/>
      <c r="AA225" s="45">
        <v>0</v>
      </c>
      <c r="AB225" s="44"/>
      <c r="AC225" s="45">
        <f>SUM(E225:AA225)</f>
        <v>430519</v>
      </c>
      <c r="AD225" s="45"/>
      <c r="AE225" s="48">
        <v>0</v>
      </c>
      <c r="AF225" s="48"/>
      <c r="AG225" s="45">
        <v>54091</v>
      </c>
      <c r="AH225" s="94"/>
      <c r="AI225" s="45">
        <v>185250</v>
      </c>
      <c r="AJ225" s="45"/>
      <c r="AK225" s="45">
        <v>0</v>
      </c>
      <c r="AL225" s="45"/>
      <c r="AM225" s="45">
        <f>+'Gen rev'!U225-'Gen exp'!AC225-AG225+'Gen rev'!W225+AI225+AK225-'Gen Bal'!S225-'Gen exp'!AE225</f>
        <v>0</v>
      </c>
      <c r="AN225" s="45"/>
      <c r="AO225" s="45"/>
      <c r="AP225" s="45"/>
      <c r="AQ225" s="45"/>
      <c r="AR225" s="52"/>
      <c r="AS225" s="50"/>
    </row>
    <row r="226" spans="1:45" s="49" customFormat="1" ht="12.75" customHeight="1">
      <c r="A226" s="28" t="s">
        <v>255</v>
      </c>
      <c r="C226" s="28" t="s">
        <v>27</v>
      </c>
      <c r="E226" s="45">
        <v>1481668</v>
      </c>
      <c r="F226" s="45"/>
      <c r="G226" s="45">
        <v>6657443</v>
      </c>
      <c r="H226" s="45"/>
      <c r="I226" s="45">
        <v>796469</v>
      </c>
      <c r="J226" s="45"/>
      <c r="K226" s="45">
        <v>50926</v>
      </c>
      <c r="L226" s="45"/>
      <c r="M226" s="45">
        <v>345628</v>
      </c>
      <c r="N226" s="45"/>
      <c r="O226" s="45">
        <v>439679</v>
      </c>
      <c r="P226" s="45"/>
      <c r="Q226" s="45">
        <v>1026574</v>
      </c>
      <c r="R226" s="45"/>
      <c r="S226" s="45">
        <v>302522</v>
      </c>
      <c r="T226" s="45"/>
      <c r="U226" s="45">
        <v>0</v>
      </c>
      <c r="V226" s="45"/>
      <c r="W226" s="45">
        <v>27214</v>
      </c>
      <c r="X226" s="45"/>
      <c r="Y226" s="45">
        <v>6408</v>
      </c>
      <c r="Z226" s="44"/>
      <c r="AA226" s="45">
        <v>0</v>
      </c>
      <c r="AB226" s="44"/>
      <c r="AC226" s="45">
        <f t="shared" si="4"/>
        <v>11134531</v>
      </c>
      <c r="AD226" s="45"/>
      <c r="AE226" s="48">
        <v>0</v>
      </c>
      <c r="AF226" s="48"/>
      <c r="AG226" s="45">
        <v>1221649</v>
      </c>
      <c r="AH226" s="45"/>
      <c r="AI226" s="45">
        <v>-87910</v>
      </c>
      <c r="AJ226" s="45"/>
      <c r="AK226" s="45">
        <v>10443</v>
      </c>
      <c r="AL226" s="45"/>
      <c r="AM226" s="45">
        <f>+'Gen rev'!U226-'Gen exp'!AC226-AG226+'Gen rev'!W226+AI226+AK226-'Gen Bal'!S226-'Gen exp'!AE226</f>
        <v>0</v>
      </c>
      <c r="AN226" s="35"/>
      <c r="AO226" s="35"/>
      <c r="AP226" s="35"/>
      <c r="AQ226" s="35"/>
      <c r="AR226" s="50"/>
      <c r="AS226" s="50"/>
    </row>
    <row r="227" spans="1:45" s="44" customFormat="1" ht="12.75" customHeight="1">
      <c r="A227" s="35" t="s">
        <v>256</v>
      </c>
      <c r="C227" s="35" t="s">
        <v>43</v>
      </c>
      <c r="E227" s="45">
        <v>6763930</v>
      </c>
      <c r="F227" s="45"/>
      <c r="G227" s="45">
        <v>14654625</v>
      </c>
      <c r="H227" s="45"/>
      <c r="I227" s="45">
        <v>935594</v>
      </c>
      <c r="J227" s="45"/>
      <c r="K227" s="45">
        <v>2190371</v>
      </c>
      <c r="L227" s="45"/>
      <c r="M227" s="45">
        <v>0</v>
      </c>
      <c r="N227" s="45"/>
      <c r="O227" s="45">
        <v>2712728</v>
      </c>
      <c r="P227" s="45"/>
      <c r="Q227" s="45">
        <v>0</v>
      </c>
      <c r="R227" s="45"/>
      <c r="S227" s="45">
        <v>858607</v>
      </c>
      <c r="T227" s="45"/>
      <c r="U227" s="45">
        <v>0</v>
      </c>
      <c r="V227" s="45"/>
      <c r="W227" s="45">
        <v>99951</v>
      </c>
      <c r="X227" s="45"/>
      <c r="Y227" s="45">
        <v>7443</v>
      </c>
      <c r="AA227" s="45">
        <v>0</v>
      </c>
      <c r="AC227" s="45">
        <f>SUM(E227:AA227)</f>
        <v>28223249</v>
      </c>
      <c r="AD227" s="45"/>
      <c r="AE227" s="48">
        <v>0</v>
      </c>
      <c r="AF227" s="48"/>
      <c r="AG227" s="45">
        <v>5651528</v>
      </c>
      <c r="AH227" s="45"/>
      <c r="AI227" s="45">
        <v>27500399</v>
      </c>
      <c r="AJ227" s="45"/>
      <c r="AK227" s="45">
        <v>0</v>
      </c>
      <c r="AL227" s="45"/>
      <c r="AM227" s="45">
        <f>+'Gen rev'!U227-'Gen exp'!AC227-AG227+'Gen rev'!W227+AI227+AK227-'Gen Bal'!S227-'Gen exp'!AE227</f>
        <v>0</v>
      </c>
    </row>
    <row r="228" spans="1:45" s="49" customFormat="1" ht="12.75" customHeight="1">
      <c r="A228" s="28" t="s">
        <v>257</v>
      </c>
      <c r="C228" s="28" t="s">
        <v>258</v>
      </c>
      <c r="E228" s="45">
        <v>1213025</v>
      </c>
      <c r="F228" s="45"/>
      <c r="G228" s="45">
        <v>1656680</v>
      </c>
      <c r="H228" s="45"/>
      <c r="I228" s="45">
        <v>59421</v>
      </c>
      <c r="J228" s="45"/>
      <c r="K228" s="45">
        <v>44579</v>
      </c>
      <c r="L228" s="45"/>
      <c r="M228" s="45">
        <v>0</v>
      </c>
      <c r="N228" s="45"/>
      <c r="O228" s="45">
        <v>0</v>
      </c>
      <c r="P228" s="45"/>
      <c r="Q228" s="45">
        <v>0</v>
      </c>
      <c r="R228" s="45"/>
      <c r="S228" s="45">
        <v>0</v>
      </c>
      <c r="T228" s="45"/>
      <c r="U228" s="45">
        <v>0</v>
      </c>
      <c r="V228" s="45"/>
      <c r="W228" s="45">
        <v>18255</v>
      </c>
      <c r="X228" s="45"/>
      <c r="Y228" s="45">
        <v>2060</v>
      </c>
      <c r="Z228" s="44"/>
      <c r="AA228" s="45">
        <v>0</v>
      </c>
      <c r="AB228" s="44"/>
      <c r="AC228" s="45">
        <f>SUM(E228:AA228)</f>
        <v>2994020</v>
      </c>
      <c r="AD228" s="45"/>
      <c r="AE228" s="48">
        <v>0</v>
      </c>
      <c r="AF228" s="48"/>
      <c r="AG228" s="45">
        <v>1186301</v>
      </c>
      <c r="AH228" s="45"/>
      <c r="AI228" s="45">
        <v>1175265</v>
      </c>
      <c r="AJ228" s="45"/>
      <c r="AK228" s="45">
        <v>853</v>
      </c>
      <c r="AL228" s="45"/>
      <c r="AM228" s="45">
        <f>+'Gen rev'!U228-'Gen exp'!AC228-AG228+'Gen rev'!W228+AI228+AK228-'Gen Bal'!S228-'Gen exp'!AE228</f>
        <v>0</v>
      </c>
      <c r="AN228" s="44"/>
      <c r="AO228" s="44"/>
      <c r="AP228" s="44"/>
      <c r="AQ228" s="44"/>
    </row>
    <row r="229" spans="1:45" s="49" customFormat="1" ht="12.75" customHeight="1">
      <c r="A229" s="28" t="s">
        <v>259</v>
      </c>
      <c r="C229" s="28" t="s">
        <v>260</v>
      </c>
      <c r="E229" s="45">
        <v>1452866</v>
      </c>
      <c r="F229" s="45"/>
      <c r="G229" s="45">
        <v>3420099</v>
      </c>
      <c r="H229" s="45"/>
      <c r="I229" s="45">
        <v>80862</v>
      </c>
      <c r="J229" s="45"/>
      <c r="K229" s="45">
        <v>42397</v>
      </c>
      <c r="L229" s="45"/>
      <c r="M229" s="45">
        <v>14667</v>
      </c>
      <c r="N229" s="45"/>
      <c r="O229" s="45">
        <v>351727</v>
      </c>
      <c r="P229" s="45"/>
      <c r="Q229" s="45">
        <v>2889</v>
      </c>
      <c r="R229" s="45"/>
      <c r="S229" s="45">
        <v>0</v>
      </c>
      <c r="T229" s="45"/>
      <c r="U229" s="45">
        <v>0</v>
      </c>
      <c r="V229" s="45"/>
      <c r="W229" s="45">
        <v>0</v>
      </c>
      <c r="X229" s="45"/>
      <c r="Y229" s="45">
        <v>0</v>
      </c>
      <c r="Z229" s="44"/>
      <c r="AA229" s="45">
        <v>0</v>
      </c>
      <c r="AB229" s="44"/>
      <c r="AC229" s="45">
        <f t="shared" si="4"/>
        <v>5365507</v>
      </c>
      <c r="AD229" s="45"/>
      <c r="AE229" s="48">
        <v>0</v>
      </c>
      <c r="AF229" s="48"/>
      <c r="AG229" s="45">
        <v>195000</v>
      </c>
      <c r="AH229" s="45"/>
      <c r="AI229" s="45">
        <v>748277</v>
      </c>
      <c r="AJ229" s="45"/>
      <c r="AK229" s="45">
        <v>0</v>
      </c>
      <c r="AL229" s="45"/>
      <c r="AM229" s="45">
        <f>+'Gen rev'!U229-'Gen exp'!AC229-AG229+'Gen rev'!W229+AI229+AK229-'Gen Bal'!S229-'Gen exp'!AE229</f>
        <v>0</v>
      </c>
      <c r="AN229" s="44"/>
      <c r="AO229" s="44"/>
      <c r="AP229" s="44"/>
      <c r="AQ229" s="44"/>
    </row>
    <row r="230" spans="1:45" s="49" customFormat="1" ht="12.75" customHeight="1">
      <c r="A230" s="28" t="s">
        <v>261</v>
      </c>
      <c r="C230" s="28" t="s">
        <v>66</v>
      </c>
      <c r="E230" s="45">
        <v>4952210</v>
      </c>
      <c r="F230" s="45"/>
      <c r="G230" s="45">
        <v>5526102</v>
      </c>
      <c r="H230" s="45"/>
      <c r="I230" s="45">
        <v>0</v>
      </c>
      <c r="J230" s="45"/>
      <c r="K230" s="45">
        <v>0</v>
      </c>
      <c r="L230" s="45"/>
      <c r="M230" s="45">
        <v>2212120</v>
      </c>
      <c r="N230" s="45"/>
      <c r="O230" s="45">
        <v>2941490</v>
      </c>
      <c r="P230" s="45"/>
      <c r="Q230" s="45">
        <v>0</v>
      </c>
      <c r="R230" s="45"/>
      <c r="S230" s="45">
        <v>50801</v>
      </c>
      <c r="T230" s="45"/>
      <c r="U230" s="45">
        <v>0</v>
      </c>
      <c r="V230" s="45"/>
      <c r="W230" s="45">
        <v>0</v>
      </c>
      <c r="X230" s="45"/>
      <c r="Y230" s="45">
        <v>0</v>
      </c>
      <c r="Z230" s="44"/>
      <c r="AA230" s="45">
        <v>0</v>
      </c>
      <c r="AB230" s="44"/>
      <c r="AC230" s="45">
        <f t="shared" si="4"/>
        <v>15682723</v>
      </c>
      <c r="AD230" s="45"/>
      <c r="AE230" s="48">
        <v>0</v>
      </c>
      <c r="AF230" s="48"/>
      <c r="AG230" s="45">
        <v>5431324</v>
      </c>
      <c r="AH230" s="45"/>
      <c r="AI230" s="45">
        <v>18846976</v>
      </c>
      <c r="AJ230" s="45"/>
      <c r="AK230" s="45">
        <v>0</v>
      </c>
      <c r="AL230" s="45"/>
      <c r="AM230" s="45">
        <f>+'Gen rev'!U230-'Gen exp'!AC230-AG230+'Gen rev'!W230+AI230+AK230-'Gen Bal'!S230-'Gen exp'!AE230</f>
        <v>0</v>
      </c>
      <c r="AN230" s="44"/>
      <c r="AO230" s="44"/>
      <c r="AP230" s="44"/>
      <c r="AQ230" s="44"/>
    </row>
    <row r="231" spans="1:45" s="49" customFormat="1" ht="12.75" customHeight="1">
      <c r="A231" s="28" t="s">
        <v>262</v>
      </c>
      <c r="C231" s="28" t="s">
        <v>132</v>
      </c>
      <c r="E231" s="45">
        <v>1771914</v>
      </c>
      <c r="F231" s="45"/>
      <c r="G231" s="45">
        <v>2079860</v>
      </c>
      <c r="H231" s="45"/>
      <c r="I231" s="45">
        <v>182721</v>
      </c>
      <c r="J231" s="45"/>
      <c r="K231" s="45">
        <v>0</v>
      </c>
      <c r="L231" s="45"/>
      <c r="M231" s="45">
        <v>0</v>
      </c>
      <c r="N231" s="45"/>
      <c r="O231" s="45">
        <v>105882</v>
      </c>
      <c r="P231" s="45"/>
      <c r="Q231" s="45">
        <v>0</v>
      </c>
      <c r="R231" s="45"/>
      <c r="S231" s="45">
        <v>20138</v>
      </c>
      <c r="T231" s="45"/>
      <c r="U231" s="45">
        <v>0</v>
      </c>
      <c r="V231" s="45"/>
      <c r="W231" s="45">
        <v>0</v>
      </c>
      <c r="X231" s="45"/>
      <c r="Y231" s="45">
        <v>0</v>
      </c>
      <c r="Z231" s="44"/>
      <c r="AA231" s="45">
        <v>0</v>
      </c>
      <c r="AB231" s="44"/>
      <c r="AC231" s="45">
        <f t="shared" si="4"/>
        <v>4160515</v>
      </c>
      <c r="AD231" s="45"/>
      <c r="AE231" s="48">
        <v>0</v>
      </c>
      <c r="AF231" s="48"/>
      <c r="AG231" s="45">
        <v>649450</v>
      </c>
      <c r="AH231" s="45"/>
      <c r="AI231" s="45">
        <v>1234043</v>
      </c>
      <c r="AJ231" s="45"/>
      <c r="AK231" s="45">
        <v>0</v>
      </c>
      <c r="AL231" s="45"/>
      <c r="AM231" s="45">
        <f>+'Gen rev'!U231-'Gen exp'!AC231-AG231+'Gen rev'!W231+AI231+AK231-'Gen Bal'!S232-'Gen exp'!AE231</f>
        <v>0</v>
      </c>
      <c r="AN231" s="44"/>
      <c r="AO231" s="44"/>
      <c r="AP231" s="44"/>
      <c r="AQ231" s="44"/>
    </row>
    <row r="232" spans="1:45" s="49" customFormat="1" ht="12.75" customHeight="1">
      <c r="A232" s="28" t="s">
        <v>263</v>
      </c>
      <c r="C232" s="28" t="s">
        <v>53</v>
      </c>
      <c r="E232" s="45">
        <v>4075942</v>
      </c>
      <c r="F232" s="45"/>
      <c r="G232" s="45">
        <v>3686206</v>
      </c>
      <c r="H232" s="45"/>
      <c r="I232" s="45">
        <v>231722</v>
      </c>
      <c r="J232" s="45"/>
      <c r="K232" s="45">
        <v>108895</v>
      </c>
      <c r="L232" s="45"/>
      <c r="M232" s="45">
        <v>0</v>
      </c>
      <c r="N232" s="45"/>
      <c r="O232" s="45">
        <v>803861</v>
      </c>
      <c r="P232" s="45"/>
      <c r="Q232" s="45">
        <v>0</v>
      </c>
      <c r="R232" s="45"/>
      <c r="S232" s="45">
        <v>20863</v>
      </c>
      <c r="T232" s="45"/>
      <c r="U232" s="45">
        <v>2408</v>
      </c>
      <c r="V232" s="45"/>
      <c r="W232" s="45">
        <v>1905</v>
      </c>
      <c r="X232" s="45"/>
      <c r="Y232" s="45">
        <v>4333</v>
      </c>
      <c r="Z232" s="44"/>
      <c r="AA232" s="45">
        <v>0</v>
      </c>
      <c r="AB232" s="44"/>
      <c r="AC232" s="45">
        <f t="shared" si="4"/>
        <v>8936135</v>
      </c>
      <c r="AD232" s="45"/>
      <c r="AE232" s="48">
        <v>0</v>
      </c>
      <c r="AF232" s="48"/>
      <c r="AG232" s="45">
        <v>0</v>
      </c>
      <c r="AH232" s="45"/>
      <c r="AI232" s="45">
        <v>3995587</v>
      </c>
      <c r="AJ232" s="45"/>
      <c r="AK232" s="45">
        <v>0</v>
      </c>
      <c r="AL232" s="45"/>
      <c r="AM232" s="45">
        <f>+'Gen rev'!U232-'Gen exp'!AC232-AG232+'Gen rev'!W232+AI232+AK232-'Gen Bal'!S233-'Gen exp'!AE232</f>
        <v>0</v>
      </c>
      <c r="AN232" s="45"/>
      <c r="AO232" s="45"/>
      <c r="AP232" s="45"/>
      <c r="AQ232" s="45"/>
      <c r="AR232" s="52"/>
      <c r="AS232" s="50"/>
    </row>
    <row r="233" spans="1:45" s="46" customFormat="1" ht="12.75" customHeight="1">
      <c r="A233" s="28" t="s">
        <v>264</v>
      </c>
      <c r="B233" s="49"/>
      <c r="C233" s="28" t="s">
        <v>239</v>
      </c>
      <c r="D233" s="49"/>
      <c r="E233" s="45">
        <v>1129757</v>
      </c>
      <c r="F233" s="45"/>
      <c r="G233" s="45">
        <v>2446860</v>
      </c>
      <c r="H233" s="45"/>
      <c r="I233" s="45">
        <v>67782</v>
      </c>
      <c r="J233" s="45"/>
      <c r="K233" s="45">
        <v>218356</v>
      </c>
      <c r="L233" s="45"/>
      <c r="M233" s="45">
        <v>0</v>
      </c>
      <c r="N233" s="45"/>
      <c r="O233" s="45">
        <v>0</v>
      </c>
      <c r="P233" s="45"/>
      <c r="Q233" s="45">
        <v>0</v>
      </c>
      <c r="R233" s="45"/>
      <c r="S233" s="45">
        <v>0</v>
      </c>
      <c r="T233" s="45"/>
      <c r="U233" s="45">
        <v>0</v>
      </c>
      <c r="V233" s="45"/>
      <c r="W233" s="45">
        <v>22342</v>
      </c>
      <c r="X233" s="45"/>
      <c r="Y233" s="45">
        <v>1341</v>
      </c>
      <c r="Z233" s="44"/>
      <c r="AA233" s="45">
        <v>0</v>
      </c>
      <c r="AB233" s="44"/>
      <c r="AC233" s="45">
        <f t="shared" si="4"/>
        <v>3886438</v>
      </c>
      <c r="AD233" s="45"/>
      <c r="AE233" s="48">
        <v>0</v>
      </c>
      <c r="AF233" s="48"/>
      <c r="AG233" s="45">
        <v>1069799</v>
      </c>
      <c r="AH233" s="45"/>
      <c r="AI233" s="45">
        <v>2385755</v>
      </c>
      <c r="AJ233" s="45"/>
      <c r="AK233" s="45">
        <v>0</v>
      </c>
      <c r="AL233" s="45"/>
      <c r="AM233" s="45">
        <f>+'Gen rev'!U233-'Gen exp'!AC233-AG233+'Gen rev'!W233+AI233+AK233-'Gen Bal'!S234-'Gen exp'!AE233</f>
        <v>0</v>
      </c>
      <c r="AN233" s="94"/>
      <c r="AO233" s="94"/>
      <c r="AP233" s="94"/>
      <c r="AQ233" s="94"/>
      <c r="AR233" s="90"/>
      <c r="AS233" s="64"/>
    </row>
    <row r="234" spans="1:45" s="49" customFormat="1" ht="12.75" customHeight="1">
      <c r="A234" s="28" t="s">
        <v>111</v>
      </c>
      <c r="C234" s="28" t="s">
        <v>80</v>
      </c>
      <c r="E234" s="45">
        <v>8087107</v>
      </c>
      <c r="F234" s="45"/>
      <c r="G234" s="45">
        <v>17361249</v>
      </c>
      <c r="H234" s="45"/>
      <c r="I234" s="45">
        <v>1946116</v>
      </c>
      <c r="J234" s="45"/>
      <c r="K234" s="45">
        <v>492168</v>
      </c>
      <c r="L234" s="45"/>
      <c r="M234" s="45">
        <v>0</v>
      </c>
      <c r="N234" s="45"/>
      <c r="O234" s="45">
        <v>876264</v>
      </c>
      <c r="P234" s="45"/>
      <c r="Q234" s="45">
        <v>0</v>
      </c>
      <c r="R234" s="45"/>
      <c r="S234" s="45">
        <v>0</v>
      </c>
      <c r="T234" s="45"/>
      <c r="U234" s="45">
        <v>0</v>
      </c>
      <c r="V234" s="45"/>
      <c r="W234" s="45">
        <v>52727</v>
      </c>
      <c r="X234" s="45"/>
      <c r="Y234" s="45">
        <v>18587</v>
      </c>
      <c r="Z234" s="44"/>
      <c r="AA234" s="45">
        <v>0</v>
      </c>
      <c r="AB234" s="44"/>
      <c r="AC234" s="45">
        <f t="shared" si="4"/>
        <v>28834218</v>
      </c>
      <c r="AD234" s="45"/>
      <c r="AE234" s="48">
        <v>0</v>
      </c>
      <c r="AF234" s="48"/>
      <c r="AG234" s="45">
        <v>1034600</v>
      </c>
      <c r="AH234" s="45"/>
      <c r="AI234" s="45">
        <v>6551398</v>
      </c>
      <c r="AJ234" s="45"/>
      <c r="AK234" s="45">
        <v>0</v>
      </c>
      <c r="AL234" s="45"/>
      <c r="AM234" s="45">
        <f>+'Gen rev'!U234-'Gen exp'!AC234-AG234+'Gen rev'!W234+AI234+AK234-'Gen Bal'!S235-'Gen exp'!AE234</f>
        <v>0</v>
      </c>
      <c r="AN234" s="45"/>
      <c r="AO234" s="45"/>
      <c r="AP234" s="45"/>
      <c r="AQ234" s="45"/>
      <c r="AR234" s="52"/>
      <c r="AS234" s="50"/>
    </row>
    <row r="235" spans="1:45" s="49" customFormat="1" ht="12" customHeight="1">
      <c r="A235" s="28" t="s">
        <v>265</v>
      </c>
      <c r="C235" s="28" t="s">
        <v>27</v>
      </c>
      <c r="E235" s="45">
        <v>2530921</v>
      </c>
      <c r="F235" s="45"/>
      <c r="G235" s="45">
        <v>7609023</v>
      </c>
      <c r="H235" s="45"/>
      <c r="I235" s="45">
        <v>636989</v>
      </c>
      <c r="J235" s="45"/>
      <c r="K235" s="45">
        <v>50615</v>
      </c>
      <c r="L235" s="45"/>
      <c r="M235" s="45">
        <v>1379824</v>
      </c>
      <c r="N235" s="45"/>
      <c r="O235" s="45">
        <v>261904</v>
      </c>
      <c r="P235" s="45"/>
      <c r="Q235" s="45">
        <v>1144734</v>
      </c>
      <c r="R235" s="45"/>
      <c r="S235" s="45">
        <v>0</v>
      </c>
      <c r="T235" s="45"/>
      <c r="U235" s="45">
        <v>0</v>
      </c>
      <c r="V235" s="45"/>
      <c r="W235" s="45">
        <v>265136</v>
      </c>
      <c r="X235" s="45"/>
      <c r="Y235" s="45">
        <v>38012</v>
      </c>
      <c r="Z235" s="44"/>
      <c r="AA235" s="45">
        <v>0</v>
      </c>
      <c r="AB235" s="44"/>
      <c r="AC235" s="45">
        <f t="shared" si="4"/>
        <v>13917158</v>
      </c>
      <c r="AD235" s="45"/>
      <c r="AE235" s="48">
        <v>0</v>
      </c>
      <c r="AF235" s="48"/>
      <c r="AG235" s="45">
        <v>128583</v>
      </c>
      <c r="AH235" s="45"/>
      <c r="AI235" s="45">
        <v>1243030</v>
      </c>
      <c r="AJ235" s="45"/>
      <c r="AK235" s="45">
        <v>0</v>
      </c>
      <c r="AL235" s="45"/>
      <c r="AM235" s="45">
        <f>+'Gen rev'!U235-'Gen exp'!AC235-AG235+'Gen rev'!W235+AI235+AK235-'Gen Bal'!S236-'Gen exp'!AE235</f>
        <v>0</v>
      </c>
      <c r="AN235" s="44"/>
      <c r="AO235" s="44"/>
      <c r="AP235" s="44"/>
      <c r="AQ235" s="44"/>
    </row>
    <row r="236" spans="1:45" s="49" customFormat="1" ht="12.75" customHeight="1">
      <c r="A236" s="28" t="s">
        <v>40</v>
      </c>
      <c r="C236" s="47" t="s">
        <v>452</v>
      </c>
      <c r="E236" s="45">
        <v>2233956</v>
      </c>
      <c r="F236" s="45"/>
      <c r="G236" s="45">
        <v>3370191</v>
      </c>
      <c r="H236" s="45"/>
      <c r="I236" s="45">
        <v>820908</v>
      </c>
      <c r="J236" s="45"/>
      <c r="K236" s="45">
        <v>33304</v>
      </c>
      <c r="L236" s="45"/>
      <c r="M236" s="45">
        <v>0</v>
      </c>
      <c r="N236" s="45"/>
      <c r="O236" s="45">
        <v>61137</v>
      </c>
      <c r="P236" s="45"/>
      <c r="Q236" s="45">
        <v>0</v>
      </c>
      <c r="R236" s="45"/>
      <c r="S236" s="45">
        <v>0</v>
      </c>
      <c r="T236" s="45"/>
      <c r="U236" s="45">
        <v>0</v>
      </c>
      <c r="V236" s="45"/>
      <c r="W236" s="45">
        <v>0</v>
      </c>
      <c r="X236" s="45"/>
      <c r="Y236" s="45">
        <v>0</v>
      </c>
      <c r="Z236" s="44"/>
      <c r="AA236" s="45">
        <v>0</v>
      </c>
      <c r="AB236" s="44"/>
      <c r="AC236" s="45">
        <f t="shared" si="4"/>
        <v>6519496</v>
      </c>
      <c r="AD236" s="45"/>
      <c r="AE236" s="48">
        <v>0</v>
      </c>
      <c r="AF236" s="48"/>
      <c r="AG236" s="45">
        <v>62960</v>
      </c>
      <c r="AH236" s="45"/>
      <c r="AI236" s="45">
        <v>1433995</v>
      </c>
      <c r="AJ236" s="45"/>
      <c r="AK236" s="45">
        <v>0</v>
      </c>
      <c r="AL236" s="45"/>
      <c r="AM236" s="45">
        <f>+'Gen rev'!U236-'Gen exp'!AC236-AG236+'Gen rev'!W236+AI236+AK236-'Gen Bal'!S237-'Gen exp'!AE236</f>
        <v>0</v>
      </c>
      <c r="AN236" s="44"/>
      <c r="AO236" s="44"/>
      <c r="AP236" s="44"/>
      <c r="AQ236" s="44"/>
    </row>
    <row r="237" spans="1:45" s="46" customFormat="1" ht="12.75" customHeight="1">
      <c r="A237" s="28" t="s">
        <v>266</v>
      </c>
      <c r="B237" s="49"/>
      <c r="C237" s="28" t="s">
        <v>267</v>
      </c>
      <c r="D237" s="49"/>
      <c r="E237" s="45">
        <v>627828</v>
      </c>
      <c r="F237" s="45"/>
      <c r="G237" s="45">
        <v>2002524</v>
      </c>
      <c r="H237" s="45"/>
      <c r="I237" s="45">
        <v>267057</v>
      </c>
      <c r="J237" s="45"/>
      <c r="K237" s="45">
        <v>0</v>
      </c>
      <c r="L237" s="45"/>
      <c r="M237" s="45">
        <v>275791</v>
      </c>
      <c r="N237" s="45"/>
      <c r="O237" s="45">
        <v>612181</v>
      </c>
      <c r="P237" s="45"/>
      <c r="Q237" s="45">
        <v>50647</v>
      </c>
      <c r="R237" s="45"/>
      <c r="S237" s="45">
        <v>42521</v>
      </c>
      <c r="T237" s="45"/>
      <c r="U237" s="45">
        <v>0</v>
      </c>
      <c r="V237" s="45"/>
      <c r="W237" s="45">
        <v>0</v>
      </c>
      <c r="X237" s="45"/>
      <c r="Y237" s="45">
        <v>0</v>
      </c>
      <c r="Z237" s="44"/>
      <c r="AA237" s="45">
        <v>0</v>
      </c>
      <c r="AB237" s="44"/>
      <c r="AC237" s="45">
        <f t="shared" si="4"/>
        <v>3878549</v>
      </c>
      <c r="AD237" s="45"/>
      <c r="AE237" s="48">
        <v>0</v>
      </c>
      <c r="AF237" s="48"/>
      <c r="AG237" s="45">
        <v>0</v>
      </c>
      <c r="AH237" s="45"/>
      <c r="AI237" s="45">
        <v>2040086</v>
      </c>
      <c r="AJ237" s="45"/>
      <c r="AK237" s="45">
        <v>8672</v>
      </c>
      <c r="AL237" s="45"/>
      <c r="AM237" s="45">
        <f>+'Gen rev'!U237-'Gen exp'!AC237-AG237+'Gen rev'!W237+AI237+AK237-'Gen Bal'!S238-'Gen exp'!AE237</f>
        <v>0</v>
      </c>
      <c r="AN237" s="94"/>
      <c r="AO237" s="94"/>
      <c r="AP237" s="94"/>
      <c r="AQ237" s="94"/>
      <c r="AR237" s="90"/>
      <c r="AS237" s="64"/>
    </row>
    <row r="238" spans="1:45" s="49" customFormat="1" ht="12.75" customHeight="1">
      <c r="A238" s="28" t="s">
        <v>268</v>
      </c>
      <c r="C238" s="28" t="s">
        <v>269</v>
      </c>
      <c r="E238" s="45">
        <v>992266</v>
      </c>
      <c r="F238" s="45"/>
      <c r="G238" s="45">
        <v>67313</v>
      </c>
      <c r="H238" s="45"/>
      <c r="I238" s="45">
        <v>0</v>
      </c>
      <c r="J238" s="45"/>
      <c r="K238" s="45">
        <v>1470</v>
      </c>
      <c r="L238" s="45"/>
      <c r="M238" s="45">
        <v>74163</v>
      </c>
      <c r="N238" s="45"/>
      <c r="O238" s="45">
        <v>0</v>
      </c>
      <c r="P238" s="45"/>
      <c r="Q238" s="45">
        <v>0</v>
      </c>
      <c r="R238" s="45"/>
      <c r="S238" s="45">
        <v>74508</v>
      </c>
      <c r="T238" s="45"/>
      <c r="U238" s="45">
        <v>0</v>
      </c>
      <c r="V238" s="45"/>
      <c r="W238" s="45">
        <v>0</v>
      </c>
      <c r="X238" s="45"/>
      <c r="Y238" s="45">
        <v>0</v>
      </c>
      <c r="Z238" s="44"/>
      <c r="AA238" s="45">
        <v>0</v>
      </c>
      <c r="AB238" s="44"/>
      <c r="AC238" s="45">
        <f t="shared" si="4"/>
        <v>1209720</v>
      </c>
      <c r="AD238" s="45"/>
      <c r="AE238" s="48">
        <v>0</v>
      </c>
      <c r="AF238" s="48"/>
      <c r="AG238" s="45">
        <v>1174144</v>
      </c>
      <c r="AH238" s="45"/>
      <c r="AI238" s="45">
        <v>926432</v>
      </c>
      <c r="AJ238" s="45"/>
      <c r="AK238" s="45">
        <v>0</v>
      </c>
      <c r="AL238" s="45"/>
      <c r="AM238" s="45">
        <f>+'Gen rev'!U238-'Gen exp'!AC238-AG238+'Gen rev'!W238+AI238+AK238-'Gen Bal'!S239-'Gen exp'!AE238</f>
        <v>0</v>
      </c>
      <c r="AN238" s="44"/>
      <c r="AO238" s="44"/>
      <c r="AP238" s="44"/>
      <c r="AQ238" s="44"/>
    </row>
    <row r="239" spans="1:45" s="49" customFormat="1" ht="12.75" customHeight="1">
      <c r="A239" s="28" t="s">
        <v>270</v>
      </c>
      <c r="C239" s="28" t="s">
        <v>136</v>
      </c>
      <c r="E239" s="45">
        <v>592879</v>
      </c>
      <c r="F239" s="45"/>
      <c r="G239" s="45">
        <v>1216729</v>
      </c>
      <c r="H239" s="45"/>
      <c r="I239" s="45">
        <v>13400</v>
      </c>
      <c r="J239" s="45"/>
      <c r="K239" s="45">
        <v>0</v>
      </c>
      <c r="L239" s="45"/>
      <c r="M239" s="45">
        <v>525</v>
      </c>
      <c r="N239" s="45"/>
      <c r="O239" s="45">
        <v>0</v>
      </c>
      <c r="P239" s="45"/>
      <c r="Q239" s="45">
        <v>0</v>
      </c>
      <c r="R239" s="45"/>
      <c r="S239" s="45">
        <v>0</v>
      </c>
      <c r="T239" s="45"/>
      <c r="U239" s="45">
        <v>0</v>
      </c>
      <c r="V239" s="45"/>
      <c r="W239" s="45">
        <v>0</v>
      </c>
      <c r="X239" s="45"/>
      <c r="Y239" s="45">
        <v>0</v>
      </c>
      <c r="Z239" s="44"/>
      <c r="AA239" s="45">
        <v>0</v>
      </c>
      <c r="AB239" s="44"/>
      <c r="AC239" s="45">
        <f>SUM(E239:AA239)</f>
        <v>1823533</v>
      </c>
      <c r="AD239" s="45"/>
      <c r="AE239" s="48">
        <v>0</v>
      </c>
      <c r="AF239" s="48"/>
      <c r="AG239" s="45">
        <v>0</v>
      </c>
      <c r="AH239" s="45"/>
      <c r="AI239" s="45">
        <v>237927</v>
      </c>
      <c r="AJ239" s="45"/>
      <c r="AK239" s="45">
        <v>0</v>
      </c>
      <c r="AL239" s="45"/>
      <c r="AM239" s="45">
        <f>+'Gen rev'!U239-'Gen exp'!AC239-AG239+'Gen rev'!W239+AI239+AK239-'Gen Bal'!S240-'Gen exp'!AE239</f>
        <v>0</v>
      </c>
      <c r="AN239" s="44"/>
      <c r="AO239" s="44"/>
      <c r="AP239" s="44"/>
      <c r="AQ239" s="44"/>
    </row>
    <row r="240" spans="1:45" s="46" customFormat="1" ht="12.75" customHeight="1">
      <c r="A240" s="28" t="s">
        <v>271</v>
      </c>
      <c r="B240" s="49"/>
      <c r="C240" s="28" t="s">
        <v>66</v>
      </c>
      <c r="D240" s="49"/>
      <c r="E240" s="45">
        <v>1453258</v>
      </c>
      <c r="F240" s="45"/>
      <c r="G240" s="45">
        <v>4337403</v>
      </c>
      <c r="H240" s="45"/>
      <c r="I240" s="45">
        <v>483906</v>
      </c>
      <c r="J240" s="45"/>
      <c r="K240" s="45">
        <v>0</v>
      </c>
      <c r="L240" s="45"/>
      <c r="M240" s="45">
        <v>0</v>
      </c>
      <c r="N240" s="45"/>
      <c r="O240" s="45">
        <v>702329</v>
      </c>
      <c r="P240" s="45"/>
      <c r="Q240" s="45">
        <v>0</v>
      </c>
      <c r="R240" s="45"/>
      <c r="S240" s="45">
        <v>0</v>
      </c>
      <c r="T240" s="45"/>
      <c r="U240" s="45">
        <v>0</v>
      </c>
      <c r="V240" s="45"/>
      <c r="W240" s="45">
        <v>0</v>
      </c>
      <c r="X240" s="45"/>
      <c r="Y240" s="45">
        <v>0</v>
      </c>
      <c r="Z240" s="44"/>
      <c r="AA240" s="45">
        <v>0</v>
      </c>
      <c r="AB240" s="44"/>
      <c r="AC240" s="45">
        <f t="shared" si="4"/>
        <v>6976896</v>
      </c>
      <c r="AD240" s="45"/>
      <c r="AE240" s="48">
        <v>0</v>
      </c>
      <c r="AF240" s="48"/>
      <c r="AG240" s="45">
        <v>338959</v>
      </c>
      <c r="AH240" s="45"/>
      <c r="AI240" s="45">
        <v>2224724</v>
      </c>
      <c r="AJ240" s="45"/>
      <c r="AK240" s="45">
        <v>0</v>
      </c>
      <c r="AL240" s="45"/>
      <c r="AM240" s="45">
        <f>+'Gen rev'!U240-'Gen exp'!AC240-AG240+'Gen rev'!W240+AI240+AK240-'Gen Bal'!S241-'Gen exp'!AE240</f>
        <v>0</v>
      </c>
    </row>
    <row r="241" spans="1:45" s="49" customFormat="1" ht="12.75" customHeight="1">
      <c r="A241" s="28" t="s">
        <v>272</v>
      </c>
      <c r="C241" s="28" t="s">
        <v>43</v>
      </c>
      <c r="E241" s="45">
        <v>9194224</v>
      </c>
      <c r="F241" s="45"/>
      <c r="G241" s="45">
        <v>11080282</v>
      </c>
      <c r="H241" s="45"/>
      <c r="I241" s="45">
        <v>2387252</v>
      </c>
      <c r="J241" s="45"/>
      <c r="K241" s="45">
        <v>67269</v>
      </c>
      <c r="L241" s="45"/>
      <c r="M241" s="45">
        <v>0</v>
      </c>
      <c r="N241" s="45"/>
      <c r="O241" s="45">
        <v>0</v>
      </c>
      <c r="P241" s="45"/>
      <c r="Q241" s="45">
        <v>532666</v>
      </c>
      <c r="R241" s="45"/>
      <c r="S241" s="45">
        <v>23810</v>
      </c>
      <c r="T241" s="45"/>
      <c r="U241" s="45">
        <v>0</v>
      </c>
      <c r="V241" s="45"/>
      <c r="W241" s="45">
        <v>562</v>
      </c>
      <c r="X241" s="45"/>
      <c r="Y241" s="45">
        <v>930</v>
      </c>
      <c r="Z241" s="44"/>
      <c r="AA241" s="45">
        <v>0</v>
      </c>
      <c r="AB241" s="44"/>
      <c r="AC241" s="45">
        <f t="shared" si="4"/>
        <v>23286995</v>
      </c>
      <c r="AD241" s="45"/>
      <c r="AE241" s="48">
        <v>0</v>
      </c>
      <c r="AF241" s="48"/>
      <c r="AG241" s="45">
        <v>6644242</v>
      </c>
      <c r="AH241" s="45"/>
      <c r="AI241" s="45">
        <v>25572494</v>
      </c>
      <c r="AJ241" s="45"/>
      <c r="AK241" s="45">
        <v>0</v>
      </c>
      <c r="AL241" s="45"/>
      <c r="AM241" s="45">
        <f>+'Gen rev'!U241-'Gen exp'!AC241-AG241+'Gen rev'!W241+AI241+AK241-'Gen Bal'!S242-'Gen exp'!AE241</f>
        <v>0</v>
      </c>
      <c r="AN241" s="45"/>
      <c r="AO241" s="45"/>
      <c r="AP241" s="45"/>
      <c r="AQ241" s="45"/>
      <c r="AR241" s="52"/>
      <c r="AS241" s="50"/>
    </row>
    <row r="242" spans="1:45" s="49" customFormat="1" ht="12.75" customHeight="1">
      <c r="A242" s="28" t="s">
        <v>273</v>
      </c>
      <c r="C242" s="28" t="s">
        <v>27</v>
      </c>
      <c r="E242" s="45">
        <v>5839929</v>
      </c>
      <c r="F242" s="45"/>
      <c r="G242" s="45">
        <v>8971924</v>
      </c>
      <c r="H242" s="45"/>
      <c r="I242" s="45">
        <v>1249363</v>
      </c>
      <c r="J242" s="45"/>
      <c r="K242" s="45">
        <v>618373</v>
      </c>
      <c r="L242" s="45"/>
      <c r="M242" s="45">
        <v>4426201</v>
      </c>
      <c r="N242" s="45"/>
      <c r="O242" s="45">
        <v>956798</v>
      </c>
      <c r="P242" s="45"/>
      <c r="Q242" s="45">
        <v>691414</v>
      </c>
      <c r="R242" s="45"/>
      <c r="S242" s="45">
        <v>584124</v>
      </c>
      <c r="T242" s="45"/>
      <c r="U242" s="45">
        <v>0</v>
      </c>
      <c r="V242" s="45"/>
      <c r="W242" s="45">
        <v>0</v>
      </c>
      <c r="X242" s="45"/>
      <c r="Y242" s="45">
        <v>0</v>
      </c>
      <c r="Z242" s="44"/>
      <c r="AA242" s="45">
        <v>0</v>
      </c>
      <c r="AB242" s="44"/>
      <c r="AC242" s="45">
        <f t="shared" si="4"/>
        <v>23338126</v>
      </c>
      <c r="AD242" s="45"/>
      <c r="AE242" s="48">
        <v>0</v>
      </c>
      <c r="AF242" s="48"/>
      <c r="AG242" s="45">
        <v>11101966</v>
      </c>
      <c r="AH242" s="45"/>
      <c r="AI242" s="45">
        <v>34081895</v>
      </c>
      <c r="AJ242" s="45"/>
      <c r="AK242" s="45">
        <v>0</v>
      </c>
      <c r="AL242" s="45"/>
      <c r="AM242" s="45">
        <f>+'Gen rev'!U242-'Gen exp'!AC242-AG242+'Gen rev'!W242+AI242+AK242-'Gen Bal'!S243-'Gen exp'!AE242</f>
        <v>0</v>
      </c>
      <c r="AN242" s="45"/>
      <c r="AO242" s="45"/>
      <c r="AP242" s="45"/>
      <c r="AQ242" s="45"/>
      <c r="AR242" s="52"/>
      <c r="AS242" s="50"/>
    </row>
    <row r="243" spans="1:45" s="49" customFormat="1" ht="12.75" customHeight="1">
      <c r="A243" s="28" t="s">
        <v>274</v>
      </c>
      <c r="C243" s="28" t="s">
        <v>43</v>
      </c>
      <c r="E243" s="45">
        <v>5019228</v>
      </c>
      <c r="F243" s="45"/>
      <c r="G243" s="45">
        <v>9196745</v>
      </c>
      <c r="H243" s="45"/>
      <c r="I243" s="45">
        <v>23834</v>
      </c>
      <c r="J243" s="45"/>
      <c r="K243" s="45">
        <v>84985</v>
      </c>
      <c r="L243" s="45"/>
      <c r="M243" s="45">
        <v>404415</v>
      </c>
      <c r="N243" s="45"/>
      <c r="O243" s="45">
        <v>578629</v>
      </c>
      <c r="P243" s="45"/>
      <c r="Q243" s="45">
        <v>411991</v>
      </c>
      <c r="R243" s="45"/>
      <c r="S243" s="45">
        <v>374000</v>
      </c>
      <c r="T243" s="45"/>
      <c r="U243" s="45">
        <v>0</v>
      </c>
      <c r="V243" s="45"/>
      <c r="W243" s="45">
        <v>8143</v>
      </c>
      <c r="X243" s="45"/>
      <c r="Y243" s="45">
        <v>1009</v>
      </c>
      <c r="Z243" s="44"/>
      <c r="AA243" s="45">
        <v>0</v>
      </c>
      <c r="AB243" s="44"/>
      <c r="AC243" s="45">
        <f t="shared" si="4"/>
        <v>16102979</v>
      </c>
      <c r="AD243" s="45"/>
      <c r="AE243" s="48">
        <v>0</v>
      </c>
      <c r="AF243" s="48"/>
      <c r="AG243" s="45">
        <v>1752992</v>
      </c>
      <c r="AH243" s="45"/>
      <c r="AI243" s="45">
        <v>4631787</v>
      </c>
      <c r="AJ243" s="45"/>
      <c r="AK243" s="45">
        <v>0</v>
      </c>
      <c r="AL243" s="45"/>
      <c r="AM243" s="45">
        <f>+'Gen rev'!U243-'Gen exp'!AC243-AG243+'Gen rev'!W243+AI243+AK243-'Gen Bal'!S244-'Gen exp'!AE243</f>
        <v>0</v>
      </c>
      <c r="AN243" s="44"/>
      <c r="AO243" s="44"/>
      <c r="AP243" s="44"/>
      <c r="AQ243" s="44"/>
    </row>
    <row r="244" spans="1:45" s="49" customFormat="1" ht="12.75" customHeight="1">
      <c r="A244" s="28" t="s">
        <v>275</v>
      </c>
      <c r="C244" s="28" t="s">
        <v>92</v>
      </c>
      <c r="E244" s="45">
        <v>3894510</v>
      </c>
      <c r="F244" s="45"/>
      <c r="G244" s="45">
        <v>5314545</v>
      </c>
      <c r="H244" s="45"/>
      <c r="I244" s="45">
        <v>169671</v>
      </c>
      <c r="J244" s="45"/>
      <c r="K244" s="45">
        <v>10455</v>
      </c>
      <c r="L244" s="45"/>
      <c r="M244" s="45">
        <v>1165796</v>
      </c>
      <c r="N244" s="45"/>
      <c r="O244" s="45">
        <v>212930</v>
      </c>
      <c r="P244" s="45"/>
      <c r="Q244" s="45">
        <v>809594</v>
      </c>
      <c r="R244" s="45"/>
      <c r="S244" s="45">
        <v>0</v>
      </c>
      <c r="T244" s="45"/>
      <c r="U244" s="45">
        <v>0</v>
      </c>
      <c r="V244" s="45"/>
      <c r="W244" s="45">
        <v>0</v>
      </c>
      <c r="X244" s="45"/>
      <c r="Y244" s="45">
        <v>0</v>
      </c>
      <c r="Z244" s="44"/>
      <c r="AA244" s="45">
        <v>0</v>
      </c>
      <c r="AB244" s="44"/>
      <c r="AC244" s="45">
        <f t="shared" si="4"/>
        <v>11577501</v>
      </c>
      <c r="AD244" s="45"/>
      <c r="AE244" s="48">
        <v>0</v>
      </c>
      <c r="AF244" s="48"/>
      <c r="AG244" s="45">
        <v>1650732</v>
      </c>
      <c r="AH244" s="45"/>
      <c r="AI244" s="45">
        <v>6876552</v>
      </c>
      <c r="AJ244" s="45"/>
      <c r="AK244" s="45">
        <v>-33360</v>
      </c>
      <c r="AL244" s="45"/>
      <c r="AM244" s="45">
        <f>+'Gen rev'!U244-'Gen exp'!AC244-AG244+'Gen rev'!W244+AI244+AK244-'Gen Bal'!S245-'Gen exp'!AE244</f>
        <v>0</v>
      </c>
      <c r="AN244" s="44"/>
      <c r="AO244" s="44"/>
      <c r="AP244" s="44"/>
      <c r="AQ244" s="44"/>
    </row>
    <row r="245" spans="1:45" s="49" customFormat="1" ht="12.75" customHeight="1">
      <c r="A245" s="28" t="s">
        <v>276</v>
      </c>
      <c r="C245" s="28" t="s">
        <v>38</v>
      </c>
      <c r="E245" s="45">
        <v>446340</v>
      </c>
      <c r="F245" s="45"/>
      <c r="G245" s="45">
        <v>2118709</v>
      </c>
      <c r="H245" s="45"/>
      <c r="I245" s="45">
        <v>166438</v>
      </c>
      <c r="J245" s="45"/>
      <c r="K245" s="45">
        <v>29993</v>
      </c>
      <c r="L245" s="45"/>
      <c r="M245" s="45">
        <v>221137</v>
      </c>
      <c r="N245" s="45"/>
      <c r="O245" s="45">
        <v>0</v>
      </c>
      <c r="P245" s="45"/>
      <c r="Q245" s="45">
        <v>0</v>
      </c>
      <c r="R245" s="45"/>
      <c r="S245" s="45">
        <v>0</v>
      </c>
      <c r="T245" s="45"/>
      <c r="U245" s="45">
        <v>0</v>
      </c>
      <c r="V245" s="45"/>
      <c r="W245" s="45">
        <v>0</v>
      </c>
      <c r="X245" s="45"/>
      <c r="Y245" s="45">
        <v>0</v>
      </c>
      <c r="Z245" s="44"/>
      <c r="AA245" s="45">
        <v>0</v>
      </c>
      <c r="AB245" s="44"/>
      <c r="AC245" s="45">
        <f t="shared" si="4"/>
        <v>2982617</v>
      </c>
      <c r="AD245" s="45"/>
      <c r="AE245" s="48">
        <v>0</v>
      </c>
      <c r="AF245" s="48"/>
      <c r="AG245" s="45">
        <v>19425</v>
      </c>
      <c r="AH245" s="45"/>
      <c r="AI245" s="45">
        <v>1541882</v>
      </c>
      <c r="AJ245" s="45"/>
      <c r="AK245" s="45">
        <v>0</v>
      </c>
      <c r="AL245" s="45"/>
      <c r="AM245" s="45">
        <f>+'Gen rev'!U245-'Gen exp'!AC245-AG245+'Gen rev'!W245+AI245+AK245-'Gen Bal'!S246-'Gen exp'!AE245</f>
        <v>0</v>
      </c>
      <c r="AN245" s="45"/>
      <c r="AO245" s="45"/>
      <c r="AP245" s="45"/>
      <c r="AQ245" s="45"/>
      <c r="AR245" s="52"/>
      <c r="AS245" s="50"/>
    </row>
    <row r="246" spans="1:45" s="49" customFormat="1" ht="12.75" customHeight="1">
      <c r="A246" s="28" t="s">
        <v>277</v>
      </c>
      <c r="C246" s="28" t="s">
        <v>92</v>
      </c>
      <c r="E246" s="45">
        <v>6416178</v>
      </c>
      <c r="F246" s="45"/>
      <c r="G246" s="45">
        <v>10380979</v>
      </c>
      <c r="H246" s="45"/>
      <c r="I246" s="45">
        <v>908998</v>
      </c>
      <c r="J246" s="45"/>
      <c r="K246" s="45">
        <v>452928</v>
      </c>
      <c r="L246" s="45"/>
      <c r="M246" s="45">
        <v>0</v>
      </c>
      <c r="N246" s="45"/>
      <c r="O246" s="45">
        <v>927894</v>
      </c>
      <c r="P246" s="45"/>
      <c r="Q246" s="45">
        <v>1097610</v>
      </c>
      <c r="R246" s="45"/>
      <c r="S246" s="45">
        <v>89812</v>
      </c>
      <c r="T246" s="45"/>
      <c r="U246" s="45">
        <v>0</v>
      </c>
      <c r="V246" s="45"/>
      <c r="W246" s="45">
        <v>0</v>
      </c>
      <c r="X246" s="45"/>
      <c r="Y246" s="45">
        <v>0</v>
      </c>
      <c r="Z246" s="44"/>
      <c r="AA246" s="45">
        <v>0</v>
      </c>
      <c r="AB246" s="44"/>
      <c r="AC246" s="45">
        <f t="shared" si="4"/>
        <v>20274399</v>
      </c>
      <c r="AD246" s="45"/>
      <c r="AE246" s="48">
        <v>0</v>
      </c>
      <c r="AF246" s="48"/>
      <c r="AG246" s="45">
        <v>2029479</v>
      </c>
      <c r="AH246" s="45"/>
      <c r="AI246" s="45">
        <v>9915306</v>
      </c>
      <c r="AJ246" s="45"/>
      <c r="AK246" s="45">
        <v>-5279</v>
      </c>
      <c r="AL246" s="45"/>
      <c r="AM246" s="45">
        <f>+'Gen rev'!U246-'Gen exp'!AC246-AG246+'Gen rev'!W246+AI246+AK246-'Gen Bal'!S247-'Gen exp'!AE246</f>
        <v>0</v>
      </c>
      <c r="AN246" s="44"/>
      <c r="AO246" s="44"/>
      <c r="AP246" s="44"/>
      <c r="AQ246" s="44"/>
    </row>
    <row r="247" spans="1:45" s="49" customFormat="1" ht="12.75" customHeight="1">
      <c r="A247" s="28" t="s">
        <v>278</v>
      </c>
      <c r="C247" s="28" t="s">
        <v>92</v>
      </c>
      <c r="E247" s="45">
        <v>1287890</v>
      </c>
      <c r="F247" s="45"/>
      <c r="G247" s="45">
        <v>3527903</v>
      </c>
      <c r="H247" s="45"/>
      <c r="I247" s="45">
        <v>143411</v>
      </c>
      <c r="J247" s="45"/>
      <c r="K247" s="45">
        <v>0</v>
      </c>
      <c r="L247" s="45"/>
      <c r="M247" s="45">
        <v>0</v>
      </c>
      <c r="N247" s="45"/>
      <c r="O247" s="45">
        <v>126341</v>
      </c>
      <c r="P247" s="45"/>
      <c r="Q247" s="45">
        <v>0</v>
      </c>
      <c r="R247" s="45"/>
      <c r="S247" s="45">
        <v>558993</v>
      </c>
      <c r="T247" s="45"/>
      <c r="U247" s="45">
        <v>0</v>
      </c>
      <c r="V247" s="45"/>
      <c r="W247" s="45">
        <v>0</v>
      </c>
      <c r="X247" s="45"/>
      <c r="Y247" s="45">
        <v>0</v>
      </c>
      <c r="Z247" s="44"/>
      <c r="AA247" s="45">
        <v>0</v>
      </c>
      <c r="AB247" s="44"/>
      <c r="AC247" s="45">
        <f t="shared" si="4"/>
        <v>5644538</v>
      </c>
      <c r="AD247" s="45"/>
      <c r="AE247" s="48">
        <v>0</v>
      </c>
      <c r="AF247" s="48"/>
      <c r="AG247" s="45">
        <v>414851</v>
      </c>
      <c r="AH247" s="45"/>
      <c r="AI247" s="45">
        <v>269442</v>
      </c>
      <c r="AJ247" s="45"/>
      <c r="AK247" s="45">
        <v>0</v>
      </c>
      <c r="AL247" s="45"/>
      <c r="AM247" s="45">
        <f>+'Gen rev'!U247-'Gen exp'!AC247-AG247+'Gen rev'!W247+AI247+AK247-'Gen Bal'!S248-'Gen exp'!AE247</f>
        <v>0</v>
      </c>
      <c r="AN247" s="44"/>
      <c r="AO247" s="44"/>
      <c r="AP247" s="44"/>
      <c r="AQ247" s="44"/>
    </row>
    <row r="248" spans="1:45" s="49" customFormat="1" ht="12.75" customHeight="1">
      <c r="A248" s="28" t="s">
        <v>279</v>
      </c>
      <c r="C248" s="28" t="s">
        <v>92</v>
      </c>
      <c r="E248" s="45">
        <v>1650890</v>
      </c>
      <c r="F248" s="45"/>
      <c r="G248" s="45">
        <v>3778741</v>
      </c>
      <c r="H248" s="45"/>
      <c r="I248" s="45">
        <v>364921</v>
      </c>
      <c r="J248" s="45"/>
      <c r="K248" s="45">
        <v>116366</v>
      </c>
      <c r="L248" s="45"/>
      <c r="M248" s="45">
        <v>231409</v>
      </c>
      <c r="N248" s="45"/>
      <c r="O248" s="45">
        <v>975656</v>
      </c>
      <c r="P248" s="45"/>
      <c r="Q248" s="45">
        <v>743678</v>
      </c>
      <c r="R248" s="45"/>
      <c r="S248" s="45">
        <v>0</v>
      </c>
      <c r="T248" s="45"/>
      <c r="U248" s="45">
        <v>0</v>
      </c>
      <c r="V248" s="45"/>
      <c r="W248" s="45">
        <v>0</v>
      </c>
      <c r="X248" s="45"/>
      <c r="Y248" s="45">
        <v>0</v>
      </c>
      <c r="Z248" s="44"/>
      <c r="AA248" s="45">
        <v>0</v>
      </c>
      <c r="AB248" s="44"/>
      <c r="AC248" s="45">
        <f t="shared" si="4"/>
        <v>7861661</v>
      </c>
      <c r="AD248" s="45"/>
      <c r="AE248" s="48">
        <v>0</v>
      </c>
      <c r="AF248" s="48"/>
      <c r="AG248" s="45">
        <v>291151</v>
      </c>
      <c r="AH248" s="45"/>
      <c r="AI248" s="45">
        <v>1817611</v>
      </c>
      <c r="AJ248" s="45"/>
      <c r="AK248" s="45">
        <v>0</v>
      </c>
      <c r="AL248" s="45"/>
      <c r="AM248" s="45">
        <f>+'Gen rev'!U248-'Gen exp'!AC248-AG248+'Gen rev'!W248+AI248+AK248-'Gen Bal'!S249-'Gen exp'!AE248</f>
        <v>0</v>
      </c>
      <c r="AN248" s="44"/>
      <c r="AO248" s="44"/>
      <c r="AP248" s="44"/>
      <c r="AQ248" s="44"/>
    </row>
    <row r="249" spans="1:45" s="49" customFormat="1" ht="12.75" customHeight="1">
      <c r="A249" s="28" t="s">
        <v>280</v>
      </c>
      <c r="C249" s="28" t="s">
        <v>281</v>
      </c>
      <c r="E249" s="45">
        <v>4867303</v>
      </c>
      <c r="F249" s="45"/>
      <c r="G249" s="45">
        <v>1801</v>
      </c>
      <c r="H249" s="45"/>
      <c r="I249" s="45">
        <v>0</v>
      </c>
      <c r="J249" s="45"/>
      <c r="K249" s="45">
        <v>0</v>
      </c>
      <c r="L249" s="45"/>
      <c r="M249" s="45">
        <v>0</v>
      </c>
      <c r="N249" s="45"/>
      <c r="O249" s="45">
        <v>0</v>
      </c>
      <c r="P249" s="45"/>
      <c r="Q249" s="45">
        <v>0</v>
      </c>
      <c r="R249" s="45"/>
      <c r="S249" s="45">
        <v>55336</v>
      </c>
      <c r="T249" s="45"/>
      <c r="U249" s="45">
        <v>0</v>
      </c>
      <c r="V249" s="45"/>
      <c r="W249" s="45">
        <v>0</v>
      </c>
      <c r="X249" s="45"/>
      <c r="Y249" s="45">
        <v>0</v>
      </c>
      <c r="Z249" s="44"/>
      <c r="AA249" s="45">
        <v>0</v>
      </c>
      <c r="AB249" s="44"/>
      <c r="AC249" s="45">
        <f t="shared" si="4"/>
        <v>4924440</v>
      </c>
      <c r="AD249" s="45"/>
      <c r="AE249" s="48">
        <v>0</v>
      </c>
      <c r="AF249" s="48"/>
      <c r="AG249" s="45">
        <v>4560192</v>
      </c>
      <c r="AH249" s="45"/>
      <c r="AI249" s="45">
        <v>3459789</v>
      </c>
      <c r="AJ249" s="45"/>
      <c r="AK249" s="45">
        <v>0</v>
      </c>
      <c r="AL249" s="45"/>
      <c r="AM249" s="45">
        <f>+'Gen rev'!U249-'Gen exp'!AC249-AG249+'Gen rev'!W249+AI249+AK249-'Gen Bal'!S250-'Gen exp'!AE249</f>
        <v>0</v>
      </c>
      <c r="AN249" s="44"/>
      <c r="AO249" s="44"/>
      <c r="AP249" s="44"/>
      <c r="AQ249" s="44"/>
    </row>
    <row r="250" spans="1:45" s="49" customFormat="1" ht="12.75" customHeight="1">
      <c r="A250" s="28" t="s">
        <v>282</v>
      </c>
      <c r="C250" s="28" t="s">
        <v>199</v>
      </c>
      <c r="E250" s="45">
        <v>3221718</v>
      </c>
      <c r="F250" s="45"/>
      <c r="G250" s="45">
        <v>8878166</v>
      </c>
      <c r="H250" s="45"/>
      <c r="I250" s="45">
        <v>835952</v>
      </c>
      <c r="J250" s="45"/>
      <c r="K250" s="45">
        <v>148884</v>
      </c>
      <c r="L250" s="45"/>
      <c r="M250" s="45">
        <v>1188595</v>
      </c>
      <c r="N250" s="45"/>
      <c r="O250" s="45">
        <v>1860763</v>
      </c>
      <c r="P250" s="45"/>
      <c r="Q250" s="45">
        <v>0</v>
      </c>
      <c r="R250" s="45"/>
      <c r="S250" s="45">
        <v>0</v>
      </c>
      <c r="T250" s="45"/>
      <c r="U250" s="45">
        <v>0</v>
      </c>
      <c r="V250" s="45"/>
      <c r="W250" s="45">
        <v>168621</v>
      </c>
      <c r="X250" s="45"/>
      <c r="Y250" s="45">
        <v>60192</v>
      </c>
      <c r="Z250" s="44"/>
      <c r="AA250" s="45">
        <v>0</v>
      </c>
      <c r="AB250" s="44"/>
      <c r="AC250" s="45">
        <f t="shared" si="4"/>
        <v>16362891</v>
      </c>
      <c r="AD250" s="45"/>
      <c r="AE250" s="48">
        <v>0</v>
      </c>
      <c r="AF250" s="48"/>
      <c r="AG250" s="45">
        <v>1431473</v>
      </c>
      <c r="AH250" s="45"/>
      <c r="AI250" s="45">
        <v>12476813</v>
      </c>
      <c r="AJ250" s="45"/>
      <c r="AK250" s="45"/>
      <c r="AL250" s="45"/>
      <c r="AM250" s="45">
        <f>+'Gen rev'!U250-'Gen exp'!AC250-AG250+'Gen rev'!W250+AI250+AK250-'Gen Bal'!S251-'Gen exp'!AE250</f>
        <v>0</v>
      </c>
      <c r="AN250" s="45"/>
      <c r="AO250" s="45"/>
      <c r="AP250" s="45"/>
      <c r="AQ250" s="45"/>
      <c r="AR250" s="52"/>
      <c r="AS250" s="50"/>
    </row>
    <row r="251" spans="1:45" s="49" customFormat="1" ht="12.75" customHeight="1">
      <c r="A251" s="28" t="s">
        <v>283</v>
      </c>
      <c r="C251" s="28" t="s">
        <v>43</v>
      </c>
      <c r="E251" s="45">
        <v>4646831</v>
      </c>
      <c r="F251" s="45"/>
      <c r="G251" s="45">
        <v>8888406</v>
      </c>
      <c r="H251" s="45"/>
      <c r="I251" s="45">
        <v>549224</v>
      </c>
      <c r="J251" s="45"/>
      <c r="K251" s="45">
        <v>49775</v>
      </c>
      <c r="L251" s="45"/>
      <c r="M251" s="45">
        <v>1350831</v>
      </c>
      <c r="N251" s="45"/>
      <c r="O251" s="45">
        <v>2909805</v>
      </c>
      <c r="P251" s="45"/>
      <c r="Q251" s="45">
        <v>1623277</v>
      </c>
      <c r="R251" s="45"/>
      <c r="S251" s="45">
        <v>0</v>
      </c>
      <c r="T251" s="45"/>
      <c r="U251" s="45">
        <v>0</v>
      </c>
      <c r="V251" s="45"/>
      <c r="W251" s="45">
        <v>0</v>
      </c>
      <c r="X251" s="45"/>
      <c r="Y251" s="45">
        <v>0</v>
      </c>
      <c r="Z251" s="44"/>
      <c r="AA251" s="45">
        <v>0</v>
      </c>
      <c r="AB251" s="44"/>
      <c r="AC251" s="45">
        <f t="shared" si="4"/>
        <v>20018149</v>
      </c>
      <c r="AD251" s="45"/>
      <c r="AE251" s="48">
        <v>0</v>
      </c>
      <c r="AF251" s="48"/>
      <c r="AG251" s="45">
        <v>934315</v>
      </c>
      <c r="AH251" s="45"/>
      <c r="AI251" s="45">
        <v>2558176</v>
      </c>
      <c r="AJ251" s="45"/>
      <c r="AK251" s="45">
        <v>0</v>
      </c>
      <c r="AL251" s="45"/>
      <c r="AM251" s="45">
        <f>+'Gen rev'!U251-'Gen exp'!AC251-AG251+'Gen rev'!W251+AI251+AK251-'Gen Bal'!S252-'Gen exp'!AE251</f>
        <v>0</v>
      </c>
      <c r="AN251" s="45"/>
      <c r="AO251" s="45"/>
      <c r="AP251" s="45"/>
      <c r="AQ251" s="45"/>
      <c r="AR251" s="52"/>
      <c r="AS251" s="50"/>
    </row>
    <row r="252" spans="1:45" s="49" customFormat="1" ht="12.75" customHeight="1">
      <c r="A252" s="28" t="s">
        <v>284</v>
      </c>
      <c r="C252" s="28" t="s">
        <v>45</v>
      </c>
      <c r="E252" s="45">
        <v>2577727</v>
      </c>
      <c r="F252" s="45"/>
      <c r="G252" s="45">
        <v>2451560</v>
      </c>
      <c r="H252" s="45"/>
      <c r="I252" s="45">
        <v>295359</v>
      </c>
      <c r="J252" s="45"/>
      <c r="K252" s="45">
        <v>50269</v>
      </c>
      <c r="L252" s="45"/>
      <c r="M252" s="45">
        <v>567010</v>
      </c>
      <c r="N252" s="45"/>
      <c r="O252" s="45">
        <v>93198</v>
      </c>
      <c r="P252" s="45"/>
      <c r="Q252" s="45">
        <v>519012</v>
      </c>
      <c r="R252" s="45"/>
      <c r="S252" s="45">
        <v>0</v>
      </c>
      <c r="T252" s="45"/>
      <c r="U252" s="45">
        <v>0</v>
      </c>
      <c r="V252" s="45"/>
      <c r="W252" s="45">
        <v>3431</v>
      </c>
      <c r="X252" s="45"/>
      <c r="Y252" s="45">
        <v>7803</v>
      </c>
      <c r="Z252" s="44"/>
      <c r="AA252" s="45">
        <v>0</v>
      </c>
      <c r="AB252" s="44"/>
      <c r="AC252" s="45">
        <f t="shared" si="4"/>
        <v>6565369</v>
      </c>
      <c r="AD252" s="45"/>
      <c r="AE252" s="48">
        <v>0</v>
      </c>
      <c r="AF252" s="48"/>
      <c r="AG252" s="45">
        <v>2650349</v>
      </c>
      <c r="AH252" s="45"/>
      <c r="AI252" s="45">
        <v>3594052</v>
      </c>
      <c r="AJ252" s="45"/>
      <c r="AK252" s="45">
        <v>0</v>
      </c>
      <c r="AL252" s="45"/>
      <c r="AM252" s="45">
        <f>+'Gen rev'!U252-'Gen exp'!AC252-AG252+'Gen rev'!W252+AI252+AK252-'Gen Bal'!S253-'Gen exp'!AE252</f>
        <v>0</v>
      </c>
      <c r="AN252" s="44"/>
      <c r="AO252" s="44"/>
      <c r="AP252" s="44"/>
      <c r="AQ252" s="44"/>
    </row>
    <row r="253" spans="1:45" s="49" customFormat="1" ht="12.75" customHeight="1">
      <c r="A253" s="28" t="s">
        <v>285</v>
      </c>
      <c r="C253" s="28" t="s">
        <v>30</v>
      </c>
      <c r="E253" s="45">
        <v>2841057</v>
      </c>
      <c r="F253" s="45"/>
      <c r="G253" s="45">
        <v>10581378</v>
      </c>
      <c r="H253" s="45"/>
      <c r="I253" s="45">
        <v>331927</v>
      </c>
      <c r="J253" s="45"/>
      <c r="K253" s="45">
        <v>60524</v>
      </c>
      <c r="L253" s="45"/>
      <c r="M253" s="45">
        <v>262830</v>
      </c>
      <c r="N253" s="45"/>
      <c r="O253" s="45">
        <v>375246</v>
      </c>
      <c r="P253" s="45"/>
      <c r="Q253" s="45">
        <v>0</v>
      </c>
      <c r="R253" s="45"/>
      <c r="S253" s="45">
        <v>0</v>
      </c>
      <c r="T253" s="45"/>
      <c r="U253" s="45">
        <v>0</v>
      </c>
      <c r="V253" s="45"/>
      <c r="W253" s="45">
        <v>0</v>
      </c>
      <c r="X253" s="45"/>
      <c r="Y253" s="45">
        <v>0</v>
      </c>
      <c r="Z253" s="44"/>
      <c r="AA253" s="45">
        <v>0</v>
      </c>
      <c r="AB253" s="44"/>
      <c r="AC253" s="45">
        <f t="shared" si="4"/>
        <v>14452962</v>
      </c>
      <c r="AD253" s="45"/>
      <c r="AE253" s="48">
        <v>0</v>
      </c>
      <c r="AF253" s="48"/>
      <c r="AG253" s="45">
        <v>1200121</v>
      </c>
      <c r="AH253" s="45"/>
      <c r="AI253" s="45">
        <v>3593692</v>
      </c>
      <c r="AJ253" s="45"/>
      <c r="AK253" s="45">
        <v>3085</v>
      </c>
      <c r="AL253" s="45"/>
      <c r="AM253" s="45">
        <f>+'Gen rev'!U253-'Gen exp'!AC253-AG253+'Gen rev'!W253+AI253+AK253-'Gen Bal'!S254-'Gen exp'!AE253</f>
        <v>0</v>
      </c>
      <c r="AN253" s="44"/>
      <c r="AO253" s="44"/>
      <c r="AP253" s="44"/>
      <c r="AQ253" s="44"/>
    </row>
    <row r="254" spans="1:45" s="49" customFormat="1" ht="12.75" customHeight="1">
      <c r="A254" s="28" t="s">
        <v>286</v>
      </c>
      <c r="C254" s="28" t="s">
        <v>61</v>
      </c>
      <c r="E254" s="45">
        <v>13209770</v>
      </c>
      <c r="F254" s="45"/>
      <c r="G254" s="45">
        <v>952722</v>
      </c>
      <c r="H254" s="45"/>
      <c r="I254" s="45">
        <v>848569</v>
      </c>
      <c r="J254" s="45"/>
      <c r="K254" s="45">
        <v>1224174</v>
      </c>
      <c r="L254" s="45"/>
      <c r="M254" s="45">
        <v>949981</v>
      </c>
      <c r="N254" s="45"/>
      <c r="O254" s="45">
        <v>177424</v>
      </c>
      <c r="P254" s="45"/>
      <c r="Q254" s="45">
        <v>3087999</v>
      </c>
      <c r="R254" s="45"/>
      <c r="S254" s="45">
        <v>0</v>
      </c>
      <c r="T254" s="45"/>
      <c r="U254" s="45">
        <v>0</v>
      </c>
      <c r="V254" s="45"/>
      <c r="W254" s="45">
        <v>9760</v>
      </c>
      <c r="X254" s="45"/>
      <c r="Y254" s="45">
        <v>1606</v>
      </c>
      <c r="Z254" s="44"/>
      <c r="AA254" s="45">
        <v>0</v>
      </c>
      <c r="AB254" s="44"/>
      <c r="AC254" s="45">
        <f t="shared" si="4"/>
        <v>20462005</v>
      </c>
      <c r="AD254" s="45"/>
      <c r="AE254" s="48">
        <v>0</v>
      </c>
      <c r="AF254" s="48"/>
      <c r="AG254" s="45">
        <v>15620110</v>
      </c>
      <c r="AH254" s="45"/>
      <c r="AI254" s="45">
        <v>504765</v>
      </c>
      <c r="AJ254" s="45"/>
      <c r="AK254" s="45">
        <v>0</v>
      </c>
      <c r="AL254" s="45"/>
      <c r="AM254" s="45">
        <f>+'Gen rev'!U254-'Gen exp'!AC254-AG254+'Gen rev'!W254+AI254+AK254-'Gen Bal'!S255-'Gen exp'!AE254</f>
        <v>0</v>
      </c>
      <c r="AN254" s="44"/>
      <c r="AO254" s="44"/>
      <c r="AP254" s="44"/>
      <c r="AQ254" s="44"/>
    </row>
    <row r="255" spans="1:45" s="49" customFormat="1" ht="12.75" customHeight="1">
      <c r="A255" s="28" t="s">
        <v>287</v>
      </c>
      <c r="C255" s="28" t="s">
        <v>288</v>
      </c>
      <c r="E255" s="45">
        <v>3784570</v>
      </c>
      <c r="F255" s="45"/>
      <c r="G255" s="45">
        <v>566120</v>
      </c>
      <c r="H255" s="45"/>
      <c r="I255" s="45">
        <v>312732</v>
      </c>
      <c r="J255" s="45"/>
      <c r="K255" s="45">
        <v>58330</v>
      </c>
      <c r="L255" s="45"/>
      <c r="M255" s="45">
        <v>0</v>
      </c>
      <c r="N255" s="45"/>
      <c r="O255" s="45">
        <v>661341</v>
      </c>
      <c r="P255" s="45"/>
      <c r="Q255" s="45">
        <v>0</v>
      </c>
      <c r="R255" s="45"/>
      <c r="S255" s="45">
        <v>0</v>
      </c>
      <c r="T255" s="45"/>
      <c r="U255" s="45">
        <v>200606</v>
      </c>
      <c r="V255" s="45"/>
      <c r="W255" s="45">
        <v>0</v>
      </c>
      <c r="X255" s="45"/>
      <c r="Y255" s="45">
        <v>0</v>
      </c>
      <c r="Z255" s="44"/>
      <c r="AA255" s="45">
        <v>0</v>
      </c>
      <c r="AB255" s="44"/>
      <c r="AC255" s="45">
        <f t="shared" si="4"/>
        <v>5583699</v>
      </c>
      <c r="AD255" s="45"/>
      <c r="AE255" s="48">
        <v>0</v>
      </c>
      <c r="AF255" s="48"/>
      <c r="AG255" s="45">
        <v>7642684</v>
      </c>
      <c r="AH255" s="45"/>
      <c r="AI255" s="45">
        <v>2873238</v>
      </c>
      <c r="AJ255" s="45"/>
      <c r="AK255" s="45">
        <v>0</v>
      </c>
      <c r="AL255" s="45"/>
      <c r="AM255" s="45">
        <f>+'Gen rev'!U255-'Gen exp'!AC255-AG255+'Gen rev'!W255+AI255+AK255-'Gen Bal'!S256-'Gen exp'!AE255</f>
        <v>0</v>
      </c>
      <c r="AN255" s="44"/>
      <c r="AO255" s="44"/>
      <c r="AP255" s="44"/>
      <c r="AQ255" s="44"/>
    </row>
    <row r="256" spans="1:45" s="47" customFormat="1" ht="12.75" customHeight="1">
      <c r="A256" s="50"/>
      <c r="B256" s="51"/>
      <c r="C256" s="50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51"/>
      <c r="AA256" s="49"/>
      <c r="AB256" s="51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</row>
    <row r="257" spans="1:45" s="49" customFormat="1" ht="12.75" customHeight="1">
      <c r="A257" s="50"/>
      <c r="C257" s="50"/>
      <c r="D257" s="47"/>
    </row>
    <row r="258" spans="1:45" s="49" customFormat="1" ht="12.75" customHeight="1">
      <c r="A258" s="50"/>
      <c r="C258" s="50"/>
    </row>
    <row r="259" spans="1:45" s="49" customFormat="1" ht="12.75" customHeight="1">
      <c r="A259" s="50"/>
      <c r="C259" s="50"/>
    </row>
    <row r="260" spans="1:45" s="49" customFormat="1" ht="12.75" customHeight="1">
      <c r="A260" s="50"/>
      <c r="C260" s="50"/>
    </row>
    <row r="261" spans="1:45" s="49" customFormat="1" ht="12.75" customHeight="1">
      <c r="A261" s="50"/>
      <c r="C261" s="50"/>
      <c r="D261" s="47"/>
    </row>
    <row r="262" spans="1:45" s="49" customFormat="1" ht="12.75" customHeight="1">
      <c r="A262" s="50"/>
      <c r="C262" s="50"/>
      <c r="D262" s="47"/>
    </row>
    <row r="263" spans="1:45" s="49" customFormat="1" ht="12.75" customHeight="1">
      <c r="A263" s="50"/>
      <c r="C263" s="50"/>
      <c r="D263" s="47"/>
    </row>
    <row r="264" spans="1:45" s="49" customFormat="1" ht="12.75" customHeight="1">
      <c r="A264" s="50"/>
      <c r="C264" s="50"/>
      <c r="D264" s="47"/>
    </row>
    <row r="265" spans="1:45" s="49" customFormat="1" ht="12.75" customHeight="1">
      <c r="A265" s="50"/>
      <c r="C265" s="50"/>
      <c r="D265" s="47"/>
    </row>
    <row r="266" spans="1:45" s="49" customFormat="1" ht="12.75" customHeight="1">
      <c r="A266" s="50"/>
      <c r="C266" s="50"/>
      <c r="D266" s="47"/>
    </row>
    <row r="267" spans="1:45" s="49" customFormat="1" ht="12.75" customHeight="1">
      <c r="A267" s="50"/>
      <c r="C267" s="50"/>
      <c r="D267" s="47"/>
    </row>
    <row r="268" spans="1:45" s="49" customFormat="1" ht="12.75" customHeight="1">
      <c r="A268" s="50"/>
      <c r="C268" s="50"/>
      <c r="D268" s="47"/>
    </row>
    <row r="269" spans="1:45" s="49" customFormat="1" ht="12.75" customHeight="1">
      <c r="A269" s="50"/>
      <c r="C269" s="50"/>
      <c r="D269" s="47"/>
    </row>
    <row r="270" spans="1:45" s="49" customFormat="1" ht="12.75" customHeight="1">
      <c r="A270" s="50"/>
      <c r="C270" s="50"/>
      <c r="D270" s="47"/>
      <c r="AR270" s="47"/>
      <c r="AS270" s="47"/>
    </row>
    <row r="271" spans="1:45" s="49" customFormat="1" ht="12.75" customHeight="1">
      <c r="A271" s="50"/>
      <c r="C271" s="50"/>
      <c r="D271" s="47"/>
      <c r="AR271" s="47"/>
      <c r="AS271" s="47"/>
    </row>
    <row r="272" spans="1:45" s="49" customFormat="1" ht="12.75" customHeight="1">
      <c r="A272" s="50"/>
      <c r="C272" s="50"/>
      <c r="D272" s="47"/>
      <c r="AR272" s="47"/>
      <c r="AS272" s="47"/>
    </row>
    <row r="273" spans="1:45" s="49" customFormat="1" ht="12.75" customHeight="1">
      <c r="A273" s="50"/>
      <c r="C273" s="50"/>
      <c r="D273" s="47"/>
      <c r="AR273" s="47"/>
      <c r="AS273" s="47"/>
    </row>
    <row r="274" spans="1:45" s="49" customFormat="1" ht="12.75" customHeight="1">
      <c r="A274" s="50"/>
      <c r="C274" s="50"/>
      <c r="D274" s="47"/>
      <c r="AR274" s="47"/>
      <c r="AS274" s="47"/>
    </row>
    <row r="275" spans="1:45" s="49" customFormat="1" ht="12.75" customHeight="1">
      <c r="A275" s="50"/>
      <c r="C275" s="50"/>
      <c r="D275" s="47"/>
      <c r="AR275" s="47"/>
      <c r="AS275" s="47"/>
    </row>
    <row r="276" spans="1:45" s="49" customFormat="1" ht="12.75" customHeight="1">
      <c r="A276" s="50"/>
      <c r="C276" s="50"/>
      <c r="D276" s="47"/>
      <c r="AR276" s="47"/>
      <c r="AS276" s="47"/>
    </row>
    <row r="277" spans="1:45" s="49" customFormat="1" ht="12.75" customHeight="1">
      <c r="A277" s="50"/>
      <c r="C277" s="50"/>
      <c r="D277" s="47"/>
      <c r="AR277" s="47"/>
      <c r="AS277" s="47"/>
    </row>
    <row r="278" spans="1:45" s="49" customFormat="1" ht="12.75" customHeight="1">
      <c r="A278" s="50"/>
      <c r="C278" s="50"/>
      <c r="D278" s="47"/>
      <c r="AR278" s="47"/>
      <c r="AS278" s="47"/>
    </row>
    <row r="279" spans="1:45" s="49" customFormat="1" ht="12.75" customHeight="1">
      <c r="A279" s="50"/>
      <c r="C279" s="50"/>
      <c r="D279" s="47"/>
      <c r="AR279" s="47"/>
      <c r="AS279" s="47"/>
    </row>
    <row r="280" spans="1:45" s="49" customFormat="1" ht="12.75" customHeight="1">
      <c r="A280" s="50"/>
      <c r="C280" s="50"/>
      <c r="D280" s="47"/>
      <c r="AR280" s="47"/>
      <c r="AS280" s="47"/>
    </row>
    <row r="281" spans="1:45" s="49" customFormat="1" ht="12.75" customHeight="1">
      <c r="A281" s="50"/>
      <c r="C281" s="50"/>
      <c r="D281" s="47"/>
      <c r="AR281" s="47"/>
      <c r="AS281" s="47"/>
    </row>
    <row r="282" spans="1:45" s="49" customFormat="1" ht="12.75" customHeight="1">
      <c r="A282" s="50"/>
      <c r="C282" s="50"/>
      <c r="D282" s="47"/>
      <c r="AR282" s="47"/>
      <c r="AS282" s="47"/>
    </row>
    <row r="283" spans="1:45" s="49" customFormat="1" ht="12.75" customHeight="1">
      <c r="A283" s="50"/>
      <c r="C283" s="50"/>
      <c r="D283" s="47"/>
      <c r="AR283" s="47"/>
      <c r="AS283" s="47"/>
    </row>
    <row r="284" spans="1:45" s="49" customFormat="1" ht="12.75" customHeight="1">
      <c r="A284" s="50"/>
      <c r="C284" s="50"/>
      <c r="D284" s="47"/>
      <c r="AR284" s="47"/>
      <c r="AS284" s="47"/>
    </row>
    <row r="285" spans="1:45" s="49" customFormat="1" ht="12.75" customHeight="1">
      <c r="A285" s="50"/>
      <c r="C285" s="50"/>
      <c r="D285" s="47"/>
      <c r="AR285" s="47"/>
      <c r="AS285" s="47"/>
    </row>
    <row r="286" spans="1:45" s="49" customFormat="1" ht="12.75" customHeight="1">
      <c r="A286" s="50"/>
      <c r="C286" s="50"/>
      <c r="D286" s="47"/>
      <c r="AR286" s="47"/>
      <c r="AS286" s="47"/>
    </row>
    <row r="287" spans="1:45" s="49" customFormat="1" ht="12.75" customHeight="1">
      <c r="A287" s="50"/>
      <c r="C287" s="50"/>
      <c r="D287" s="47"/>
      <c r="AR287" s="47"/>
      <c r="AS287" s="47"/>
    </row>
    <row r="288" spans="1:45" s="49" customFormat="1" ht="12.75" customHeight="1">
      <c r="A288" s="50"/>
      <c r="C288" s="50"/>
      <c r="D288" s="47"/>
      <c r="AR288" s="47"/>
      <c r="AS288" s="47"/>
    </row>
    <row r="289" spans="1:45" s="49" customFormat="1" ht="12.75" customHeight="1">
      <c r="A289" s="50"/>
      <c r="C289" s="50"/>
      <c r="D289" s="47"/>
      <c r="AR289" s="47"/>
      <c r="AS289" s="47"/>
    </row>
    <row r="290" spans="1:45" s="49" customFormat="1" ht="12.75" customHeight="1">
      <c r="A290" s="50"/>
      <c r="C290" s="50"/>
      <c r="D290" s="47"/>
      <c r="AR290" s="47"/>
      <c r="AS290" s="47"/>
    </row>
    <row r="291" spans="1:45" s="49" customFormat="1" ht="12.75" customHeight="1">
      <c r="A291" s="50"/>
      <c r="C291" s="50"/>
      <c r="D291" s="47"/>
      <c r="AR291" s="47"/>
      <c r="AS291" s="47"/>
    </row>
    <row r="292" spans="1:45" s="49" customFormat="1" ht="12.75" customHeight="1">
      <c r="A292" s="50"/>
      <c r="C292" s="50"/>
      <c r="D292" s="47"/>
      <c r="AR292" s="47"/>
      <c r="AS292" s="47"/>
    </row>
    <row r="293" spans="1:45" s="49" customFormat="1" ht="12.75" customHeight="1">
      <c r="A293" s="50"/>
      <c r="C293" s="50"/>
      <c r="D293" s="47"/>
      <c r="AR293" s="47"/>
      <c r="AS293" s="47"/>
    </row>
    <row r="294" spans="1:45" s="49" customFormat="1" ht="12.75" customHeight="1">
      <c r="A294" s="50"/>
      <c r="C294" s="50"/>
      <c r="D294" s="47"/>
      <c r="AR294" s="47"/>
      <c r="AS294" s="47"/>
    </row>
    <row r="295" spans="1:45" s="49" customFormat="1" ht="12.75" customHeight="1">
      <c r="A295" s="50"/>
      <c r="C295" s="50"/>
      <c r="D295" s="47"/>
      <c r="AR295" s="47"/>
      <c r="AS295" s="47"/>
    </row>
    <row r="296" spans="1:45" s="49" customFormat="1" ht="12.75" customHeight="1">
      <c r="A296" s="50"/>
      <c r="C296" s="50"/>
      <c r="D296" s="47"/>
      <c r="AR296" s="47"/>
      <c r="AS296" s="47"/>
    </row>
    <row r="297" spans="1:45" s="49" customFormat="1" ht="12.75" customHeight="1">
      <c r="A297" s="50"/>
      <c r="C297" s="50"/>
      <c r="D297" s="47"/>
      <c r="AR297" s="47"/>
      <c r="AS297" s="47"/>
    </row>
    <row r="298" spans="1:45" s="49" customFormat="1" ht="12.75" customHeight="1">
      <c r="A298" s="50"/>
      <c r="C298" s="50"/>
      <c r="D298" s="47"/>
      <c r="AR298" s="47"/>
      <c r="AS298" s="47"/>
    </row>
    <row r="299" spans="1:45" s="49" customFormat="1" ht="12.75" customHeight="1">
      <c r="A299" s="50"/>
      <c r="C299" s="50"/>
      <c r="D299" s="47"/>
      <c r="AR299" s="47"/>
      <c r="AS299" s="47"/>
    </row>
    <row r="300" spans="1:45" s="49" customFormat="1" ht="12.75" customHeight="1">
      <c r="A300" s="50"/>
      <c r="C300" s="50"/>
      <c r="D300" s="47"/>
      <c r="AR300" s="47"/>
      <c r="AS300" s="47"/>
    </row>
    <row r="301" spans="1:45" s="49" customFormat="1" ht="12.75" customHeight="1">
      <c r="A301" s="50"/>
      <c r="C301" s="50"/>
      <c r="D301" s="47"/>
      <c r="AR301" s="47"/>
      <c r="AS301" s="47"/>
    </row>
    <row r="302" spans="1:45" s="49" customFormat="1" ht="12.75" customHeight="1">
      <c r="A302" s="50"/>
      <c r="C302" s="50"/>
      <c r="D302" s="47"/>
      <c r="AR302" s="47"/>
      <c r="AS302" s="47"/>
    </row>
    <row r="303" spans="1:45" s="49" customFormat="1" ht="12.75" customHeight="1">
      <c r="A303" s="50"/>
      <c r="C303" s="50"/>
      <c r="D303" s="47"/>
      <c r="AR303" s="47"/>
      <c r="AS303" s="47"/>
    </row>
    <row r="304" spans="1:45" s="49" customFormat="1" ht="12.75" customHeight="1">
      <c r="A304" s="50"/>
      <c r="C304" s="50"/>
      <c r="D304" s="47"/>
      <c r="AR304" s="47"/>
      <c r="AS304" s="47"/>
    </row>
    <row r="305" spans="1:45" s="49" customFormat="1" ht="12.75" customHeight="1">
      <c r="A305" s="50"/>
      <c r="C305" s="50"/>
      <c r="D305" s="47"/>
      <c r="AR305" s="47"/>
      <c r="AS305" s="47"/>
    </row>
    <row r="306" spans="1:45" s="17" customFormat="1" ht="12.75" customHeight="1">
      <c r="A306" s="11"/>
      <c r="C306" s="11"/>
      <c r="D306" s="10"/>
      <c r="AR306" s="10"/>
      <c r="AS306" s="10"/>
    </row>
    <row r="307" spans="1:45" s="17" customFormat="1" ht="12.75" customHeight="1">
      <c r="A307" s="11"/>
      <c r="C307" s="11"/>
      <c r="D307" s="10"/>
      <c r="AR307" s="10"/>
      <c r="AS307" s="10"/>
    </row>
    <row r="308" spans="1:45" s="17" customFormat="1" ht="12.75" customHeight="1">
      <c r="A308" s="11"/>
      <c r="C308" s="11"/>
      <c r="D308" s="10"/>
      <c r="AR308" s="10"/>
      <c r="AS308" s="10"/>
    </row>
    <row r="309" spans="1:45" s="17" customFormat="1" ht="12.75" customHeight="1">
      <c r="A309" s="11"/>
      <c r="C309" s="11"/>
      <c r="D309" s="10"/>
      <c r="AR309" s="10"/>
      <c r="AS309" s="10"/>
    </row>
    <row r="310" spans="1:45" s="17" customFormat="1" ht="12.75" customHeight="1">
      <c r="A310" s="11"/>
      <c r="C310" s="11"/>
      <c r="D310" s="10"/>
      <c r="AR310" s="10"/>
      <c r="AS310" s="10"/>
    </row>
    <row r="311" spans="1:45" s="17" customFormat="1" ht="12.75" customHeight="1">
      <c r="A311" s="11"/>
      <c r="C311" s="11"/>
      <c r="D311" s="10"/>
      <c r="AR311" s="10"/>
      <c r="AS311" s="10"/>
    </row>
    <row r="312" spans="1:45" s="17" customFormat="1" ht="12.75" customHeight="1">
      <c r="A312" s="11"/>
      <c r="C312" s="11"/>
      <c r="D312" s="10"/>
      <c r="AR312" s="10"/>
      <c r="AS312" s="10"/>
    </row>
    <row r="313" spans="1:45" s="17" customFormat="1" ht="12.75" customHeight="1">
      <c r="A313" s="11"/>
      <c r="C313" s="11"/>
      <c r="D313" s="10"/>
      <c r="AR313" s="10"/>
      <c r="AS313" s="10"/>
    </row>
    <row r="314" spans="1:45" s="17" customFormat="1" ht="12.75" customHeight="1">
      <c r="A314" s="11"/>
      <c r="C314" s="11"/>
      <c r="D314" s="10"/>
      <c r="AR314" s="10"/>
      <c r="AS314" s="10"/>
    </row>
    <row r="315" spans="1:45" s="17" customFormat="1" ht="12.75" customHeight="1">
      <c r="A315" s="11"/>
      <c r="C315" s="11"/>
      <c r="D315" s="10"/>
      <c r="AR315" s="10"/>
      <c r="AS315" s="10"/>
    </row>
    <row r="316" spans="1:45" s="17" customFormat="1" ht="12.75" customHeight="1">
      <c r="A316" s="11"/>
      <c r="C316" s="11"/>
      <c r="D316" s="10"/>
      <c r="AR316" s="10"/>
      <c r="AS316" s="10"/>
    </row>
    <row r="317" spans="1:45" s="17" customFormat="1" ht="12.75" customHeight="1">
      <c r="A317" s="11"/>
      <c r="C317" s="11"/>
      <c r="D317" s="10"/>
      <c r="AR317" s="10"/>
      <c r="AS317" s="10"/>
    </row>
    <row r="318" spans="1:45" s="17" customFormat="1" ht="12.75" customHeight="1">
      <c r="A318" s="11"/>
      <c r="C318" s="11"/>
      <c r="D318" s="10"/>
      <c r="AR318" s="10"/>
      <c r="AS318" s="10"/>
    </row>
    <row r="319" spans="1:45" s="17" customFormat="1" ht="12.75" customHeight="1">
      <c r="A319" s="11"/>
      <c r="C319" s="11"/>
      <c r="D319" s="10"/>
      <c r="AR319" s="10"/>
      <c r="AS319" s="10"/>
    </row>
    <row r="320" spans="1:45" s="17" customFormat="1" ht="12.75" customHeight="1">
      <c r="A320" s="11"/>
      <c r="C320" s="11"/>
      <c r="D320" s="10"/>
      <c r="AR320" s="10"/>
      <c r="AS320" s="10"/>
    </row>
    <row r="321" spans="1:45" s="17" customFormat="1" ht="12.75" customHeight="1">
      <c r="A321" s="11"/>
      <c r="C321" s="11"/>
      <c r="D321" s="10"/>
      <c r="AR321" s="10"/>
      <c r="AS321" s="10"/>
    </row>
    <row r="322" spans="1:45" s="17" customFormat="1" ht="12.75" customHeight="1">
      <c r="A322" s="11"/>
      <c r="C322" s="11"/>
      <c r="D322" s="10"/>
      <c r="AR322" s="10"/>
      <c r="AS322" s="10"/>
    </row>
    <row r="323" spans="1:45" s="17" customFormat="1" ht="12.75" customHeight="1">
      <c r="A323" s="11"/>
      <c r="C323" s="11"/>
      <c r="D323" s="10"/>
      <c r="AR323" s="10"/>
      <c r="AS323" s="10"/>
    </row>
    <row r="324" spans="1:45" s="17" customFormat="1" ht="12.75" customHeight="1">
      <c r="A324" s="11"/>
      <c r="C324" s="11"/>
      <c r="D324" s="10"/>
      <c r="AR324" s="10"/>
      <c r="AS324" s="10"/>
    </row>
    <row r="325" spans="1:45" s="17" customFormat="1" ht="12.75" customHeight="1">
      <c r="A325" s="11"/>
      <c r="C325" s="11"/>
      <c r="D325" s="10"/>
      <c r="AR325" s="10"/>
      <c r="AS325" s="10"/>
    </row>
    <row r="326" spans="1:45" s="17" customFormat="1" ht="12.75" customHeight="1">
      <c r="A326" s="11"/>
      <c r="C326" s="11"/>
      <c r="D326" s="10"/>
      <c r="AR326" s="10"/>
      <c r="AS326" s="10"/>
    </row>
    <row r="327" spans="1:45" s="17" customFormat="1" ht="12.75" customHeight="1">
      <c r="A327" s="11"/>
      <c r="C327" s="11"/>
      <c r="D327" s="10"/>
      <c r="AR327" s="10"/>
      <c r="AS327" s="10"/>
    </row>
    <row r="328" spans="1:45" s="17" customFormat="1" ht="12.75" customHeight="1">
      <c r="A328" s="11"/>
      <c r="C328" s="11"/>
      <c r="D328" s="10"/>
      <c r="AR328" s="10"/>
      <c r="AS328" s="10"/>
    </row>
    <row r="329" spans="1:45" s="17" customFormat="1" ht="12.75" customHeight="1">
      <c r="A329" s="11"/>
      <c r="C329" s="11"/>
      <c r="D329" s="10"/>
      <c r="AR329" s="10"/>
      <c r="AS329" s="10"/>
    </row>
    <row r="330" spans="1:45" s="17" customFormat="1" ht="12.75" customHeight="1">
      <c r="A330" s="11"/>
      <c r="C330" s="11"/>
      <c r="D330" s="10"/>
      <c r="AR330" s="10"/>
      <c r="AS330" s="10"/>
    </row>
    <row r="331" spans="1:45" s="17" customFormat="1" ht="12.75" customHeight="1">
      <c r="A331" s="11"/>
      <c r="C331" s="11"/>
      <c r="D331" s="10"/>
      <c r="AR331" s="10"/>
      <c r="AS331" s="10"/>
    </row>
    <row r="332" spans="1:45" s="17" customFormat="1" ht="12.75" customHeight="1">
      <c r="A332" s="11"/>
      <c r="C332" s="11"/>
      <c r="D332" s="10"/>
      <c r="AR332" s="10"/>
      <c r="AS332" s="10"/>
    </row>
    <row r="333" spans="1:45" s="17" customFormat="1" ht="12.75" customHeight="1">
      <c r="A333" s="11"/>
      <c r="C333" s="11"/>
      <c r="D333" s="10"/>
      <c r="AR333" s="10"/>
      <c r="AS333" s="10"/>
    </row>
    <row r="334" spans="1:45" s="17" customFormat="1" ht="12.75" customHeight="1">
      <c r="A334" s="11"/>
      <c r="C334" s="11"/>
      <c r="D334" s="10"/>
      <c r="AR334" s="10"/>
      <c r="AS334" s="10"/>
    </row>
    <row r="335" spans="1:45" s="17" customFormat="1" ht="12.75" customHeight="1">
      <c r="A335" s="11"/>
      <c r="C335" s="11"/>
      <c r="D335" s="10"/>
      <c r="AR335" s="10"/>
      <c r="AS335" s="10"/>
    </row>
    <row r="336" spans="1:45" s="17" customFormat="1" ht="12.75" customHeight="1">
      <c r="A336" s="11"/>
      <c r="C336" s="11"/>
      <c r="D336" s="10"/>
      <c r="AR336" s="10"/>
      <c r="AS336" s="10"/>
    </row>
    <row r="337" spans="1:45" s="17" customFormat="1" ht="12.75" customHeight="1">
      <c r="A337" s="11"/>
      <c r="C337" s="11"/>
      <c r="D337" s="10"/>
      <c r="AR337" s="10"/>
      <c r="AS337" s="10"/>
    </row>
    <row r="338" spans="1:45" s="17" customFormat="1" ht="12.75" customHeight="1">
      <c r="A338" s="11"/>
      <c r="C338" s="11"/>
      <c r="D338" s="10"/>
      <c r="AR338" s="10"/>
      <c r="AS338" s="10"/>
    </row>
    <row r="339" spans="1:45" s="17" customFormat="1" ht="12.75" customHeight="1">
      <c r="A339" s="11"/>
      <c r="C339" s="11"/>
      <c r="D339" s="10"/>
      <c r="AR339" s="10"/>
      <c r="AS339" s="10"/>
    </row>
    <row r="340" spans="1:45" s="17" customFormat="1" ht="12.75" customHeight="1">
      <c r="A340" s="11"/>
      <c r="C340" s="11"/>
      <c r="D340" s="10"/>
      <c r="AR340" s="10"/>
      <c r="AS340" s="10"/>
    </row>
    <row r="341" spans="1:45" s="17" customFormat="1" ht="12.75" customHeight="1">
      <c r="A341" s="11"/>
      <c r="C341" s="11"/>
      <c r="D341" s="10"/>
      <c r="AR341" s="10"/>
      <c r="AS341" s="10"/>
    </row>
    <row r="342" spans="1:45" s="17" customFormat="1" ht="12.75" customHeight="1">
      <c r="A342" s="11"/>
      <c r="C342" s="11"/>
      <c r="D342" s="10"/>
      <c r="AR342" s="10"/>
      <c r="AS342" s="10"/>
    </row>
    <row r="343" spans="1:45" s="17" customFormat="1" ht="12.75" customHeight="1">
      <c r="A343" s="11"/>
      <c r="C343" s="11"/>
      <c r="D343" s="10"/>
      <c r="AR343" s="10"/>
      <c r="AS343" s="10"/>
    </row>
    <row r="344" spans="1:45" s="17" customFormat="1" ht="12.75" customHeight="1">
      <c r="A344" s="11"/>
      <c r="C344" s="11"/>
      <c r="D344" s="10"/>
      <c r="AR344" s="10"/>
      <c r="AS344" s="10"/>
    </row>
    <row r="345" spans="1:45" s="17" customFormat="1" ht="12.75" customHeight="1">
      <c r="A345" s="11"/>
      <c r="C345" s="11"/>
      <c r="D345" s="10"/>
      <c r="AR345" s="10"/>
      <c r="AS345" s="10"/>
    </row>
    <row r="346" spans="1:45" s="17" customFormat="1" ht="12.75" customHeight="1">
      <c r="A346" s="11"/>
      <c r="C346" s="11"/>
      <c r="D346" s="10"/>
      <c r="AR346" s="10"/>
      <c r="AS346" s="10"/>
    </row>
    <row r="347" spans="1:45" s="17" customFormat="1" ht="12.75" customHeight="1">
      <c r="A347" s="11"/>
      <c r="C347" s="11"/>
      <c r="D347" s="10"/>
      <c r="AR347" s="10"/>
      <c r="AS347" s="10"/>
    </row>
    <row r="348" spans="1:45" s="17" customFormat="1" ht="12.75" customHeight="1">
      <c r="A348" s="11"/>
      <c r="C348" s="11"/>
      <c r="D348" s="10"/>
      <c r="AR348" s="10"/>
      <c r="AS348" s="10"/>
    </row>
    <row r="349" spans="1:45" s="17" customFormat="1" ht="12.75" customHeight="1">
      <c r="A349" s="11"/>
      <c r="C349" s="11"/>
      <c r="D349" s="10"/>
      <c r="AR349" s="10"/>
      <c r="AS349" s="10"/>
    </row>
    <row r="350" spans="1:45" s="17" customFormat="1" ht="12.75" customHeight="1">
      <c r="A350" s="11"/>
      <c r="C350" s="11"/>
      <c r="D350" s="10"/>
      <c r="AR350" s="10"/>
      <c r="AS350" s="10"/>
    </row>
    <row r="351" spans="1:45" s="17" customFormat="1" ht="12.75" customHeight="1">
      <c r="A351" s="11"/>
      <c r="C351" s="11"/>
      <c r="D351" s="10"/>
      <c r="AR351" s="10"/>
      <c r="AS351" s="10"/>
    </row>
    <row r="352" spans="1:45" s="17" customFormat="1" ht="12.75" customHeight="1">
      <c r="A352" s="11"/>
      <c r="C352" s="11"/>
      <c r="D352" s="10"/>
      <c r="AR352" s="10"/>
      <c r="AS352" s="10"/>
    </row>
    <row r="353" spans="1:45" s="17" customFormat="1" ht="12.75" customHeight="1">
      <c r="A353" s="11"/>
      <c r="C353" s="11"/>
      <c r="D353" s="10"/>
      <c r="AR353" s="10"/>
      <c r="AS353" s="10"/>
    </row>
    <row r="354" spans="1:45" s="17" customFormat="1" ht="12.75" customHeight="1">
      <c r="A354" s="11"/>
      <c r="C354" s="11"/>
      <c r="D354" s="10"/>
      <c r="AR354" s="10"/>
      <c r="AS354" s="10"/>
    </row>
    <row r="355" spans="1:45" s="17" customFormat="1" ht="12.75" customHeight="1">
      <c r="A355" s="11"/>
      <c r="C355" s="11"/>
      <c r="D355" s="10"/>
      <c r="AR355" s="10"/>
      <c r="AS355" s="10"/>
    </row>
    <row r="356" spans="1:45" s="17" customFormat="1" ht="12.75" customHeight="1">
      <c r="A356" s="11"/>
      <c r="C356" s="11"/>
      <c r="D356" s="10"/>
      <c r="AR356" s="10"/>
      <c r="AS356" s="10"/>
    </row>
    <row r="357" spans="1:45" s="17" customFormat="1" ht="12.75" customHeight="1">
      <c r="A357" s="11"/>
      <c r="C357" s="11"/>
      <c r="D357" s="10"/>
      <c r="AR357" s="10"/>
      <c r="AS357" s="10"/>
    </row>
    <row r="358" spans="1:45" s="17" customFormat="1" ht="12.75" customHeight="1">
      <c r="A358" s="11"/>
      <c r="C358" s="11"/>
      <c r="D358" s="10"/>
      <c r="AR358" s="10"/>
      <c r="AS358" s="10"/>
    </row>
    <row r="359" spans="1:45" s="17" customFormat="1" ht="12.75" customHeight="1">
      <c r="A359" s="11"/>
      <c r="C359" s="11"/>
      <c r="D359" s="10"/>
      <c r="AR359" s="10"/>
      <c r="AS359" s="10"/>
    </row>
    <row r="360" spans="1:45" s="17" customFormat="1" ht="12.75" customHeight="1">
      <c r="A360" s="11"/>
      <c r="C360" s="11"/>
      <c r="D360" s="10"/>
      <c r="AR360" s="10"/>
      <c r="AS360" s="10"/>
    </row>
    <row r="361" spans="1:45" s="17" customFormat="1" ht="12.75" customHeight="1">
      <c r="A361" s="11"/>
      <c r="C361" s="11"/>
      <c r="D361" s="10"/>
      <c r="AR361" s="10"/>
      <c r="AS361" s="10"/>
    </row>
    <row r="362" spans="1:45" s="17" customFormat="1" ht="12.75" customHeight="1">
      <c r="A362" s="11"/>
      <c r="C362" s="11"/>
      <c r="D362" s="10"/>
      <c r="AR362" s="10"/>
      <c r="AS362" s="10"/>
    </row>
    <row r="363" spans="1:45" s="17" customFormat="1" ht="12.75" customHeight="1">
      <c r="A363" s="11"/>
      <c r="C363" s="11"/>
      <c r="D363" s="10"/>
      <c r="AR363" s="10"/>
      <c r="AS363" s="10"/>
    </row>
    <row r="364" spans="1:45" s="17" customFormat="1" ht="12.75" customHeight="1">
      <c r="A364" s="11"/>
      <c r="C364" s="11"/>
      <c r="D364" s="10"/>
      <c r="AR364" s="10"/>
      <c r="AS364" s="10"/>
    </row>
    <row r="365" spans="1:45" s="17" customFormat="1" ht="12.75" customHeight="1">
      <c r="A365" s="11"/>
      <c r="C365" s="11"/>
      <c r="D365" s="10"/>
      <c r="AR365" s="10"/>
      <c r="AS365" s="10"/>
    </row>
    <row r="366" spans="1:45" s="17" customFormat="1" ht="12.75" customHeight="1">
      <c r="A366" s="11"/>
      <c r="C366" s="11"/>
      <c r="D366" s="10"/>
      <c r="AR366" s="10"/>
      <c r="AS366" s="10"/>
    </row>
    <row r="367" spans="1:45" s="17" customFormat="1" ht="12.75" customHeight="1">
      <c r="A367" s="11"/>
      <c r="C367" s="11"/>
      <c r="D367" s="10"/>
      <c r="AR367" s="10"/>
      <c r="AS367" s="10"/>
    </row>
    <row r="368" spans="1:45" s="17" customFormat="1" ht="12.75" customHeight="1">
      <c r="A368" s="11"/>
      <c r="C368" s="11"/>
      <c r="D368" s="10"/>
      <c r="AR368" s="10"/>
      <c r="AS368" s="10"/>
    </row>
    <row r="369" spans="1:45" s="17" customFormat="1" ht="12.75" customHeight="1">
      <c r="A369" s="11"/>
      <c r="C369" s="11"/>
      <c r="D369" s="10"/>
      <c r="AR369" s="10"/>
      <c r="AS369" s="10"/>
    </row>
    <row r="370" spans="1:45" s="17" customFormat="1" ht="12.75" customHeight="1">
      <c r="A370" s="11"/>
      <c r="C370" s="11"/>
      <c r="D370" s="10"/>
      <c r="AR370" s="10"/>
      <c r="AS370" s="10"/>
    </row>
    <row r="371" spans="1:45" s="17" customFormat="1" ht="12.75" customHeight="1">
      <c r="A371" s="11"/>
      <c r="C371" s="11"/>
      <c r="D371" s="10"/>
      <c r="AR371" s="10"/>
      <c r="AS371" s="10"/>
    </row>
    <row r="372" spans="1:45" s="17" customFormat="1" ht="12.75" customHeight="1">
      <c r="A372" s="11"/>
      <c r="C372" s="11"/>
      <c r="D372" s="10"/>
      <c r="AR372" s="10"/>
      <c r="AS372" s="10"/>
    </row>
    <row r="373" spans="1:45" s="17" customFormat="1" ht="12.75" customHeight="1">
      <c r="A373" s="11"/>
      <c r="C373" s="11"/>
      <c r="D373" s="10"/>
      <c r="AR373" s="10"/>
      <c r="AS373" s="10"/>
    </row>
    <row r="374" spans="1:45" s="17" customFormat="1" ht="12.75" customHeight="1">
      <c r="A374" s="11"/>
      <c r="C374" s="11"/>
      <c r="D374" s="10"/>
      <c r="AR374" s="10"/>
      <c r="AS374" s="10"/>
    </row>
    <row r="375" spans="1:45" s="17" customFormat="1" ht="12.75" customHeight="1">
      <c r="A375" s="11"/>
      <c r="C375" s="11"/>
      <c r="D375" s="10"/>
      <c r="AR375" s="10"/>
      <c r="AS375" s="10"/>
    </row>
    <row r="376" spans="1:45" s="17" customFormat="1" ht="12.75" customHeight="1">
      <c r="A376" s="11"/>
      <c r="C376" s="11"/>
      <c r="D376" s="10"/>
      <c r="AR376" s="10"/>
      <c r="AS376" s="10"/>
    </row>
    <row r="377" spans="1:45" s="17" customFormat="1" ht="12.75" customHeight="1">
      <c r="A377" s="11"/>
      <c r="C377" s="11"/>
      <c r="D377" s="10"/>
      <c r="AR377" s="10"/>
      <c r="AS377" s="10"/>
    </row>
    <row r="378" spans="1:45" s="17" customFormat="1" ht="12.75" customHeight="1">
      <c r="A378" s="11"/>
      <c r="C378" s="11"/>
      <c r="D378" s="10"/>
      <c r="AR378" s="10"/>
      <c r="AS378" s="10"/>
    </row>
    <row r="379" spans="1:45" s="17" customFormat="1" ht="12.75" customHeight="1">
      <c r="A379" s="11"/>
      <c r="C379" s="11"/>
      <c r="D379" s="10"/>
      <c r="AR379" s="10"/>
      <c r="AS379" s="10"/>
    </row>
    <row r="380" spans="1:45" s="17" customFormat="1" ht="12.75" customHeight="1">
      <c r="A380" s="11"/>
      <c r="C380" s="11"/>
      <c r="D380" s="10"/>
      <c r="AR380" s="10"/>
      <c r="AS380" s="10"/>
    </row>
    <row r="381" spans="1:45" s="17" customFormat="1" ht="12.75" customHeight="1">
      <c r="A381" s="11"/>
      <c r="C381" s="11"/>
      <c r="D381" s="10"/>
      <c r="AR381" s="10"/>
      <c r="AS381" s="10"/>
    </row>
    <row r="382" spans="1:45" s="17" customFormat="1" ht="12.75" customHeight="1">
      <c r="A382" s="11"/>
      <c r="C382" s="11"/>
      <c r="D382" s="10"/>
      <c r="AR382" s="10"/>
      <c r="AS382" s="10"/>
    </row>
    <row r="383" spans="1:45" s="17" customFormat="1" ht="12.75" customHeight="1">
      <c r="A383" s="11"/>
      <c r="C383" s="11"/>
      <c r="D383" s="10"/>
      <c r="AR383" s="10"/>
      <c r="AS383" s="10"/>
    </row>
    <row r="384" spans="1:45" s="17" customFormat="1" ht="12.75" customHeight="1">
      <c r="A384" s="11"/>
      <c r="C384" s="11"/>
      <c r="D384" s="10"/>
      <c r="AR384" s="10"/>
      <c r="AS384" s="10"/>
    </row>
    <row r="385" spans="1:45" s="17" customFormat="1" ht="12.75" customHeight="1">
      <c r="A385" s="11"/>
      <c r="C385" s="11"/>
      <c r="D385" s="10"/>
      <c r="AR385" s="10"/>
      <c r="AS385" s="10"/>
    </row>
    <row r="386" spans="1:45" s="17" customFormat="1" ht="12.75" customHeight="1">
      <c r="A386" s="11"/>
      <c r="C386" s="11"/>
      <c r="D386" s="10"/>
      <c r="AR386" s="10"/>
      <c r="AS386" s="10"/>
    </row>
    <row r="387" spans="1:45" s="17" customFormat="1" ht="12.75" customHeight="1">
      <c r="A387" s="11"/>
      <c r="C387" s="11"/>
      <c r="D387" s="10"/>
      <c r="AR387" s="10"/>
      <c r="AS387" s="10"/>
    </row>
    <row r="388" spans="1:45" s="17" customFormat="1" ht="12.75" customHeight="1">
      <c r="A388" s="11"/>
      <c r="C388" s="11"/>
      <c r="D388" s="10"/>
      <c r="AR388" s="10"/>
      <c r="AS388" s="10"/>
    </row>
    <row r="389" spans="1:45" s="17" customFormat="1" ht="12.75" customHeight="1">
      <c r="A389" s="11"/>
      <c r="C389" s="11"/>
      <c r="D389" s="10"/>
      <c r="AR389" s="10"/>
      <c r="AS389" s="10"/>
    </row>
    <row r="390" spans="1:45" s="17" customFormat="1" ht="12.75" customHeight="1">
      <c r="A390" s="11"/>
      <c r="C390" s="11"/>
      <c r="D390" s="10"/>
      <c r="AR390" s="10"/>
      <c r="AS390" s="10"/>
    </row>
    <row r="391" spans="1:45" s="17" customFormat="1" ht="12.75" customHeight="1">
      <c r="A391" s="11"/>
      <c r="C391" s="11"/>
      <c r="D391" s="10"/>
      <c r="AR391" s="10"/>
      <c r="AS391" s="10"/>
    </row>
    <row r="392" spans="1:45" s="17" customFormat="1" ht="12.75" customHeight="1">
      <c r="A392" s="11"/>
      <c r="C392" s="11"/>
      <c r="D392" s="10"/>
      <c r="AR392" s="10"/>
      <c r="AS392" s="10"/>
    </row>
    <row r="393" spans="1:45" s="17" customFormat="1" ht="12.75" customHeight="1">
      <c r="A393" s="11"/>
      <c r="C393" s="11"/>
      <c r="D393" s="10"/>
      <c r="AR393" s="10"/>
      <c r="AS393" s="10"/>
    </row>
    <row r="394" spans="1:45" s="17" customFormat="1" ht="12.75" customHeight="1">
      <c r="A394" s="11"/>
      <c r="C394" s="11"/>
      <c r="D394" s="10"/>
      <c r="AR394" s="10"/>
      <c r="AS394" s="10"/>
    </row>
    <row r="395" spans="1:45" s="17" customFormat="1" ht="12.75" customHeight="1">
      <c r="A395" s="11"/>
      <c r="C395" s="11"/>
      <c r="D395" s="10"/>
      <c r="AR395" s="10"/>
      <c r="AS395" s="10"/>
    </row>
    <row r="396" spans="1:45" s="17" customFormat="1" ht="12.75" customHeight="1">
      <c r="A396" s="11"/>
      <c r="C396" s="11"/>
      <c r="D396" s="10"/>
      <c r="AR396" s="10"/>
      <c r="AS396" s="10"/>
    </row>
    <row r="397" spans="1:45" s="17" customFormat="1" ht="12.75" customHeight="1">
      <c r="A397" s="11"/>
      <c r="C397" s="11"/>
      <c r="D397" s="10"/>
      <c r="AR397" s="10"/>
      <c r="AS397" s="10"/>
    </row>
    <row r="398" spans="1:45" s="17" customFormat="1" ht="12.75" customHeight="1">
      <c r="A398" s="11"/>
      <c r="C398" s="11"/>
      <c r="D398" s="10"/>
      <c r="AR398" s="10"/>
      <c r="AS398" s="10"/>
    </row>
    <row r="399" spans="1:45" s="17" customFormat="1" ht="12.75" customHeight="1">
      <c r="A399" s="11"/>
      <c r="C399" s="11"/>
      <c r="D399" s="10"/>
      <c r="AR399" s="10"/>
      <c r="AS399" s="10"/>
    </row>
    <row r="400" spans="1:45" s="17" customFormat="1" ht="12.75" customHeight="1">
      <c r="A400" s="11"/>
      <c r="C400" s="11"/>
      <c r="D400" s="10"/>
      <c r="AR400" s="10"/>
      <c r="AS400" s="10"/>
    </row>
    <row r="401" spans="1:45" s="17" customFormat="1" ht="12.75" customHeight="1">
      <c r="A401" s="11"/>
      <c r="C401" s="11"/>
      <c r="D401" s="10"/>
      <c r="AR401" s="10"/>
      <c r="AS401" s="10"/>
    </row>
    <row r="402" spans="1:45" s="17" customFormat="1" ht="12.75" customHeight="1">
      <c r="A402" s="11"/>
      <c r="C402" s="11"/>
      <c r="D402" s="10"/>
      <c r="AR402" s="10"/>
      <c r="AS402" s="10"/>
    </row>
    <row r="403" spans="1:45" s="17" customFormat="1" ht="12.75" customHeight="1">
      <c r="A403" s="11"/>
      <c r="C403" s="11"/>
      <c r="D403" s="10"/>
      <c r="AR403" s="10"/>
      <c r="AS403" s="10"/>
    </row>
    <row r="404" spans="1:45" s="17" customFormat="1" ht="12.75" customHeight="1">
      <c r="A404" s="11"/>
      <c r="C404" s="11"/>
      <c r="D404" s="10"/>
      <c r="AR404" s="10"/>
      <c r="AS404" s="10"/>
    </row>
    <row r="405" spans="1:45" s="17" customFormat="1" ht="12.75" customHeight="1">
      <c r="A405" s="11"/>
      <c r="C405" s="11"/>
      <c r="D405" s="10"/>
      <c r="AR405" s="10"/>
      <c r="AS405" s="10"/>
    </row>
    <row r="406" spans="1:45" s="17" customFormat="1" ht="12.75" customHeight="1">
      <c r="A406" s="11"/>
      <c r="C406" s="11"/>
      <c r="D406" s="10"/>
      <c r="AR406" s="10"/>
      <c r="AS406" s="10"/>
    </row>
    <row r="407" spans="1:45" s="17" customFormat="1" ht="12.75" customHeight="1">
      <c r="A407" s="11"/>
      <c r="C407" s="11"/>
      <c r="D407" s="10"/>
      <c r="AR407" s="10"/>
      <c r="AS407" s="10"/>
    </row>
    <row r="408" spans="1:45" s="17" customFormat="1" ht="12.75" customHeight="1">
      <c r="A408" s="11"/>
      <c r="C408" s="11"/>
      <c r="D408" s="10"/>
      <c r="AR408" s="10"/>
      <c r="AS408" s="10"/>
    </row>
    <row r="409" spans="1:45" s="17" customFormat="1" ht="12.75" customHeight="1">
      <c r="A409" s="11"/>
      <c r="C409" s="11"/>
      <c r="D409" s="10"/>
      <c r="AR409" s="10"/>
      <c r="AS409" s="10"/>
    </row>
    <row r="410" spans="1:45" s="17" customFormat="1" ht="12.75" customHeight="1">
      <c r="A410" s="11"/>
      <c r="C410" s="11"/>
      <c r="D410" s="10"/>
      <c r="AR410" s="10"/>
      <c r="AS410" s="10"/>
    </row>
    <row r="411" spans="1:45" s="17" customFormat="1" ht="12.75" customHeight="1">
      <c r="A411" s="11"/>
      <c r="C411" s="11"/>
      <c r="D411" s="10"/>
      <c r="AR411" s="10"/>
      <c r="AS411" s="10"/>
    </row>
    <row r="412" spans="1:45" s="17" customFormat="1" ht="12.75" customHeight="1">
      <c r="A412" s="11"/>
      <c r="C412" s="11"/>
      <c r="D412" s="10"/>
      <c r="AR412" s="10"/>
      <c r="AS412" s="10"/>
    </row>
    <row r="413" spans="1:45" s="17" customFormat="1" ht="12.75" customHeight="1">
      <c r="A413" s="11"/>
      <c r="C413" s="11"/>
      <c r="D413" s="10"/>
      <c r="AR413" s="10"/>
      <c r="AS413" s="10"/>
    </row>
    <row r="414" spans="1:45" s="17" customFormat="1" ht="12.75" customHeight="1">
      <c r="A414" s="11"/>
      <c r="C414" s="11"/>
      <c r="D414" s="10"/>
      <c r="AR414" s="10"/>
      <c r="AS414" s="10"/>
    </row>
    <row r="415" spans="1:45" s="17" customFormat="1" ht="12.75" customHeight="1">
      <c r="A415" s="11"/>
      <c r="C415" s="11"/>
      <c r="D415" s="10"/>
      <c r="AR415" s="10"/>
      <c r="AS415" s="10"/>
    </row>
    <row r="416" spans="1:45" s="17" customFormat="1" ht="12.75" customHeight="1">
      <c r="A416" s="11"/>
      <c r="C416" s="11"/>
      <c r="D416" s="10"/>
      <c r="AR416" s="10"/>
      <c r="AS416" s="10"/>
    </row>
    <row r="417" spans="1:45" s="17" customFormat="1" ht="12.75" customHeight="1">
      <c r="A417" s="11"/>
      <c r="C417" s="11"/>
      <c r="D417" s="10"/>
      <c r="AR417" s="10"/>
      <c r="AS417" s="10"/>
    </row>
    <row r="418" spans="1:45" s="17" customFormat="1" ht="12.75" customHeight="1">
      <c r="A418" s="11"/>
      <c r="C418" s="11"/>
      <c r="D418" s="10"/>
      <c r="AR418" s="10"/>
      <c r="AS418" s="10"/>
    </row>
    <row r="419" spans="1:45" s="17" customFormat="1" ht="12.75" customHeight="1">
      <c r="A419" s="11"/>
      <c r="C419" s="11"/>
      <c r="D419" s="10"/>
      <c r="AR419" s="10"/>
      <c r="AS419" s="10"/>
    </row>
    <row r="420" spans="1:45" s="17" customFormat="1" ht="12.75" customHeight="1">
      <c r="A420" s="11"/>
      <c r="C420" s="11"/>
      <c r="D420" s="10"/>
      <c r="AR420" s="10"/>
      <c r="AS420" s="10"/>
    </row>
    <row r="421" spans="1:45" s="17" customFormat="1" ht="12.75" customHeight="1">
      <c r="A421" s="11"/>
      <c r="C421" s="11"/>
      <c r="D421" s="10"/>
      <c r="AR421" s="10"/>
      <c r="AS421" s="10"/>
    </row>
    <row r="422" spans="1:45" s="17" customFormat="1" ht="12.75" customHeight="1">
      <c r="A422" s="11"/>
      <c r="C422" s="11"/>
      <c r="D422" s="10"/>
      <c r="AR422" s="10"/>
      <c r="AS422" s="10"/>
    </row>
    <row r="423" spans="1:45" s="17" customFormat="1" ht="12.75" customHeight="1">
      <c r="A423" s="11"/>
      <c r="C423" s="11"/>
      <c r="D423" s="10"/>
      <c r="AR423" s="10"/>
      <c r="AS423" s="10"/>
    </row>
    <row r="424" spans="1:45" s="17" customFormat="1" ht="12.75" customHeight="1">
      <c r="A424" s="11"/>
      <c r="C424" s="11"/>
      <c r="D424" s="10"/>
      <c r="AR424" s="10"/>
      <c r="AS424" s="10"/>
    </row>
    <row r="425" spans="1:45" s="17" customFormat="1" ht="12.75" customHeight="1">
      <c r="A425" s="11"/>
      <c r="C425" s="11"/>
      <c r="D425" s="10"/>
      <c r="AR425" s="10"/>
      <c r="AS425" s="10"/>
    </row>
    <row r="426" spans="1:45" s="17" customFormat="1" ht="12.75" customHeight="1">
      <c r="A426" s="11"/>
      <c r="C426" s="11"/>
      <c r="D426" s="10"/>
      <c r="AR426" s="10"/>
      <c r="AS426" s="10"/>
    </row>
    <row r="427" spans="1:45" s="17" customFormat="1" ht="12.75" customHeight="1">
      <c r="A427" s="11"/>
      <c r="C427" s="11"/>
      <c r="D427" s="10"/>
      <c r="AR427" s="10"/>
      <c r="AS427" s="10"/>
    </row>
    <row r="428" spans="1:45" s="17" customFormat="1" ht="12.75" customHeight="1">
      <c r="A428" s="11"/>
      <c r="C428" s="11"/>
      <c r="D428" s="10"/>
      <c r="AR428" s="10"/>
      <c r="AS428" s="10"/>
    </row>
    <row r="429" spans="1:45" s="17" customFormat="1" ht="12.75" customHeight="1">
      <c r="A429" s="11"/>
      <c r="C429" s="11"/>
      <c r="D429" s="10"/>
      <c r="AR429" s="10"/>
      <c r="AS429" s="10"/>
    </row>
    <row r="430" spans="1:45" s="17" customFormat="1" ht="12.75" customHeight="1">
      <c r="A430" s="11"/>
      <c r="C430" s="11"/>
      <c r="D430" s="10"/>
      <c r="AR430" s="10"/>
      <c r="AS430" s="10"/>
    </row>
    <row r="431" spans="1:45" s="17" customFormat="1" ht="12.75" customHeight="1">
      <c r="A431" s="11"/>
      <c r="C431" s="11"/>
      <c r="D431" s="10"/>
      <c r="AR431" s="10"/>
      <c r="AS431" s="10"/>
    </row>
    <row r="432" spans="1:45" s="17" customFormat="1" ht="12.75" customHeight="1">
      <c r="A432" s="11"/>
      <c r="C432" s="11"/>
      <c r="D432" s="10"/>
      <c r="AR432" s="10"/>
      <c r="AS432" s="10"/>
    </row>
    <row r="433" spans="1:45" s="17" customFormat="1" ht="12.75" customHeight="1">
      <c r="A433" s="11"/>
      <c r="C433" s="11"/>
      <c r="D433" s="10"/>
      <c r="AR433" s="10"/>
      <c r="AS433" s="10"/>
    </row>
    <row r="434" spans="1:45" s="17" customFormat="1" ht="12.75" customHeight="1">
      <c r="A434" s="11"/>
      <c r="C434" s="11"/>
      <c r="D434" s="10"/>
      <c r="AR434" s="10"/>
      <c r="AS434" s="10"/>
    </row>
    <row r="435" spans="1:45" s="17" customFormat="1" ht="12.75" customHeight="1">
      <c r="A435" s="11"/>
      <c r="C435" s="11"/>
      <c r="D435" s="10"/>
      <c r="AR435" s="10"/>
      <c r="AS435" s="10"/>
    </row>
    <row r="436" spans="1:45" s="17" customFormat="1" ht="12.75" customHeight="1">
      <c r="A436" s="11"/>
      <c r="C436" s="11"/>
      <c r="D436" s="10"/>
      <c r="AR436" s="10"/>
      <c r="AS436" s="10"/>
    </row>
    <row r="437" spans="1:45" s="17" customFormat="1" ht="12.75" customHeight="1">
      <c r="A437" s="11"/>
      <c r="C437" s="11"/>
      <c r="D437" s="10"/>
      <c r="AR437" s="10"/>
      <c r="AS437" s="10"/>
    </row>
    <row r="438" spans="1:45" s="17" customFormat="1" ht="12.75" customHeight="1">
      <c r="A438" s="11"/>
      <c r="C438" s="11"/>
      <c r="D438" s="10"/>
      <c r="AR438" s="10"/>
      <c r="AS438" s="10"/>
    </row>
    <row r="439" spans="1:45" s="17" customFormat="1" ht="12.75" customHeight="1">
      <c r="A439" s="11"/>
      <c r="C439" s="11"/>
      <c r="D439" s="10"/>
      <c r="AR439" s="10"/>
      <c r="AS439" s="10"/>
    </row>
    <row r="440" spans="1:45" s="17" customFormat="1" ht="12.75" customHeight="1">
      <c r="A440" s="11"/>
      <c r="C440" s="11"/>
      <c r="D440" s="10"/>
      <c r="AR440" s="10"/>
      <c r="AS440" s="10"/>
    </row>
    <row r="441" spans="1:45" s="17" customFormat="1" ht="12.75" customHeight="1">
      <c r="A441" s="11"/>
      <c r="C441" s="11"/>
      <c r="D441" s="10"/>
      <c r="AR441" s="10"/>
      <c r="AS441" s="10"/>
    </row>
    <row r="442" spans="1:45" s="17" customFormat="1" ht="12.75" customHeight="1">
      <c r="A442" s="11"/>
      <c r="C442" s="11"/>
      <c r="D442" s="10"/>
      <c r="AR442" s="10"/>
      <c r="AS442" s="10"/>
    </row>
    <row r="443" spans="1:45" s="17" customFormat="1" ht="12.75" customHeight="1">
      <c r="A443" s="11"/>
      <c r="C443" s="11"/>
      <c r="D443" s="10"/>
      <c r="AR443" s="10"/>
      <c r="AS443" s="10"/>
    </row>
    <row r="444" spans="1:45" s="17" customFormat="1" ht="12.75" customHeight="1">
      <c r="A444" s="11"/>
      <c r="C444" s="11"/>
      <c r="D444" s="10"/>
      <c r="AR444" s="10"/>
      <c r="AS444" s="10"/>
    </row>
    <row r="445" spans="1:45" s="17" customFormat="1" ht="12.75" customHeight="1">
      <c r="A445" s="11"/>
      <c r="C445" s="11"/>
      <c r="D445" s="10"/>
      <c r="AR445" s="10"/>
      <c r="AS445" s="10"/>
    </row>
    <row r="446" spans="1:45" s="17" customFormat="1" ht="12.75" customHeight="1">
      <c r="A446" s="11"/>
      <c r="C446" s="11"/>
      <c r="D446" s="10"/>
      <c r="AR446" s="10"/>
      <c r="AS446" s="10"/>
    </row>
    <row r="447" spans="1:45" s="17" customFormat="1" ht="12.75" customHeight="1">
      <c r="A447" s="11"/>
      <c r="C447" s="11"/>
      <c r="D447" s="10"/>
      <c r="AR447" s="10"/>
      <c r="AS447" s="10"/>
    </row>
    <row r="448" spans="1:45" s="17" customFormat="1" ht="12.75" customHeight="1">
      <c r="A448" s="11"/>
      <c r="C448" s="11"/>
      <c r="D448" s="10"/>
      <c r="AR448" s="10"/>
      <c r="AS448" s="10"/>
    </row>
    <row r="449" spans="1:45" s="17" customFormat="1" ht="12.75" customHeight="1">
      <c r="A449" s="11"/>
      <c r="C449" s="11"/>
      <c r="D449" s="10"/>
      <c r="AR449" s="10"/>
      <c r="AS449" s="10"/>
    </row>
    <row r="450" spans="1:45" s="17" customFormat="1" ht="12.75" customHeight="1">
      <c r="A450" s="11"/>
      <c r="C450" s="11"/>
      <c r="D450" s="10"/>
      <c r="AR450" s="10"/>
      <c r="AS450" s="10"/>
    </row>
    <row r="451" spans="1:45" s="17" customFormat="1" ht="12.75" customHeight="1">
      <c r="A451" s="11"/>
      <c r="C451" s="11"/>
      <c r="D451" s="10"/>
      <c r="AR451" s="10"/>
      <c r="AS451" s="10"/>
    </row>
    <row r="452" spans="1:45" s="17" customFormat="1" ht="12.75" customHeight="1">
      <c r="A452" s="11"/>
      <c r="C452" s="11"/>
      <c r="D452" s="10"/>
      <c r="AR452" s="10"/>
      <c r="AS452" s="10"/>
    </row>
    <row r="453" spans="1:45" s="17" customFormat="1" ht="12.75" customHeight="1">
      <c r="A453" s="11"/>
      <c r="C453" s="11"/>
      <c r="D453" s="10"/>
      <c r="AR453" s="10"/>
      <c r="AS453" s="10"/>
    </row>
    <row r="454" spans="1:45" s="17" customFormat="1" ht="12.75" customHeight="1">
      <c r="A454" s="11"/>
      <c r="C454" s="11"/>
      <c r="D454" s="10"/>
      <c r="AR454" s="10"/>
      <c r="AS454" s="10"/>
    </row>
    <row r="455" spans="1:45" s="17" customFormat="1" ht="12.75" customHeight="1">
      <c r="A455" s="11"/>
      <c r="C455" s="11"/>
      <c r="D455" s="10"/>
      <c r="AR455" s="10"/>
      <c r="AS455" s="10"/>
    </row>
    <row r="456" spans="1:45" s="17" customFormat="1" ht="12.75" customHeight="1">
      <c r="A456" s="11"/>
      <c r="C456" s="11"/>
      <c r="D456" s="10"/>
      <c r="AR456" s="10"/>
      <c r="AS456" s="10"/>
    </row>
    <row r="457" spans="1:45" s="17" customFormat="1" ht="12.75" customHeight="1">
      <c r="A457" s="11"/>
      <c r="C457" s="11"/>
      <c r="D457" s="10"/>
      <c r="AR457" s="10"/>
      <c r="AS457" s="10"/>
    </row>
    <row r="458" spans="1:45" s="17" customFormat="1" ht="12.75" customHeight="1">
      <c r="A458" s="11"/>
      <c r="C458" s="11"/>
      <c r="D458" s="10"/>
      <c r="AR458" s="10"/>
      <c r="AS458" s="10"/>
    </row>
    <row r="459" spans="1:45" s="17" customFormat="1" ht="12.75" customHeight="1">
      <c r="A459" s="11"/>
      <c r="C459" s="11"/>
      <c r="D459" s="10"/>
      <c r="AR459" s="10"/>
      <c r="AS459" s="10"/>
    </row>
    <row r="460" spans="1:45" s="17" customFormat="1" ht="12.75" customHeight="1">
      <c r="A460" s="11"/>
      <c r="C460" s="11"/>
      <c r="D460" s="10"/>
      <c r="AR460" s="10"/>
      <c r="AS460" s="10"/>
    </row>
    <row r="461" spans="1:45" s="17" customFormat="1" ht="12.75" customHeight="1">
      <c r="A461" s="11"/>
      <c r="C461" s="11"/>
      <c r="D461" s="10"/>
      <c r="AR461" s="10"/>
      <c r="AS461" s="10"/>
    </row>
    <row r="462" spans="1:45" s="17" customFormat="1" ht="12.75" customHeight="1">
      <c r="A462" s="11"/>
      <c r="C462" s="11"/>
      <c r="D462" s="10"/>
      <c r="AR462" s="10"/>
      <c r="AS462" s="10"/>
    </row>
    <row r="463" spans="1:45" s="17" customFormat="1" ht="12.75" customHeight="1">
      <c r="A463" s="11"/>
      <c r="C463" s="11"/>
      <c r="D463" s="10"/>
      <c r="AR463" s="10"/>
      <c r="AS463" s="10"/>
    </row>
    <row r="464" spans="1:45" s="17" customFormat="1" ht="12.75" customHeight="1">
      <c r="A464" s="11"/>
      <c r="C464" s="11"/>
      <c r="D464" s="10"/>
      <c r="AR464" s="10"/>
      <c r="AS464" s="10"/>
    </row>
    <row r="465" spans="1:45" s="17" customFormat="1" ht="12.75" customHeight="1">
      <c r="A465" s="11"/>
      <c r="C465" s="11"/>
      <c r="D465" s="10"/>
      <c r="AR465" s="10"/>
      <c r="AS465" s="10"/>
    </row>
    <row r="466" spans="1:45" s="17" customFormat="1" ht="12.75" customHeight="1">
      <c r="A466" s="11"/>
      <c r="C466" s="11"/>
      <c r="D466" s="10"/>
      <c r="AR466" s="10"/>
      <c r="AS466" s="10"/>
    </row>
    <row r="467" spans="1:45" s="17" customFormat="1" ht="12.75" customHeight="1">
      <c r="A467" s="11"/>
      <c r="C467" s="11"/>
      <c r="D467" s="10"/>
      <c r="AR467" s="10"/>
      <c r="AS467" s="10"/>
    </row>
    <row r="468" spans="1:45" s="17" customFormat="1" ht="12.75" customHeight="1">
      <c r="A468" s="11"/>
      <c r="C468" s="11"/>
      <c r="D468" s="10"/>
      <c r="AR468" s="10"/>
      <c r="AS468" s="10"/>
    </row>
    <row r="469" spans="1:45" s="17" customFormat="1" ht="12.75" customHeight="1">
      <c r="A469" s="11"/>
      <c r="C469" s="11"/>
      <c r="D469" s="10"/>
      <c r="AR469" s="10"/>
      <c r="AS469" s="10"/>
    </row>
    <row r="470" spans="1:45" s="17" customFormat="1" ht="12.75" customHeight="1">
      <c r="A470" s="11"/>
      <c r="C470" s="11"/>
      <c r="D470" s="10"/>
      <c r="AR470" s="10"/>
      <c r="AS470" s="10"/>
    </row>
    <row r="471" spans="1:45" s="17" customFormat="1" ht="12.75" customHeight="1">
      <c r="A471" s="11"/>
      <c r="C471" s="11"/>
      <c r="D471" s="10"/>
      <c r="AR471" s="10"/>
      <c r="AS471" s="10"/>
    </row>
    <row r="472" spans="1:45" s="17" customFormat="1" ht="12.75" customHeight="1">
      <c r="A472" s="11"/>
      <c r="C472" s="11"/>
      <c r="D472" s="10"/>
      <c r="AR472" s="10"/>
      <c r="AS472" s="10"/>
    </row>
    <row r="473" spans="1:45" s="17" customFormat="1" ht="12.75" customHeight="1">
      <c r="A473" s="11"/>
      <c r="C473" s="11"/>
      <c r="D473" s="10"/>
      <c r="AR473" s="10"/>
      <c r="AS473" s="10"/>
    </row>
    <row r="474" spans="1:45" s="17" customFormat="1" ht="12.75" customHeight="1">
      <c r="A474" s="11"/>
      <c r="C474" s="11"/>
      <c r="D474" s="10"/>
      <c r="AR474" s="10"/>
      <c r="AS474" s="10"/>
    </row>
    <row r="475" spans="1:45" s="17" customFormat="1" ht="12.75" customHeight="1">
      <c r="A475" s="11"/>
      <c r="C475" s="11"/>
      <c r="D475" s="10"/>
      <c r="AR475" s="10"/>
      <c r="AS475" s="10"/>
    </row>
    <row r="476" spans="1:45" s="17" customFormat="1" ht="12.75" customHeight="1">
      <c r="A476" s="11"/>
      <c r="C476" s="11"/>
      <c r="D476" s="10"/>
      <c r="AR476" s="10"/>
      <c r="AS476" s="10"/>
    </row>
    <row r="477" spans="1:45" s="17" customFormat="1" ht="12.75" customHeight="1">
      <c r="A477" s="11"/>
      <c r="C477" s="11"/>
      <c r="D477" s="10"/>
      <c r="AR477" s="10"/>
      <c r="AS477" s="10"/>
    </row>
    <row r="478" spans="1:45" s="17" customFormat="1" ht="12.75" customHeight="1">
      <c r="A478" s="11"/>
      <c r="C478" s="11"/>
      <c r="D478" s="10"/>
      <c r="AR478" s="10"/>
      <c r="AS478" s="10"/>
    </row>
    <row r="479" spans="1:45" s="17" customFormat="1" ht="12.75" customHeight="1">
      <c r="A479" s="11"/>
      <c r="C479" s="11"/>
      <c r="D479" s="10"/>
      <c r="AR479" s="10"/>
      <c r="AS479" s="10"/>
    </row>
    <row r="480" spans="1:45" s="17" customFormat="1" ht="12.75" customHeight="1">
      <c r="A480" s="11"/>
      <c r="C480" s="11"/>
      <c r="D480" s="10"/>
      <c r="AR480" s="10"/>
      <c r="AS480" s="10"/>
    </row>
    <row r="481" spans="1:45" s="17" customFormat="1" ht="12.75" customHeight="1">
      <c r="A481" s="11"/>
      <c r="C481" s="11"/>
      <c r="D481" s="10"/>
      <c r="AR481" s="10"/>
      <c r="AS481" s="10"/>
    </row>
    <row r="482" spans="1:45" s="17" customFormat="1" ht="12.75" customHeight="1">
      <c r="A482" s="11"/>
      <c r="C482" s="11"/>
      <c r="D482" s="10"/>
      <c r="AR482" s="10"/>
      <c r="AS482" s="10"/>
    </row>
    <row r="483" spans="1:45" s="17" customFormat="1" ht="12.75" customHeight="1">
      <c r="A483" s="11"/>
      <c r="C483" s="11"/>
      <c r="D483" s="10"/>
      <c r="AR483" s="10"/>
      <c r="AS483" s="10"/>
    </row>
    <row r="484" spans="1:45" s="17" customFormat="1" ht="12.75" customHeight="1">
      <c r="A484" s="11"/>
      <c r="C484" s="11"/>
      <c r="D484" s="10"/>
      <c r="AR484" s="10"/>
      <c r="AS484" s="10"/>
    </row>
    <row r="485" spans="1:45" s="17" customFormat="1" ht="12.75" customHeight="1">
      <c r="A485" s="11"/>
      <c r="C485" s="11"/>
      <c r="D485" s="10"/>
      <c r="AR485" s="10"/>
      <c r="AS485" s="10"/>
    </row>
    <row r="486" spans="1:45" s="17" customFormat="1" ht="12.75" customHeight="1">
      <c r="A486" s="11"/>
      <c r="C486" s="11"/>
      <c r="D486" s="10"/>
      <c r="AR486" s="10"/>
      <c r="AS486" s="10"/>
    </row>
    <row r="487" spans="1:45" s="17" customFormat="1" ht="12.75" customHeight="1">
      <c r="A487" s="11"/>
      <c r="C487" s="11"/>
      <c r="D487" s="10"/>
      <c r="AR487" s="10"/>
      <c r="AS487" s="10"/>
    </row>
    <row r="488" spans="1:45" s="17" customFormat="1" ht="12.75" customHeight="1">
      <c r="A488" s="11"/>
      <c r="C488" s="11"/>
      <c r="D488" s="10"/>
      <c r="AR488" s="10"/>
      <c r="AS488" s="10"/>
    </row>
    <row r="489" spans="1:45" s="17" customFormat="1" ht="12.75" customHeight="1">
      <c r="A489" s="11"/>
      <c r="C489" s="11"/>
      <c r="D489" s="10"/>
      <c r="AR489" s="10"/>
      <c r="AS489" s="10"/>
    </row>
    <row r="490" spans="1:45" s="17" customFormat="1" ht="12.75" customHeight="1">
      <c r="A490" s="11"/>
      <c r="C490" s="11"/>
      <c r="D490" s="10"/>
      <c r="AR490" s="10"/>
      <c r="AS490" s="10"/>
    </row>
    <row r="491" spans="1:45" s="17" customFormat="1" ht="12.75" customHeight="1">
      <c r="A491" s="11"/>
      <c r="C491" s="11"/>
      <c r="D491" s="10"/>
      <c r="AR491" s="10"/>
      <c r="AS491" s="10"/>
    </row>
    <row r="492" spans="1:45" s="17" customFormat="1" ht="12.75" customHeight="1">
      <c r="A492" s="11"/>
      <c r="C492" s="11"/>
      <c r="D492" s="10"/>
      <c r="AR492" s="10"/>
      <c r="AS492" s="10"/>
    </row>
    <row r="493" spans="1:45" s="17" customFormat="1" ht="12.75" customHeight="1">
      <c r="A493" s="11"/>
      <c r="C493" s="11"/>
      <c r="D493" s="10"/>
      <c r="AR493" s="10"/>
      <c r="AS493" s="10"/>
    </row>
    <row r="494" spans="1:45" s="17" customFormat="1" ht="12.75" customHeight="1">
      <c r="A494" s="11"/>
      <c r="C494" s="11"/>
      <c r="D494" s="10"/>
      <c r="AR494" s="10"/>
      <c r="AS494" s="10"/>
    </row>
    <row r="495" spans="1:45" s="17" customFormat="1" ht="12.75" customHeight="1">
      <c r="A495" s="11"/>
      <c r="C495" s="11"/>
      <c r="D495" s="10"/>
      <c r="AR495" s="10"/>
      <c r="AS495" s="10"/>
    </row>
    <row r="496" spans="1:45" s="17" customFormat="1" ht="12.75" customHeight="1">
      <c r="A496" s="11"/>
      <c r="C496" s="11"/>
      <c r="D496" s="10"/>
      <c r="AR496" s="10"/>
      <c r="AS496" s="10"/>
    </row>
    <row r="497" spans="1:45" s="17" customFormat="1" ht="12.75" customHeight="1">
      <c r="A497" s="11"/>
      <c r="C497" s="11"/>
      <c r="D497" s="10"/>
      <c r="AR497" s="10"/>
      <c r="AS497" s="10"/>
    </row>
    <row r="498" spans="1:45" s="17" customFormat="1" ht="12.75" customHeight="1">
      <c r="A498" s="11"/>
      <c r="C498" s="11"/>
      <c r="D498" s="10"/>
      <c r="AR498" s="10"/>
      <c r="AS498" s="10"/>
    </row>
    <row r="499" spans="1:45" s="17" customFormat="1" ht="12.75" customHeight="1">
      <c r="A499" s="11"/>
      <c r="C499" s="11"/>
      <c r="D499" s="10"/>
      <c r="AR499" s="10"/>
      <c r="AS499" s="10"/>
    </row>
    <row r="500" spans="1:45" s="17" customFormat="1" ht="12.75" customHeight="1">
      <c r="A500" s="11"/>
      <c r="C500" s="11"/>
      <c r="D500" s="10"/>
      <c r="AR500" s="10"/>
      <c r="AS500" s="10"/>
    </row>
    <row r="501" spans="1:45" s="17" customFormat="1" ht="12.75" customHeight="1">
      <c r="A501" s="11"/>
      <c r="C501" s="11"/>
      <c r="D501" s="10"/>
      <c r="AR501" s="10"/>
      <c r="AS501" s="10"/>
    </row>
    <row r="502" spans="1:45" s="17" customFormat="1" ht="12.75" customHeight="1">
      <c r="A502" s="11"/>
      <c r="C502" s="11"/>
      <c r="D502" s="10"/>
      <c r="AR502" s="10"/>
      <c r="AS502" s="10"/>
    </row>
    <row r="503" spans="1:45" s="17" customFormat="1" ht="12.75" customHeight="1">
      <c r="A503" s="11"/>
      <c r="C503" s="11"/>
      <c r="D503" s="10"/>
      <c r="AR503" s="10"/>
      <c r="AS503" s="10"/>
    </row>
    <row r="504" spans="1:45" s="17" customFormat="1" ht="12.75" customHeight="1">
      <c r="A504" s="11"/>
      <c r="C504" s="11"/>
      <c r="D504" s="10"/>
      <c r="AR504" s="10"/>
      <c r="AS504" s="10"/>
    </row>
    <row r="505" spans="1:45" s="17" customFormat="1" ht="12.75" customHeight="1">
      <c r="A505" s="11"/>
      <c r="C505" s="11"/>
      <c r="D505" s="10"/>
      <c r="AR505" s="10"/>
      <c r="AS505" s="10"/>
    </row>
    <row r="506" spans="1:45" s="17" customFormat="1" ht="12.75" customHeight="1">
      <c r="A506" s="11"/>
      <c r="C506" s="11"/>
      <c r="D506" s="10"/>
      <c r="AR506" s="10"/>
      <c r="AS506" s="10"/>
    </row>
    <row r="507" spans="1:45" s="17" customFormat="1" ht="12.75" customHeight="1">
      <c r="A507" s="11"/>
      <c r="C507" s="11"/>
      <c r="D507" s="10"/>
      <c r="AR507" s="10"/>
      <c r="AS507" s="10"/>
    </row>
    <row r="508" spans="1:45" s="17" customFormat="1" ht="12.75" customHeight="1">
      <c r="A508" s="11"/>
      <c r="C508" s="11"/>
      <c r="D508" s="10"/>
      <c r="AR508" s="10"/>
      <c r="AS508" s="10"/>
    </row>
    <row r="509" spans="1:45" s="17" customFormat="1" ht="12.75" customHeight="1">
      <c r="A509" s="11"/>
      <c r="C509" s="11"/>
      <c r="D509" s="10"/>
      <c r="AR509" s="10"/>
      <c r="AS509" s="10"/>
    </row>
    <row r="510" spans="1:45" s="17" customFormat="1" ht="12.75" customHeight="1">
      <c r="A510" s="11"/>
      <c r="C510" s="11"/>
      <c r="D510" s="10"/>
      <c r="AR510" s="10"/>
      <c r="AS510" s="10"/>
    </row>
    <row r="511" spans="1:45" s="17" customFormat="1" ht="12.75" customHeight="1">
      <c r="A511" s="11"/>
      <c r="C511" s="11"/>
      <c r="D511" s="10"/>
      <c r="AR511" s="10"/>
      <c r="AS511" s="10"/>
    </row>
    <row r="512" spans="1:45" s="17" customFormat="1" ht="12.75" customHeight="1">
      <c r="A512" s="11"/>
      <c r="C512" s="11"/>
      <c r="D512" s="10"/>
      <c r="AR512" s="10"/>
      <c r="AS512" s="10"/>
    </row>
    <row r="513" spans="1:45" s="17" customFormat="1" ht="12.75" customHeight="1">
      <c r="A513" s="11"/>
      <c r="C513" s="11"/>
      <c r="D513" s="10"/>
      <c r="AR513" s="10"/>
      <c r="AS513" s="10"/>
    </row>
    <row r="514" spans="1:45" s="17" customFormat="1" ht="12.75" customHeight="1">
      <c r="A514" s="11"/>
      <c r="C514" s="11"/>
      <c r="D514" s="10"/>
      <c r="AR514" s="10"/>
      <c r="AS514" s="10"/>
    </row>
    <row r="515" spans="1:45" s="17" customFormat="1" ht="12.75" customHeight="1">
      <c r="A515" s="11"/>
      <c r="C515" s="11"/>
      <c r="D515" s="10"/>
      <c r="AR515" s="10"/>
      <c r="AS515" s="10"/>
    </row>
    <row r="516" spans="1:45" s="17" customFormat="1" ht="12.75" customHeight="1">
      <c r="A516" s="11"/>
      <c r="C516" s="11"/>
      <c r="D516" s="10"/>
      <c r="AR516" s="10"/>
      <c r="AS516" s="10"/>
    </row>
    <row r="517" spans="1:45" s="17" customFormat="1" ht="12.75" customHeight="1">
      <c r="A517" s="11"/>
      <c r="C517" s="11"/>
      <c r="D517" s="10"/>
      <c r="AR517" s="10"/>
      <c r="AS517" s="10"/>
    </row>
    <row r="518" spans="1:45" s="17" customFormat="1" ht="12.75" customHeight="1">
      <c r="A518" s="11"/>
      <c r="C518" s="11"/>
      <c r="D518" s="10"/>
      <c r="AR518" s="10"/>
      <c r="AS518" s="10"/>
    </row>
    <row r="519" spans="1:45" s="17" customFormat="1" ht="12.75" customHeight="1">
      <c r="A519" s="11"/>
      <c r="C519" s="11"/>
      <c r="D519" s="10"/>
      <c r="AR519" s="10"/>
      <c r="AS519" s="10"/>
    </row>
    <row r="520" spans="1:45" s="17" customFormat="1" ht="12.75" customHeight="1">
      <c r="A520" s="11"/>
      <c r="C520" s="11"/>
      <c r="D520" s="10"/>
      <c r="AR520" s="10"/>
      <c r="AS520" s="10"/>
    </row>
    <row r="521" spans="1:45" s="17" customFormat="1" ht="12.75" customHeight="1">
      <c r="A521" s="11"/>
      <c r="C521" s="11"/>
      <c r="D521" s="10"/>
      <c r="AR521" s="10"/>
      <c r="AS521" s="10"/>
    </row>
    <row r="522" spans="1:45" s="17" customFormat="1" ht="12.75" customHeight="1">
      <c r="A522" s="11"/>
      <c r="C522" s="11"/>
      <c r="D522" s="10"/>
      <c r="AR522" s="10"/>
      <c r="AS522" s="10"/>
    </row>
    <row r="523" spans="1:45" s="17" customFormat="1" ht="12.75" customHeight="1">
      <c r="A523" s="11"/>
      <c r="C523" s="11"/>
      <c r="D523" s="10"/>
      <c r="AR523" s="10"/>
      <c r="AS523" s="10"/>
    </row>
    <row r="524" spans="1:45" s="17" customFormat="1" ht="12.75" customHeight="1">
      <c r="A524" s="11"/>
      <c r="C524" s="11"/>
      <c r="D524" s="10"/>
      <c r="AR524" s="10"/>
      <c r="AS524" s="10"/>
    </row>
    <row r="525" spans="1:45" s="17" customFormat="1" ht="12.75" customHeight="1">
      <c r="A525" s="11"/>
      <c r="C525" s="11"/>
      <c r="D525" s="10"/>
      <c r="AR525" s="10"/>
      <c r="AS525" s="10"/>
    </row>
    <row r="526" spans="1:45" s="17" customFormat="1" ht="12.75" customHeight="1">
      <c r="A526" s="11"/>
      <c r="C526" s="11"/>
      <c r="D526" s="10"/>
      <c r="AR526" s="10"/>
      <c r="AS526" s="10"/>
    </row>
    <row r="527" spans="1:45" s="17" customFormat="1" ht="12.75" customHeight="1">
      <c r="A527" s="11"/>
      <c r="C527" s="11"/>
      <c r="D527" s="10"/>
      <c r="AR527" s="10"/>
      <c r="AS527" s="10"/>
    </row>
    <row r="528" spans="1:45" s="17" customFormat="1" ht="12.75" customHeight="1">
      <c r="A528" s="11"/>
      <c r="C528" s="11"/>
      <c r="D528" s="10"/>
      <c r="AR528" s="10"/>
      <c r="AS528" s="10"/>
    </row>
    <row r="529" spans="1:45" s="17" customFormat="1" ht="12.75" customHeight="1">
      <c r="A529" s="11"/>
      <c r="C529" s="11"/>
      <c r="D529" s="10"/>
      <c r="AR529" s="10"/>
      <c r="AS529" s="10"/>
    </row>
    <row r="530" spans="1:45" s="17" customFormat="1" ht="12.75" customHeight="1">
      <c r="A530" s="11"/>
      <c r="C530" s="11"/>
      <c r="D530" s="10"/>
      <c r="AR530" s="10"/>
      <c r="AS530" s="10"/>
    </row>
    <row r="531" spans="1:45" s="17" customFormat="1" ht="12.75" customHeight="1">
      <c r="A531" s="11"/>
      <c r="C531" s="11"/>
      <c r="D531" s="10"/>
      <c r="AR531" s="10"/>
      <c r="AS531" s="10"/>
    </row>
    <row r="532" spans="1:45" s="17" customFormat="1" ht="12.75" customHeight="1">
      <c r="A532" s="11"/>
      <c r="C532" s="11"/>
      <c r="D532" s="10"/>
      <c r="AR532" s="10"/>
      <c r="AS532" s="10"/>
    </row>
    <row r="533" spans="1:45" s="17" customFormat="1" ht="12.75" customHeight="1">
      <c r="A533" s="11"/>
      <c r="C533" s="11"/>
      <c r="D533" s="10"/>
      <c r="AR533" s="10"/>
      <c r="AS533" s="10"/>
    </row>
    <row r="534" spans="1:45" s="17" customFormat="1" ht="12.75" customHeight="1">
      <c r="A534" s="11"/>
      <c r="C534" s="11"/>
      <c r="D534" s="10"/>
      <c r="AR534" s="10"/>
      <c r="AS534" s="10"/>
    </row>
    <row r="535" spans="1:45" s="17" customFormat="1" ht="12.75" customHeight="1">
      <c r="A535" s="11"/>
      <c r="C535" s="11"/>
      <c r="D535" s="10"/>
      <c r="AR535" s="10"/>
      <c r="AS535" s="10"/>
    </row>
    <row r="536" spans="1:45" s="17" customFormat="1" ht="12.75" customHeight="1">
      <c r="A536" s="11"/>
      <c r="C536" s="11"/>
      <c r="D536" s="10"/>
      <c r="AR536" s="10"/>
      <c r="AS536" s="10"/>
    </row>
    <row r="537" spans="1:45" s="17" customFormat="1" ht="12.75" customHeight="1">
      <c r="A537" s="11"/>
      <c r="C537" s="11"/>
      <c r="D537" s="10"/>
      <c r="AR537" s="10"/>
      <c r="AS537" s="10"/>
    </row>
    <row r="538" spans="1:45" s="17" customFormat="1" ht="12.75" customHeight="1">
      <c r="A538" s="11"/>
      <c r="C538" s="11"/>
      <c r="D538" s="10"/>
      <c r="AR538" s="10"/>
      <c r="AS538" s="10"/>
    </row>
    <row r="539" spans="1:45" s="17" customFormat="1" ht="12.75" customHeight="1">
      <c r="A539" s="11"/>
      <c r="C539" s="11"/>
      <c r="D539" s="10"/>
      <c r="AR539" s="10"/>
      <c r="AS539" s="10"/>
    </row>
    <row r="540" spans="1:45" s="17" customFormat="1" ht="12.75" customHeight="1">
      <c r="A540" s="11"/>
      <c r="C540" s="11"/>
      <c r="D540" s="10"/>
      <c r="AR540" s="10"/>
      <c r="AS540" s="10"/>
    </row>
    <row r="541" spans="1:45" s="17" customFormat="1" ht="12.75" customHeight="1">
      <c r="A541" s="11"/>
      <c r="C541" s="11"/>
      <c r="D541" s="10"/>
      <c r="AR541" s="10"/>
      <c r="AS541" s="10"/>
    </row>
    <row r="542" spans="1:45" s="17" customFormat="1" ht="12.75" customHeight="1">
      <c r="A542" s="11"/>
      <c r="C542" s="11"/>
      <c r="D542" s="10"/>
      <c r="AR542" s="10"/>
      <c r="AS542" s="10"/>
    </row>
    <row r="543" spans="1:45" s="17" customFormat="1" ht="12.75" customHeight="1">
      <c r="A543" s="11"/>
      <c r="C543" s="11"/>
      <c r="D543" s="10"/>
      <c r="AR543" s="10"/>
      <c r="AS543" s="10"/>
    </row>
    <row r="544" spans="1:45" s="17" customFormat="1" ht="12.75" customHeight="1">
      <c r="A544" s="11"/>
      <c r="C544" s="11"/>
      <c r="D544" s="10"/>
      <c r="AR544" s="10"/>
      <c r="AS544" s="10"/>
    </row>
    <row r="545" spans="1:45" s="17" customFormat="1" ht="12.75" customHeight="1">
      <c r="A545" s="11"/>
      <c r="C545" s="11"/>
      <c r="D545" s="10"/>
      <c r="AR545" s="10"/>
      <c r="AS545" s="10"/>
    </row>
    <row r="546" spans="1:45" s="17" customFormat="1" ht="12.75" customHeight="1">
      <c r="A546" s="11"/>
      <c r="C546" s="11"/>
      <c r="D546" s="10"/>
      <c r="AR546" s="10"/>
      <c r="AS546" s="10"/>
    </row>
    <row r="547" spans="1:45" s="17" customFormat="1" ht="12.75" customHeight="1">
      <c r="A547" s="11"/>
      <c r="C547" s="11"/>
      <c r="D547" s="10"/>
      <c r="AR547" s="10"/>
      <c r="AS547" s="10"/>
    </row>
    <row r="548" spans="1:45" s="17" customFormat="1" ht="12.75" customHeight="1">
      <c r="A548" s="11"/>
      <c r="C548" s="11"/>
      <c r="D548" s="10"/>
      <c r="AR548" s="10"/>
      <c r="AS548" s="10"/>
    </row>
    <row r="549" spans="1:45" s="17" customFormat="1" ht="12.75" customHeight="1">
      <c r="A549" s="11"/>
      <c r="C549" s="11"/>
      <c r="D549" s="10"/>
      <c r="AR549" s="10"/>
      <c r="AS549" s="10"/>
    </row>
    <row r="550" spans="1:45" s="17" customFormat="1" ht="12.75" customHeight="1">
      <c r="A550" s="11"/>
      <c r="C550" s="11"/>
      <c r="D550" s="10"/>
      <c r="AR550" s="10"/>
      <c r="AS550" s="10"/>
    </row>
    <row r="551" spans="1:45" s="17" customFormat="1" ht="12.75" customHeight="1">
      <c r="A551" s="11"/>
      <c r="C551" s="11"/>
      <c r="D551" s="10"/>
      <c r="AR551" s="10"/>
      <c r="AS551" s="10"/>
    </row>
    <row r="552" spans="1:45" s="17" customFormat="1" ht="12.75" customHeight="1">
      <c r="A552" s="11"/>
      <c r="C552" s="11"/>
      <c r="D552" s="10"/>
      <c r="AR552" s="10"/>
      <c r="AS552" s="10"/>
    </row>
    <row r="553" spans="1:45" s="17" customFormat="1" ht="12.75" customHeight="1">
      <c r="A553" s="11"/>
      <c r="C553" s="11"/>
      <c r="D553" s="10"/>
      <c r="AR553" s="10"/>
      <c r="AS553" s="10"/>
    </row>
    <row r="554" spans="1:45" s="17" customFormat="1" ht="12.75" customHeight="1">
      <c r="A554" s="11"/>
      <c r="C554" s="11"/>
      <c r="D554" s="10"/>
      <c r="AR554" s="10"/>
      <c r="AS554" s="10"/>
    </row>
    <row r="555" spans="1:45" s="17" customFormat="1" ht="12.75" customHeight="1">
      <c r="A555" s="11"/>
      <c r="C555" s="11"/>
      <c r="D555" s="10"/>
      <c r="AR555" s="10"/>
      <c r="AS555" s="10"/>
    </row>
    <row r="556" spans="1:45" s="17" customFormat="1" ht="12.75" customHeight="1">
      <c r="A556" s="11"/>
      <c r="C556" s="11"/>
      <c r="D556" s="10"/>
      <c r="AR556" s="10"/>
      <c r="AS556" s="10"/>
    </row>
    <row r="557" spans="1:45" s="17" customFormat="1" ht="12.75" customHeight="1">
      <c r="A557" s="11"/>
      <c r="C557" s="11"/>
      <c r="D557" s="10"/>
      <c r="AR557" s="10"/>
      <c r="AS557" s="10"/>
    </row>
    <row r="558" spans="1:45" s="17" customFormat="1" ht="12.75" customHeight="1">
      <c r="A558" s="11"/>
      <c r="C558" s="11"/>
      <c r="D558" s="10"/>
      <c r="AR558" s="10"/>
      <c r="AS558" s="10"/>
    </row>
    <row r="559" spans="1:45" s="17" customFormat="1" ht="12.75" customHeight="1">
      <c r="A559" s="11"/>
      <c r="C559" s="11"/>
      <c r="D559" s="10"/>
      <c r="AR559" s="10"/>
      <c r="AS559" s="10"/>
    </row>
    <row r="560" spans="1:45" s="17" customFormat="1" ht="12.75" customHeight="1">
      <c r="A560" s="11"/>
      <c r="C560" s="11"/>
      <c r="D560" s="10"/>
      <c r="AR560" s="10"/>
      <c r="AS560" s="10"/>
    </row>
    <row r="561" spans="1:45" s="17" customFormat="1" ht="12.75" customHeight="1">
      <c r="A561" s="11"/>
      <c r="C561" s="11"/>
      <c r="D561" s="10"/>
      <c r="AR561" s="10"/>
      <c r="AS561" s="10"/>
    </row>
    <row r="562" spans="1:45" s="17" customFormat="1" ht="12.75" customHeight="1">
      <c r="A562" s="11"/>
      <c r="C562" s="11"/>
      <c r="D562" s="10"/>
      <c r="AR562" s="10"/>
      <c r="AS562" s="10"/>
    </row>
    <row r="563" spans="1:45" s="17" customFormat="1" ht="12.75" customHeight="1">
      <c r="A563" s="11"/>
      <c r="C563" s="11"/>
      <c r="D563" s="10"/>
      <c r="AR563" s="10"/>
      <c r="AS563" s="10"/>
    </row>
    <row r="564" spans="1:45" s="17" customFormat="1" ht="12.75" customHeight="1">
      <c r="A564" s="11"/>
      <c r="C564" s="11"/>
      <c r="D564" s="10"/>
      <c r="AR564" s="10"/>
      <c r="AS564" s="10"/>
    </row>
    <row r="565" spans="1:45" s="17" customFormat="1" ht="12.75" customHeight="1">
      <c r="A565" s="11"/>
      <c r="C565" s="11"/>
      <c r="D565" s="10"/>
      <c r="AR565" s="10"/>
      <c r="AS565" s="10"/>
    </row>
    <row r="566" spans="1:45" s="17" customFormat="1" ht="12.75" customHeight="1">
      <c r="A566" s="11"/>
      <c r="C566" s="11"/>
      <c r="D566" s="10"/>
      <c r="AR566" s="10"/>
      <c r="AS566" s="10"/>
    </row>
    <row r="567" spans="1:45" s="17" customFormat="1" ht="12.75" customHeight="1">
      <c r="A567" s="11"/>
      <c r="C567" s="11"/>
      <c r="D567" s="10"/>
      <c r="AR567" s="10"/>
      <c r="AS567" s="10"/>
    </row>
    <row r="568" spans="1:45" s="17" customFormat="1" ht="12.75" customHeight="1">
      <c r="A568" s="11"/>
      <c r="C568" s="11"/>
      <c r="D568" s="10"/>
      <c r="AR568" s="10"/>
      <c r="AS568" s="10"/>
    </row>
    <row r="569" spans="1:45" s="17" customFormat="1" ht="12.75" customHeight="1">
      <c r="A569" s="11"/>
      <c r="C569" s="11"/>
      <c r="D569" s="10"/>
      <c r="AR569" s="10"/>
      <c r="AS569" s="10"/>
    </row>
    <row r="570" spans="1:45" s="17" customFormat="1" ht="12.75" customHeight="1">
      <c r="A570" s="11"/>
      <c r="C570" s="11"/>
      <c r="D570" s="10"/>
      <c r="AR570" s="10"/>
      <c r="AS570" s="10"/>
    </row>
    <row r="571" spans="1:45" s="17" customFormat="1" ht="12.75" customHeight="1">
      <c r="A571" s="11"/>
      <c r="C571" s="11"/>
      <c r="D571" s="10"/>
      <c r="AR571" s="10"/>
      <c r="AS571" s="10"/>
    </row>
    <row r="572" spans="1:45" s="17" customFormat="1" ht="12.75" customHeight="1">
      <c r="A572" s="11"/>
      <c r="C572" s="11"/>
      <c r="D572" s="10"/>
      <c r="AR572" s="10"/>
      <c r="AS572" s="10"/>
    </row>
    <row r="573" spans="1:45" s="17" customFormat="1" ht="12.75" customHeight="1">
      <c r="A573" s="11"/>
      <c r="C573" s="11"/>
      <c r="D573" s="10"/>
      <c r="AR573" s="10"/>
      <c r="AS573" s="10"/>
    </row>
    <row r="574" spans="1:45" s="17" customFormat="1" ht="12.75" customHeight="1">
      <c r="A574" s="11"/>
      <c r="C574" s="11"/>
      <c r="D574" s="10"/>
      <c r="AR574" s="10"/>
      <c r="AS574" s="10"/>
    </row>
    <row r="575" spans="1:45" s="17" customFormat="1" ht="12.75" customHeight="1">
      <c r="A575" s="11"/>
      <c r="C575" s="11"/>
      <c r="D575" s="10"/>
      <c r="AR575" s="10"/>
      <c r="AS575" s="10"/>
    </row>
    <row r="576" spans="1:45" s="17" customFormat="1" ht="12.75" customHeight="1">
      <c r="A576" s="11"/>
      <c r="C576" s="11"/>
      <c r="D576" s="10"/>
      <c r="AR576" s="10"/>
      <c r="AS576" s="10"/>
    </row>
    <row r="577" spans="1:45" s="17" customFormat="1" ht="12.75" customHeight="1">
      <c r="A577" s="11"/>
      <c r="C577" s="11"/>
      <c r="D577" s="10"/>
      <c r="AR577" s="10"/>
      <c r="AS577" s="10"/>
    </row>
    <row r="578" spans="1:45" s="17" customFormat="1" ht="12.75" customHeight="1">
      <c r="A578" s="11"/>
      <c r="C578" s="11"/>
      <c r="D578" s="10"/>
      <c r="AR578" s="10"/>
      <c r="AS578" s="10"/>
    </row>
    <row r="579" spans="1:45" s="17" customFormat="1" ht="12.75" customHeight="1">
      <c r="A579" s="11"/>
      <c r="C579" s="11"/>
      <c r="D579" s="10"/>
      <c r="AR579" s="10"/>
      <c r="AS579" s="10"/>
    </row>
    <row r="580" spans="1:45" s="17" customFormat="1" ht="12.75" customHeight="1">
      <c r="A580" s="11"/>
      <c r="C580" s="11"/>
      <c r="D580" s="10"/>
      <c r="AR580" s="10"/>
      <c r="AS580" s="10"/>
    </row>
    <row r="581" spans="1:45" s="17" customFormat="1" ht="12.75" customHeight="1">
      <c r="A581" s="11"/>
      <c r="C581" s="11"/>
      <c r="D581" s="10"/>
      <c r="AR581" s="10"/>
      <c r="AS581" s="10"/>
    </row>
    <row r="582" spans="1:45" s="17" customFormat="1" ht="12.75" customHeight="1">
      <c r="A582" s="11"/>
      <c r="C582" s="11"/>
      <c r="D582" s="10"/>
      <c r="AR582" s="10"/>
      <c r="AS582" s="10"/>
    </row>
    <row r="583" spans="1:45" s="17" customFormat="1" ht="12.75" customHeight="1">
      <c r="A583" s="11"/>
      <c r="C583" s="11"/>
      <c r="D583" s="10"/>
      <c r="AR583" s="10"/>
      <c r="AS583" s="10"/>
    </row>
    <row r="584" spans="1:45" s="17" customFormat="1" ht="12.75" customHeight="1">
      <c r="A584" s="11"/>
      <c r="C584" s="11"/>
      <c r="D584" s="10"/>
      <c r="AR584" s="10"/>
      <c r="AS584" s="10"/>
    </row>
    <row r="585" spans="1:45" s="17" customFormat="1" ht="12.75" customHeight="1">
      <c r="A585" s="11"/>
      <c r="C585" s="11"/>
      <c r="D585" s="10"/>
      <c r="AR585" s="10"/>
      <c r="AS585" s="10"/>
    </row>
    <row r="586" spans="1:45" s="17" customFormat="1" ht="12.75" customHeight="1">
      <c r="A586" s="11"/>
      <c r="C586" s="11"/>
      <c r="D586" s="10"/>
      <c r="AR586" s="10"/>
      <c r="AS586" s="10"/>
    </row>
    <row r="587" spans="1:45" s="17" customFormat="1" ht="12.75" customHeight="1">
      <c r="A587" s="11"/>
      <c r="C587" s="11"/>
      <c r="D587" s="10"/>
      <c r="AR587" s="10"/>
      <c r="AS587" s="10"/>
    </row>
    <row r="588" spans="1:45" s="17" customFormat="1" ht="12.75" customHeight="1">
      <c r="A588" s="11"/>
      <c r="C588" s="11"/>
      <c r="D588" s="10"/>
      <c r="AR588" s="10"/>
      <c r="AS588" s="10"/>
    </row>
    <row r="589" spans="1:45" s="17" customFormat="1" ht="12.75" customHeight="1">
      <c r="A589" s="11"/>
      <c r="C589" s="11"/>
      <c r="D589" s="10"/>
      <c r="AR589" s="10"/>
      <c r="AS589" s="10"/>
    </row>
    <row r="590" spans="1:45" s="17" customFormat="1" ht="12.75" customHeight="1">
      <c r="A590" s="11"/>
      <c r="C590" s="11"/>
      <c r="D590" s="10"/>
      <c r="AR590" s="10"/>
      <c r="AS590" s="10"/>
    </row>
    <row r="591" spans="1:45" s="17" customFormat="1" ht="12.75" customHeight="1">
      <c r="A591" s="11"/>
      <c r="C591" s="11"/>
      <c r="D591" s="10"/>
      <c r="AR591" s="10"/>
      <c r="AS591" s="10"/>
    </row>
    <row r="592" spans="1:45" s="17" customFormat="1" ht="12.75" customHeight="1">
      <c r="A592" s="11"/>
      <c r="C592" s="11"/>
      <c r="D592" s="10"/>
      <c r="AR592" s="10"/>
      <c r="AS592" s="10"/>
    </row>
    <row r="593" spans="1:45" s="17" customFormat="1" ht="12.75" customHeight="1">
      <c r="A593" s="11"/>
      <c r="C593" s="11"/>
      <c r="D593" s="10"/>
      <c r="AR593" s="10"/>
      <c r="AS593" s="10"/>
    </row>
    <row r="594" spans="1:45" s="17" customFormat="1" ht="12.75" customHeight="1">
      <c r="A594" s="11"/>
      <c r="C594" s="11"/>
      <c r="D594" s="10"/>
      <c r="AR594" s="10"/>
      <c r="AS594" s="10"/>
    </row>
    <row r="595" spans="1:45" s="17" customFormat="1" ht="12.75" customHeight="1">
      <c r="A595" s="11"/>
      <c r="C595" s="11"/>
      <c r="D595" s="10"/>
      <c r="AR595" s="10"/>
      <c r="AS595" s="10"/>
    </row>
    <row r="596" spans="1:45" s="17" customFormat="1" ht="12.75" customHeight="1">
      <c r="A596" s="11"/>
      <c r="C596" s="11"/>
      <c r="D596" s="10"/>
      <c r="AR596" s="10"/>
      <c r="AS596" s="10"/>
    </row>
    <row r="597" spans="1:45" s="17" customFormat="1" ht="12.75" customHeight="1">
      <c r="A597" s="11"/>
      <c r="C597" s="11"/>
      <c r="D597" s="10"/>
      <c r="AR597" s="10"/>
      <c r="AS597" s="10"/>
    </row>
    <row r="598" spans="1:45" s="17" customFormat="1" ht="12.75" customHeight="1">
      <c r="A598" s="11"/>
      <c r="C598" s="11"/>
      <c r="D598" s="10"/>
      <c r="AR598" s="10"/>
      <c r="AS598" s="10"/>
    </row>
    <row r="599" spans="1:45" s="17" customFormat="1" ht="12.75" customHeight="1">
      <c r="A599" s="11"/>
      <c r="C599" s="11"/>
      <c r="D599" s="10"/>
      <c r="AR599" s="10"/>
      <c r="AS599" s="10"/>
    </row>
    <row r="600" spans="1:45" s="17" customFormat="1" ht="12.75" customHeight="1">
      <c r="A600" s="11"/>
      <c r="C600" s="11"/>
      <c r="D600" s="10"/>
      <c r="AR600" s="10"/>
      <c r="AS600" s="10"/>
    </row>
    <row r="601" spans="1:45" s="17" customFormat="1" ht="12.75" customHeight="1">
      <c r="A601" s="11"/>
      <c r="C601" s="11"/>
      <c r="D601" s="10"/>
      <c r="AR601" s="10"/>
      <c r="AS601" s="10"/>
    </row>
    <row r="602" spans="1:45" s="17" customFormat="1" ht="12.75" customHeight="1">
      <c r="A602" s="11"/>
      <c r="C602" s="11"/>
      <c r="D602" s="10"/>
      <c r="AR602" s="10"/>
      <c r="AS602" s="10"/>
    </row>
    <row r="603" spans="1:45" s="17" customFormat="1" ht="12.75" customHeight="1">
      <c r="A603" s="11"/>
      <c r="C603" s="11"/>
      <c r="D603" s="10"/>
      <c r="AR603" s="10"/>
      <c r="AS603" s="10"/>
    </row>
    <row r="604" spans="1:45" s="17" customFormat="1" ht="12.75" customHeight="1">
      <c r="A604" s="11"/>
      <c r="C604" s="11"/>
      <c r="D604" s="10"/>
      <c r="AR604" s="10"/>
      <c r="AS604" s="10"/>
    </row>
    <row r="605" spans="1:45" s="17" customFormat="1" ht="12.75" customHeight="1">
      <c r="A605" s="11"/>
      <c r="C605" s="11"/>
      <c r="D605" s="10"/>
      <c r="AR605" s="10"/>
      <c r="AS605" s="10"/>
    </row>
    <row r="606" spans="1:45" s="17" customFormat="1" ht="12.75" customHeight="1">
      <c r="A606" s="11"/>
      <c r="C606" s="11"/>
      <c r="D606" s="10"/>
      <c r="AR606" s="10"/>
      <c r="AS606" s="10"/>
    </row>
    <row r="607" spans="1:45" s="17" customFormat="1" ht="12.75" customHeight="1">
      <c r="A607" s="11"/>
      <c r="C607" s="11"/>
      <c r="D607" s="10"/>
      <c r="AR607" s="10"/>
      <c r="AS607" s="10"/>
    </row>
    <row r="608" spans="1:45" s="17" customFormat="1" ht="12.75" customHeight="1">
      <c r="A608" s="11"/>
      <c r="C608" s="11"/>
      <c r="D608" s="10"/>
      <c r="AR608" s="10"/>
      <c r="AS608" s="10"/>
    </row>
    <row r="609" spans="1:45" s="17" customFormat="1" ht="12.75" customHeight="1">
      <c r="A609" s="11"/>
      <c r="C609" s="11"/>
      <c r="D609" s="10"/>
      <c r="AR609" s="10"/>
      <c r="AS609" s="10"/>
    </row>
    <row r="610" spans="1:45" s="17" customFormat="1" ht="12.75" customHeight="1">
      <c r="A610" s="11"/>
      <c r="C610" s="11"/>
      <c r="D610" s="10"/>
      <c r="AR610" s="10"/>
      <c r="AS610" s="10"/>
    </row>
    <row r="611" spans="1:45" s="17" customFormat="1" ht="12.75" customHeight="1">
      <c r="A611" s="11"/>
      <c r="C611" s="11"/>
      <c r="D611" s="10"/>
      <c r="AR611" s="10"/>
      <c r="AS611" s="10"/>
    </row>
    <row r="612" spans="1:45" s="17" customFormat="1" ht="12.75" customHeight="1">
      <c r="A612" s="11"/>
      <c r="C612" s="11"/>
      <c r="D612" s="10"/>
      <c r="AR612" s="10"/>
      <c r="AS612" s="10"/>
    </row>
    <row r="613" spans="1:45" s="17" customFormat="1" ht="12.75" customHeight="1">
      <c r="A613" s="11"/>
      <c r="C613" s="11"/>
      <c r="D613" s="10"/>
      <c r="AR613" s="10"/>
      <c r="AS613" s="10"/>
    </row>
    <row r="614" spans="1:45" s="17" customFormat="1" ht="12.75" customHeight="1">
      <c r="A614" s="11"/>
      <c r="C614" s="11"/>
      <c r="D614" s="10"/>
      <c r="AR614" s="10"/>
      <c r="AS614" s="10"/>
    </row>
    <row r="615" spans="1:45" s="17" customFormat="1" ht="12.75" customHeight="1">
      <c r="A615" s="11"/>
      <c r="C615" s="11"/>
      <c r="D615" s="10"/>
      <c r="AR615" s="10"/>
      <c r="AS615" s="10"/>
    </row>
    <row r="616" spans="1:45" s="17" customFormat="1" ht="12.75" customHeight="1">
      <c r="A616" s="11"/>
      <c r="C616" s="11"/>
      <c r="D616" s="10"/>
      <c r="AR616" s="10"/>
      <c r="AS616" s="10"/>
    </row>
    <row r="617" spans="1:45" s="17" customFormat="1" ht="12.75" customHeight="1">
      <c r="A617" s="11"/>
      <c r="C617" s="11"/>
      <c r="D617" s="10"/>
      <c r="AR617" s="10"/>
      <c r="AS617" s="10"/>
    </row>
    <row r="618" spans="1:45" s="17" customFormat="1" ht="12.75" customHeight="1">
      <c r="A618" s="11"/>
      <c r="C618" s="11"/>
      <c r="D618" s="10"/>
      <c r="AR618" s="10"/>
      <c r="AS618" s="10"/>
    </row>
    <row r="619" spans="1:45" s="17" customFormat="1" ht="12.75" customHeight="1">
      <c r="A619" s="11"/>
      <c r="C619" s="11"/>
      <c r="D619" s="10"/>
      <c r="AR619" s="10"/>
      <c r="AS619" s="10"/>
    </row>
    <row r="620" spans="1:45" s="17" customFormat="1" ht="12.75" customHeight="1">
      <c r="A620" s="11"/>
      <c r="C620" s="11"/>
      <c r="D620" s="10"/>
      <c r="AR620" s="10"/>
      <c r="AS620" s="10"/>
    </row>
    <row r="621" spans="1:45" s="17" customFormat="1" ht="12.75" customHeight="1">
      <c r="A621" s="11"/>
      <c r="C621" s="11"/>
      <c r="D621" s="10"/>
      <c r="AR621" s="10"/>
      <c r="AS621" s="10"/>
    </row>
    <row r="622" spans="1:45" s="17" customFormat="1" ht="12.75" customHeight="1">
      <c r="A622" s="11"/>
      <c r="C622" s="11"/>
      <c r="D622" s="10"/>
      <c r="AR622" s="10"/>
      <c r="AS622" s="10"/>
    </row>
    <row r="623" spans="1:45" s="17" customFormat="1" ht="12.75" customHeight="1">
      <c r="A623" s="11"/>
      <c r="C623" s="11"/>
      <c r="D623" s="10"/>
      <c r="AR623" s="10"/>
      <c r="AS623" s="10"/>
    </row>
    <row r="624" spans="1:45" s="17" customFormat="1" ht="12.75" customHeight="1">
      <c r="A624" s="11"/>
      <c r="C624" s="11"/>
      <c r="D624" s="10"/>
      <c r="AR624" s="10"/>
      <c r="AS624" s="10"/>
    </row>
    <row r="625" spans="1:45" s="17" customFormat="1" ht="12.75" customHeight="1">
      <c r="A625" s="11"/>
      <c r="C625" s="11"/>
      <c r="D625" s="10"/>
      <c r="AR625" s="10"/>
      <c r="AS625" s="10"/>
    </row>
    <row r="626" spans="1:45" s="17" customFormat="1" ht="12.75" customHeight="1">
      <c r="A626" s="11"/>
      <c r="C626" s="11"/>
      <c r="D626" s="10"/>
      <c r="AR626" s="10"/>
      <c r="AS626" s="10"/>
    </row>
    <row r="627" spans="1:45" s="17" customFormat="1" ht="12.75" customHeight="1">
      <c r="A627" s="11"/>
      <c r="C627" s="11"/>
      <c r="D627" s="10"/>
      <c r="AR627" s="10"/>
      <c r="AS627" s="10"/>
    </row>
    <row r="628" spans="1:45" s="17" customFormat="1" ht="12.75" customHeight="1">
      <c r="A628" s="11"/>
      <c r="C628" s="11"/>
      <c r="D628" s="10"/>
      <c r="AR628" s="10"/>
      <c r="AS628" s="10"/>
    </row>
    <row r="629" spans="1:45" s="17" customFormat="1" ht="12.75" customHeight="1">
      <c r="A629" s="11"/>
      <c r="C629" s="11"/>
      <c r="D629" s="10"/>
      <c r="AR629" s="10"/>
      <c r="AS629" s="10"/>
    </row>
    <row r="630" spans="1:45" s="17" customFormat="1" ht="12.75" customHeight="1">
      <c r="A630" s="11"/>
      <c r="C630" s="11"/>
      <c r="D630" s="10"/>
      <c r="AR630" s="10"/>
      <c r="AS630" s="10"/>
    </row>
    <row r="631" spans="1:45" s="17" customFormat="1" ht="12.75" customHeight="1">
      <c r="A631" s="11"/>
      <c r="C631" s="11"/>
      <c r="D631" s="10"/>
      <c r="AR631" s="10"/>
      <c r="AS631" s="10"/>
    </row>
    <row r="632" spans="1:45" s="17" customFormat="1" ht="12.75" customHeight="1">
      <c r="A632" s="11"/>
      <c r="C632" s="11"/>
      <c r="D632" s="10"/>
      <c r="AR632" s="10"/>
      <c r="AS632" s="10"/>
    </row>
    <row r="633" spans="1:45" s="17" customFormat="1" ht="12.75" customHeight="1">
      <c r="A633" s="11"/>
      <c r="C633" s="11"/>
      <c r="D633" s="10"/>
      <c r="AR633" s="10"/>
      <c r="AS633" s="10"/>
    </row>
    <row r="634" spans="1:45" s="17" customFormat="1" ht="12.75" customHeight="1">
      <c r="A634" s="11"/>
      <c r="C634" s="11"/>
      <c r="D634" s="10"/>
      <c r="AR634" s="10"/>
      <c r="AS634" s="10"/>
    </row>
    <row r="635" spans="1:45" s="17" customFormat="1" ht="12.75" customHeight="1">
      <c r="A635" s="11"/>
      <c r="C635" s="11"/>
      <c r="D635" s="10"/>
      <c r="AR635" s="10"/>
      <c r="AS635" s="10"/>
    </row>
    <row r="636" spans="1:45" s="17" customFormat="1" ht="12.75" customHeight="1">
      <c r="A636" s="11"/>
      <c r="C636" s="11"/>
      <c r="D636" s="10"/>
      <c r="AR636" s="10"/>
      <c r="AS636" s="10"/>
    </row>
    <row r="637" spans="1:45" s="17" customFormat="1" ht="12.75" customHeight="1">
      <c r="A637" s="11"/>
      <c r="C637" s="11"/>
      <c r="D637" s="10"/>
      <c r="AR637" s="10"/>
      <c r="AS637" s="10"/>
    </row>
    <row r="638" spans="1:45" s="17" customFormat="1" ht="12.75" customHeight="1">
      <c r="A638" s="11"/>
      <c r="C638" s="11"/>
      <c r="D638" s="10"/>
      <c r="AR638" s="10"/>
      <c r="AS638" s="10"/>
    </row>
    <row r="639" spans="1:45" s="17" customFormat="1" ht="12.75" customHeight="1">
      <c r="A639" s="11"/>
      <c r="C639" s="11"/>
      <c r="D639" s="10"/>
      <c r="AR639" s="10"/>
      <c r="AS639" s="10"/>
    </row>
    <row r="640" spans="1:45" s="17" customFormat="1" ht="12.75" customHeight="1">
      <c r="A640" s="11"/>
      <c r="C640" s="11"/>
      <c r="D640" s="10"/>
      <c r="AR640" s="10"/>
      <c r="AS640" s="10"/>
    </row>
    <row r="641" spans="1:45" s="17" customFormat="1" ht="12.75" customHeight="1">
      <c r="A641" s="11"/>
      <c r="C641" s="11"/>
      <c r="D641" s="10"/>
      <c r="AR641" s="10"/>
      <c r="AS641" s="10"/>
    </row>
    <row r="642" spans="1:45" s="17" customFormat="1" ht="12.75" customHeight="1">
      <c r="A642" s="11"/>
      <c r="C642" s="11"/>
      <c r="D642" s="10"/>
      <c r="AR642" s="10"/>
      <c r="AS642" s="10"/>
    </row>
    <row r="643" spans="1:45" s="17" customFormat="1" ht="12.75" customHeight="1">
      <c r="A643" s="11"/>
      <c r="C643" s="11"/>
      <c r="D643" s="10"/>
      <c r="AR643" s="10"/>
      <c r="AS643" s="10"/>
    </row>
    <row r="644" spans="1:45" s="17" customFormat="1" ht="12.75" customHeight="1">
      <c r="A644" s="11"/>
      <c r="C644" s="11"/>
      <c r="D644" s="10"/>
      <c r="AR644" s="10"/>
      <c r="AS644" s="10"/>
    </row>
    <row r="645" spans="1:45" s="17" customFormat="1" ht="12.75" customHeight="1">
      <c r="A645" s="11"/>
      <c r="C645" s="11"/>
      <c r="D645" s="10"/>
      <c r="AR645" s="10"/>
      <c r="AS645" s="10"/>
    </row>
    <row r="646" spans="1:45" s="17" customFormat="1" ht="12.75" customHeight="1">
      <c r="A646" s="11"/>
      <c r="C646" s="11"/>
      <c r="D646" s="10"/>
      <c r="AR646" s="10"/>
      <c r="AS646" s="10"/>
    </row>
    <row r="647" spans="1:45" s="17" customFormat="1" ht="12.75" customHeight="1">
      <c r="A647" s="11"/>
      <c r="C647" s="11"/>
      <c r="D647" s="10"/>
      <c r="AR647" s="10"/>
      <c r="AS647" s="10"/>
    </row>
    <row r="648" spans="1:45" s="17" customFormat="1" ht="12.75" customHeight="1">
      <c r="A648" s="11"/>
      <c r="C648" s="11"/>
      <c r="D648" s="10"/>
      <c r="AR648" s="10"/>
      <c r="AS648" s="10"/>
    </row>
    <row r="649" spans="1:45" s="17" customFormat="1" ht="12.75" customHeight="1">
      <c r="A649" s="11"/>
      <c r="C649" s="11"/>
      <c r="D649" s="10"/>
      <c r="AR649" s="10"/>
      <c r="AS649" s="10"/>
    </row>
    <row r="650" spans="1:45" s="17" customFormat="1" ht="12.75" customHeight="1">
      <c r="A650" s="11"/>
      <c r="C650" s="11"/>
      <c r="D650" s="10"/>
      <c r="AR650" s="10"/>
      <c r="AS650" s="10"/>
    </row>
    <row r="651" spans="1:45" s="17" customFormat="1" ht="12.75" customHeight="1">
      <c r="A651" s="11"/>
      <c r="C651" s="11"/>
      <c r="D651" s="10"/>
      <c r="AR651" s="10"/>
      <c r="AS651" s="10"/>
    </row>
    <row r="652" spans="1:45" s="17" customFormat="1" ht="12.75" customHeight="1">
      <c r="A652" s="11"/>
      <c r="C652" s="11"/>
      <c r="D652" s="10"/>
      <c r="AR652" s="10"/>
      <c r="AS652" s="10"/>
    </row>
    <row r="653" spans="1:45" s="17" customFormat="1" ht="12.75" customHeight="1">
      <c r="A653" s="11"/>
      <c r="C653" s="11"/>
      <c r="D653" s="10"/>
      <c r="AR653" s="10"/>
      <c r="AS653" s="10"/>
    </row>
    <row r="654" spans="1:45" s="17" customFormat="1" ht="12.75" customHeight="1">
      <c r="A654" s="11"/>
      <c r="C654" s="11"/>
      <c r="D654" s="10"/>
      <c r="AR654" s="10"/>
      <c r="AS654" s="10"/>
    </row>
    <row r="655" spans="1:45" ht="12.75" customHeight="1">
      <c r="B655" s="10"/>
    </row>
    <row r="656" spans="1:45" ht="12.75" customHeight="1">
      <c r="B656" s="10"/>
    </row>
  </sheetData>
  <phoneticPr fontId="4" type="noConversion"/>
  <pageMargins left="0.75" right="0.75" top="0.5" bottom="0.5" header="0" footer="0.25"/>
  <pageSetup scale="82" firstPageNumber="52" pageOrder="overThenDown" orientation="portrait" useFirstPageNumber="1" r:id="rId1"/>
  <headerFooter alignWithMargins="0">
    <oddFooter>&amp;C&amp;"Times New Roman,Regular"&amp;12&amp;P</oddFooter>
  </headerFooter>
  <rowBreaks count="3" manualBreakCount="3">
    <brk id="72" max="32" man="1"/>
    <brk id="133" max="32" man="1"/>
    <brk id="197" max="32" man="1"/>
  </rowBreaks>
  <colBreaks count="1" manualBreakCount="1">
    <brk id="16" min="8" max="25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X336"/>
  <sheetViews>
    <sheetView zoomScaleNormal="100" zoomScaleSheetLayoutView="75" workbookViewId="0">
      <pane xSplit="3" ySplit="7" topLeftCell="D8" activePane="bottomRight" state="frozen"/>
      <selection pane="topRight" activeCell="D1" sqref="D1"/>
      <selection pane="bottomLeft" activeCell="A11" sqref="A11"/>
      <selection pane="bottomRight" activeCell="A6" sqref="A6"/>
    </sheetView>
  </sheetViews>
  <sheetFormatPr defaultRowHeight="12.75" customHeight="1"/>
  <cols>
    <col min="1" max="1" width="16.28515625" style="110" customWidth="1"/>
    <col min="2" max="2" width="2.85546875" style="111" customWidth="1"/>
    <col min="3" max="3" width="14.42578125" style="110" customWidth="1"/>
    <col min="4" max="4" width="2.140625" style="111" customWidth="1"/>
    <col min="5" max="5" width="12.7109375" style="110" customWidth="1"/>
    <col min="6" max="6" width="2.140625" style="110" customWidth="1"/>
    <col min="7" max="7" width="12.28515625" style="110" customWidth="1"/>
    <col min="8" max="8" width="2.140625" style="110" customWidth="1"/>
    <col min="9" max="9" width="12.140625" style="110" customWidth="1"/>
    <col min="10" max="10" width="2.7109375" style="110" customWidth="1"/>
    <col min="11" max="11" width="12.28515625" style="110" customWidth="1"/>
    <col min="12" max="12" width="1.7109375" style="110" customWidth="1"/>
    <col min="13" max="13" width="13.7109375" style="110" customWidth="1"/>
    <col min="14" max="14" width="2.42578125" style="110" customWidth="1"/>
    <col min="15" max="15" width="13" style="110" customWidth="1"/>
    <col min="16" max="16" width="2.42578125" style="110" customWidth="1"/>
    <col min="17" max="17" width="13.28515625" style="110" customWidth="1"/>
    <col min="18" max="18" width="2.7109375" style="110" customWidth="1"/>
    <col min="19" max="19" width="14" style="112" customWidth="1"/>
    <col min="20" max="20" width="2.7109375" style="110" customWidth="1"/>
    <col min="21" max="21" width="12.85546875" style="113" customWidth="1"/>
    <col min="22" max="22" width="2.7109375" style="111" customWidth="1"/>
    <col min="23" max="23" width="12.7109375" style="2" customWidth="1"/>
    <col min="24" max="24" width="11.7109375" style="111" bestFit="1" customWidth="1"/>
    <col min="25" max="16384" width="9.140625" style="111"/>
  </cols>
  <sheetData>
    <row r="1" spans="1:23" s="109" customFormat="1" ht="12.75" customHeight="1">
      <c r="A1" s="23" t="s">
        <v>497</v>
      </c>
      <c r="C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2"/>
      <c r="T1" s="24"/>
      <c r="U1" s="73"/>
      <c r="V1" s="27"/>
      <c r="W1" s="1"/>
    </row>
    <row r="2" spans="1:23" s="109" customFormat="1" ht="12.75" customHeight="1">
      <c r="A2" s="23" t="s">
        <v>489</v>
      </c>
      <c r="C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2"/>
      <c r="T2" s="24"/>
      <c r="U2" s="73"/>
      <c r="V2" s="27"/>
      <c r="W2" s="1"/>
    </row>
    <row r="3" spans="1:23" s="109" customFormat="1" ht="12.75" customHeight="1">
      <c r="A3" s="24" t="s">
        <v>289</v>
      </c>
      <c r="C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2"/>
      <c r="T3" s="24"/>
      <c r="U3" s="73"/>
      <c r="V3" s="27"/>
      <c r="W3" s="1"/>
    </row>
    <row r="4" spans="1:23" ht="12.75" customHeight="1">
      <c r="A4" s="110" t="s">
        <v>485</v>
      </c>
    </row>
    <row r="5" spans="1:23" s="114" customFormat="1" ht="12.75" customHeight="1">
      <c r="A5" s="23"/>
      <c r="C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6"/>
      <c r="T5" s="25"/>
      <c r="U5" s="37"/>
      <c r="V5" s="15"/>
      <c r="W5" s="3" t="s">
        <v>294</v>
      </c>
    </row>
    <row r="6" spans="1:23" s="114" customFormat="1" ht="12.75" customHeight="1">
      <c r="A6" s="25"/>
      <c r="C6" s="25"/>
      <c r="E6" s="25" t="s">
        <v>293</v>
      </c>
      <c r="F6" s="25"/>
      <c r="G6" s="25" t="s">
        <v>326</v>
      </c>
      <c r="H6" s="25"/>
      <c r="I6" s="25" t="s">
        <v>294</v>
      </c>
      <c r="J6" s="25"/>
      <c r="K6" s="25" t="s">
        <v>292</v>
      </c>
      <c r="L6" s="25"/>
      <c r="M6" s="25" t="s">
        <v>327</v>
      </c>
      <c r="N6" s="25"/>
      <c r="O6" s="25" t="s">
        <v>328</v>
      </c>
      <c r="P6" s="25"/>
      <c r="Q6" s="25" t="s">
        <v>329</v>
      </c>
      <c r="R6" s="25"/>
      <c r="S6" s="6" t="s">
        <v>330</v>
      </c>
      <c r="T6" s="25"/>
      <c r="U6" s="6" t="s">
        <v>6</v>
      </c>
      <c r="V6" s="15"/>
      <c r="W6" s="3" t="s">
        <v>435</v>
      </c>
    </row>
    <row r="7" spans="1:23" s="115" customFormat="1" ht="12.75" customHeight="1">
      <c r="A7" s="99" t="s">
        <v>8</v>
      </c>
      <c r="C7" s="99" t="s">
        <v>9</v>
      </c>
      <c r="E7" s="100" t="s">
        <v>424</v>
      </c>
      <c r="F7" s="26"/>
      <c r="G7" s="100" t="s">
        <v>299</v>
      </c>
      <c r="H7" s="26"/>
      <c r="I7" s="100" t="s">
        <v>299</v>
      </c>
      <c r="J7" s="26"/>
      <c r="K7" s="100" t="s">
        <v>297</v>
      </c>
      <c r="L7" s="26"/>
      <c r="M7" s="100" t="s">
        <v>331</v>
      </c>
      <c r="N7" s="26"/>
      <c r="O7" s="100" t="s">
        <v>332</v>
      </c>
      <c r="P7" s="26"/>
      <c r="Q7" s="100" t="s">
        <v>401</v>
      </c>
      <c r="R7" s="26"/>
      <c r="S7" s="78" t="s">
        <v>323</v>
      </c>
      <c r="T7" s="26"/>
      <c r="U7" s="78" t="s">
        <v>302</v>
      </c>
      <c r="V7" s="18"/>
      <c r="W7" s="7" t="s">
        <v>436</v>
      </c>
    </row>
    <row r="8" spans="1:23" s="115" customFormat="1" ht="12.75" customHeight="1">
      <c r="A8" s="26"/>
      <c r="C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8"/>
      <c r="T8" s="26"/>
      <c r="U8" s="53"/>
      <c r="V8" s="18"/>
      <c r="W8" s="81"/>
    </row>
    <row r="9" spans="1:23" s="117" customFormat="1" ht="12.75" customHeight="1">
      <c r="A9" s="44" t="s">
        <v>12</v>
      </c>
      <c r="B9" s="116"/>
      <c r="C9" s="44" t="s">
        <v>13</v>
      </c>
      <c r="D9" s="35"/>
      <c r="E9" s="94">
        <v>29786617</v>
      </c>
      <c r="F9" s="94"/>
      <c r="G9" s="94">
        <v>142933003</v>
      </c>
      <c r="H9" s="94"/>
      <c r="I9" s="94">
        <v>17829829</v>
      </c>
      <c r="J9" s="94"/>
      <c r="K9" s="94">
        <v>28800007</v>
      </c>
      <c r="L9" s="94"/>
      <c r="M9" s="94">
        <v>0</v>
      </c>
      <c r="N9" s="94"/>
      <c r="O9" s="94">
        <v>13778724</v>
      </c>
      <c r="P9" s="94"/>
      <c r="Q9" s="94">
        <v>10142722</v>
      </c>
      <c r="R9" s="94"/>
      <c r="S9" s="46">
        <f t="shared" ref="S9:S70" si="0">+U9-SUM(E9:Q9)</f>
        <v>116155522</v>
      </c>
      <c r="T9" s="94"/>
      <c r="U9" s="79">
        <v>359426424</v>
      </c>
      <c r="V9" s="46"/>
      <c r="W9" s="46">
        <v>45134389</v>
      </c>
    </row>
    <row r="10" spans="1:23" s="118" customFormat="1" ht="12.75" customHeight="1">
      <c r="A10" s="44" t="s">
        <v>14</v>
      </c>
      <c r="C10" s="44" t="s">
        <v>15</v>
      </c>
      <c r="D10" s="35"/>
      <c r="E10" s="45">
        <v>1654590</v>
      </c>
      <c r="F10" s="45"/>
      <c r="G10" s="45">
        <v>8680502</v>
      </c>
      <c r="H10" s="45"/>
      <c r="I10" s="45">
        <v>0</v>
      </c>
      <c r="J10" s="45"/>
      <c r="K10" s="45">
        <v>210692</v>
      </c>
      <c r="L10" s="45"/>
      <c r="M10" s="45">
        <v>3328039</v>
      </c>
      <c r="N10" s="45"/>
      <c r="O10" s="45">
        <v>66011</v>
      </c>
      <c r="P10" s="45"/>
      <c r="Q10" s="45">
        <v>1133003</v>
      </c>
      <c r="R10" s="45"/>
      <c r="S10" s="44">
        <f t="shared" si="0"/>
        <v>1174760</v>
      </c>
      <c r="T10" s="45"/>
      <c r="U10" s="45">
        <v>16247597</v>
      </c>
      <c r="V10" s="44"/>
      <c r="W10" s="45">
        <v>1066863</v>
      </c>
    </row>
    <row r="11" spans="1:23" s="116" customFormat="1" ht="12.75" customHeight="1">
      <c r="A11" s="44" t="s">
        <v>16</v>
      </c>
      <c r="C11" s="44" t="s">
        <v>17</v>
      </c>
      <c r="D11" s="35"/>
      <c r="E11" s="45">
        <v>1491533</v>
      </c>
      <c r="F11" s="45"/>
      <c r="G11" s="45">
        <v>4178297</v>
      </c>
      <c r="H11" s="45"/>
      <c r="I11" s="45">
        <v>0</v>
      </c>
      <c r="J11" s="45"/>
      <c r="K11" s="45">
        <v>261002</v>
      </c>
      <c r="L11" s="45"/>
      <c r="M11" s="45">
        <v>2091267</v>
      </c>
      <c r="N11" s="45"/>
      <c r="O11" s="45">
        <v>0</v>
      </c>
      <c r="P11" s="45"/>
      <c r="Q11" s="45">
        <f>85315+315906</f>
        <v>401221</v>
      </c>
      <c r="R11" s="45"/>
      <c r="S11" s="44">
        <f t="shared" si="0"/>
        <v>1401313</v>
      </c>
      <c r="T11" s="45"/>
      <c r="U11" s="45">
        <v>9824633</v>
      </c>
      <c r="V11" s="44"/>
      <c r="W11" s="45">
        <f>14554+163000+1305286</f>
        <v>1482840</v>
      </c>
    </row>
    <row r="12" spans="1:23" s="116" customFormat="1" ht="12.75" customHeight="1">
      <c r="A12" s="44" t="s">
        <v>18</v>
      </c>
      <c r="C12" s="44" t="s">
        <v>18</v>
      </c>
      <c r="D12" s="35"/>
      <c r="E12" s="45">
        <v>1317357</v>
      </c>
      <c r="F12" s="45"/>
      <c r="G12" s="45">
        <v>8578034</v>
      </c>
      <c r="H12" s="45"/>
      <c r="I12" s="45">
        <v>151748</v>
      </c>
      <c r="J12" s="45"/>
      <c r="K12" s="45">
        <v>2216258</v>
      </c>
      <c r="L12" s="45"/>
      <c r="M12" s="45">
        <v>3661190</v>
      </c>
      <c r="N12" s="45"/>
      <c r="O12" s="45">
        <v>0</v>
      </c>
      <c r="P12" s="45"/>
      <c r="Q12" s="45">
        <f>1159926+40911</f>
        <v>1200837</v>
      </c>
      <c r="R12" s="45"/>
      <c r="S12" s="44">
        <f t="shared" si="0"/>
        <v>718706</v>
      </c>
      <c r="T12" s="45"/>
      <c r="U12" s="45">
        <v>17844130</v>
      </c>
      <c r="V12" s="44"/>
      <c r="W12" s="45">
        <f>142340+13964+367716+16117</f>
        <v>540137</v>
      </c>
    </row>
    <row r="13" spans="1:23" s="116" customFormat="1" ht="12.75" customHeight="1">
      <c r="A13" s="44" t="s">
        <v>19</v>
      </c>
      <c r="C13" s="44" t="s">
        <v>19</v>
      </c>
      <c r="D13" s="35"/>
      <c r="E13" s="45">
        <v>2480053</v>
      </c>
      <c r="F13" s="45"/>
      <c r="G13" s="45">
        <v>6775495</v>
      </c>
      <c r="H13" s="45"/>
      <c r="I13" s="45">
        <v>0</v>
      </c>
      <c r="J13" s="45"/>
      <c r="K13" s="45">
        <v>1810849</v>
      </c>
      <c r="L13" s="45"/>
      <c r="M13" s="45">
        <v>2809453</v>
      </c>
      <c r="N13" s="45"/>
      <c r="O13" s="45">
        <v>36476</v>
      </c>
      <c r="P13" s="45"/>
      <c r="Q13" s="45">
        <f>282135+818035</f>
        <v>1100170</v>
      </c>
      <c r="R13" s="45"/>
      <c r="S13" s="44">
        <f t="shared" si="0"/>
        <v>704303</v>
      </c>
      <c r="T13" s="45"/>
      <c r="U13" s="45">
        <v>15716799</v>
      </c>
      <c r="V13" s="44"/>
      <c r="W13" s="45">
        <f>4500+520829</f>
        <v>525329</v>
      </c>
    </row>
    <row r="14" spans="1:23" s="116" customFormat="1" ht="12.75" customHeight="1">
      <c r="A14" s="44" t="s">
        <v>20</v>
      </c>
      <c r="C14" s="44" t="s">
        <v>20</v>
      </c>
      <c r="D14" s="35"/>
      <c r="E14" s="45">
        <v>698365</v>
      </c>
      <c r="F14" s="45"/>
      <c r="G14" s="45">
        <v>8998663</v>
      </c>
      <c r="H14" s="45"/>
      <c r="I14" s="45">
        <v>221449</v>
      </c>
      <c r="J14" s="45"/>
      <c r="K14" s="45">
        <v>1981485</v>
      </c>
      <c r="L14" s="45"/>
      <c r="M14" s="45">
        <v>3644562</v>
      </c>
      <c r="N14" s="45"/>
      <c r="O14" s="45">
        <v>6016</v>
      </c>
      <c r="P14" s="45"/>
      <c r="Q14" s="45">
        <f>1132034+734546</f>
        <v>1866580</v>
      </c>
      <c r="R14" s="45"/>
      <c r="S14" s="44">
        <f t="shared" si="0"/>
        <v>1307849</v>
      </c>
      <c r="T14" s="45"/>
      <c r="U14" s="45">
        <v>18724969</v>
      </c>
      <c r="V14" s="44"/>
      <c r="W14" s="45">
        <v>820400</v>
      </c>
    </row>
    <row r="15" spans="1:23" s="116" customFormat="1" ht="12.75" customHeight="1">
      <c r="A15" s="44" t="s">
        <v>21</v>
      </c>
      <c r="C15" s="44" t="s">
        <v>22</v>
      </c>
      <c r="D15" s="35"/>
      <c r="E15" s="45">
        <v>3998570</v>
      </c>
      <c r="F15" s="45"/>
      <c r="G15" s="45">
        <v>10629517</v>
      </c>
      <c r="H15" s="45"/>
      <c r="I15" s="45">
        <v>1184588</v>
      </c>
      <c r="J15" s="45"/>
      <c r="K15" s="45">
        <v>580298</v>
      </c>
      <c r="L15" s="45"/>
      <c r="M15" s="45">
        <v>1899526</v>
      </c>
      <c r="N15" s="45"/>
      <c r="O15" s="45">
        <v>93065</v>
      </c>
      <c r="P15" s="45"/>
      <c r="Q15" s="45">
        <f>275666+48747</f>
        <v>324413</v>
      </c>
      <c r="R15" s="45"/>
      <c r="S15" s="44">
        <f t="shared" si="0"/>
        <v>842315</v>
      </c>
      <c r="T15" s="45"/>
      <c r="U15" s="45">
        <v>19552292</v>
      </c>
      <c r="V15" s="44"/>
      <c r="W15" s="45">
        <f>91466+20164+3569658</f>
        <v>3681288</v>
      </c>
    </row>
    <row r="16" spans="1:23" s="116" customFormat="1" ht="12.75" customHeight="1">
      <c r="A16" s="44" t="s">
        <v>23</v>
      </c>
      <c r="C16" s="44" t="s">
        <v>17</v>
      </c>
      <c r="D16" s="35"/>
      <c r="E16" s="45">
        <v>3587189</v>
      </c>
      <c r="F16" s="45"/>
      <c r="G16" s="45">
        <v>7681269</v>
      </c>
      <c r="H16" s="45"/>
      <c r="I16" s="45">
        <v>0</v>
      </c>
      <c r="J16" s="45"/>
      <c r="K16" s="45">
        <v>832369</v>
      </c>
      <c r="L16" s="45"/>
      <c r="M16" s="45">
        <v>2251658</v>
      </c>
      <c r="N16" s="45"/>
      <c r="O16" s="45">
        <v>469257</v>
      </c>
      <c r="P16" s="45"/>
      <c r="Q16" s="45">
        <f>1068752+212817</f>
        <v>1281569</v>
      </c>
      <c r="R16" s="45"/>
      <c r="S16" s="44">
        <f t="shared" si="0"/>
        <v>1412835</v>
      </c>
      <c r="T16" s="45"/>
      <c r="U16" s="45">
        <v>17516146</v>
      </c>
      <c r="V16" s="44"/>
      <c r="W16" s="45">
        <f>6910000+242152+8912643</f>
        <v>16064795</v>
      </c>
    </row>
    <row r="17" spans="1:23" s="116" customFormat="1" ht="12.75" customHeight="1">
      <c r="A17" s="44" t="s">
        <v>24</v>
      </c>
      <c r="C17" s="44" t="s">
        <v>17</v>
      </c>
      <c r="D17" s="35"/>
      <c r="E17" s="45">
        <v>4888308</v>
      </c>
      <c r="F17" s="45"/>
      <c r="G17" s="45">
        <v>9087129</v>
      </c>
      <c r="H17" s="45"/>
      <c r="I17" s="45">
        <v>0</v>
      </c>
      <c r="J17" s="45"/>
      <c r="K17" s="45">
        <v>355336</v>
      </c>
      <c r="L17" s="45"/>
      <c r="M17" s="45">
        <v>3807429</v>
      </c>
      <c r="N17" s="45"/>
      <c r="O17" s="45">
        <v>412572</v>
      </c>
      <c r="P17" s="45"/>
      <c r="Q17" s="45">
        <v>238286</v>
      </c>
      <c r="R17" s="45"/>
      <c r="S17" s="44">
        <f t="shared" si="0"/>
        <v>1590140</v>
      </c>
      <c r="T17" s="45"/>
      <c r="U17" s="45">
        <v>20379200</v>
      </c>
      <c r="V17" s="44"/>
      <c r="W17" s="45">
        <v>8687295</v>
      </c>
    </row>
    <row r="18" spans="1:23" s="116" customFormat="1" ht="12.75" customHeight="1">
      <c r="A18" s="44" t="s">
        <v>25</v>
      </c>
      <c r="C18" s="44" t="s">
        <v>13</v>
      </c>
      <c r="D18" s="35"/>
      <c r="E18" s="45">
        <v>1529233</v>
      </c>
      <c r="F18" s="45"/>
      <c r="G18" s="45">
        <v>10296250</v>
      </c>
      <c r="H18" s="45"/>
      <c r="I18" s="45">
        <v>1169287</v>
      </c>
      <c r="J18" s="45"/>
      <c r="K18" s="45">
        <v>2166794</v>
      </c>
      <c r="L18" s="45"/>
      <c r="M18" s="45">
        <v>5304975</v>
      </c>
      <c r="N18" s="45"/>
      <c r="O18" s="45">
        <v>129680</v>
      </c>
      <c r="P18" s="45"/>
      <c r="Q18" s="45">
        <v>178769</v>
      </c>
      <c r="R18" s="45"/>
      <c r="S18" s="44">
        <f t="shared" si="0"/>
        <v>1458934</v>
      </c>
      <c r="T18" s="45"/>
      <c r="U18" s="45">
        <v>22233922</v>
      </c>
      <c r="V18" s="44"/>
      <c r="W18" s="45">
        <f>20000+211276+10388+1853518</f>
        <v>2095182</v>
      </c>
    </row>
    <row r="19" spans="1:23" s="116" customFormat="1" ht="12.75" customHeight="1">
      <c r="A19" s="44" t="s">
        <v>26</v>
      </c>
      <c r="C19" s="44" t="s">
        <v>27</v>
      </c>
      <c r="D19" s="35"/>
      <c r="E19" s="45">
        <v>6609925</v>
      </c>
      <c r="F19" s="45"/>
      <c r="G19" s="45">
        <v>4921405</v>
      </c>
      <c r="H19" s="45"/>
      <c r="I19" s="45">
        <v>0</v>
      </c>
      <c r="J19" s="45"/>
      <c r="K19" s="45">
        <v>234173</v>
      </c>
      <c r="L19" s="45"/>
      <c r="M19" s="45">
        <v>19209335</v>
      </c>
      <c r="N19" s="45"/>
      <c r="O19" s="45">
        <v>16545</v>
      </c>
      <c r="P19" s="45"/>
      <c r="Q19" s="45">
        <v>485894</v>
      </c>
      <c r="R19" s="45"/>
      <c r="S19" s="44">
        <f t="shared" si="0"/>
        <v>1457480</v>
      </c>
      <c r="T19" s="45"/>
      <c r="U19" s="45">
        <v>32934757</v>
      </c>
      <c r="V19" s="44"/>
      <c r="W19" s="45">
        <f>1300000+9636+2300000+18900+1201000</f>
        <v>4829536</v>
      </c>
    </row>
    <row r="20" spans="1:23" s="116" customFormat="1" ht="12.75" customHeight="1">
      <c r="A20" s="44" t="s">
        <v>28</v>
      </c>
      <c r="C20" s="44" t="s">
        <v>27</v>
      </c>
      <c r="D20" s="35"/>
      <c r="E20" s="45">
        <v>3952150</v>
      </c>
      <c r="F20" s="45"/>
      <c r="G20" s="45">
        <v>20277253</v>
      </c>
      <c r="H20" s="45"/>
      <c r="I20" s="45">
        <v>0</v>
      </c>
      <c r="J20" s="45"/>
      <c r="K20" s="45">
        <v>1643737</v>
      </c>
      <c r="L20" s="45"/>
      <c r="M20" s="45">
        <v>3532681</v>
      </c>
      <c r="N20" s="45"/>
      <c r="O20" s="45">
        <v>1060132</v>
      </c>
      <c r="P20" s="45"/>
      <c r="Q20" s="45">
        <v>1113312</v>
      </c>
      <c r="R20" s="45"/>
      <c r="S20" s="44">
        <f t="shared" si="0"/>
        <v>2278675</v>
      </c>
      <c r="T20" s="45"/>
      <c r="U20" s="45">
        <v>33857940</v>
      </c>
      <c r="V20" s="44"/>
      <c r="W20" s="45">
        <v>1044988</v>
      </c>
    </row>
    <row r="21" spans="1:23" s="116" customFormat="1" ht="12.75" customHeight="1">
      <c r="A21" s="44" t="s">
        <v>29</v>
      </c>
      <c r="C21" s="44" t="s">
        <v>30</v>
      </c>
      <c r="D21" s="35"/>
      <c r="E21" s="45">
        <v>11141025</v>
      </c>
      <c r="F21" s="45"/>
      <c r="G21" s="45">
        <v>0</v>
      </c>
      <c r="H21" s="45"/>
      <c r="I21" s="45">
        <v>0</v>
      </c>
      <c r="J21" s="45"/>
      <c r="K21" s="45">
        <v>463858</v>
      </c>
      <c r="L21" s="45"/>
      <c r="M21" s="45">
        <v>6051444</v>
      </c>
      <c r="N21" s="45"/>
      <c r="O21" s="45">
        <v>488544</v>
      </c>
      <c r="P21" s="45"/>
      <c r="Q21" s="45">
        <v>1323632</v>
      </c>
      <c r="R21" s="45"/>
      <c r="S21" s="44">
        <f t="shared" si="0"/>
        <v>589923</v>
      </c>
      <c r="T21" s="45"/>
      <c r="U21" s="45">
        <v>20058426</v>
      </c>
      <c r="V21" s="44"/>
      <c r="W21" s="45">
        <f>5050+468878</f>
        <v>473928</v>
      </c>
    </row>
    <row r="22" spans="1:23" s="116" customFormat="1" ht="12.75" customHeight="1">
      <c r="A22" s="44" t="s">
        <v>31</v>
      </c>
      <c r="C22" s="44" t="s">
        <v>27</v>
      </c>
      <c r="D22" s="35"/>
      <c r="E22" s="45">
        <v>3570124</v>
      </c>
      <c r="F22" s="45"/>
      <c r="G22" s="45">
        <v>10648355</v>
      </c>
      <c r="H22" s="45"/>
      <c r="I22" s="45">
        <v>0</v>
      </c>
      <c r="J22" s="45"/>
      <c r="K22" s="45">
        <v>699046</v>
      </c>
      <c r="L22" s="45"/>
      <c r="M22" s="45">
        <v>3535460</v>
      </c>
      <c r="N22" s="45"/>
      <c r="O22" s="45">
        <v>498755</v>
      </c>
      <c r="P22" s="45"/>
      <c r="Q22" s="45">
        <v>1768546</v>
      </c>
      <c r="R22" s="45"/>
      <c r="S22" s="44">
        <f t="shared" si="0"/>
        <v>1522793</v>
      </c>
      <c r="T22" s="45"/>
      <c r="U22" s="45">
        <v>22243079</v>
      </c>
      <c r="V22" s="44"/>
      <c r="W22" s="45">
        <f>41172+5874801</f>
        <v>5915973</v>
      </c>
    </row>
    <row r="23" spans="1:23" s="116" customFormat="1" ht="12.75" customHeight="1">
      <c r="A23" s="44" t="s">
        <v>32</v>
      </c>
      <c r="C23" s="44" t="s">
        <v>27</v>
      </c>
      <c r="D23" s="35"/>
      <c r="E23" s="45">
        <v>3694715</v>
      </c>
      <c r="F23" s="45"/>
      <c r="G23" s="45">
        <v>8788315</v>
      </c>
      <c r="H23" s="45"/>
      <c r="I23" s="45">
        <v>5235</v>
      </c>
      <c r="J23" s="45"/>
      <c r="K23" s="45">
        <v>4163791</v>
      </c>
      <c r="L23" s="45"/>
      <c r="M23" s="45">
        <v>1841126</v>
      </c>
      <c r="N23" s="45"/>
      <c r="O23" s="45">
        <v>18441</v>
      </c>
      <c r="P23" s="45"/>
      <c r="Q23" s="45">
        <f>165916+666860</f>
        <v>832776</v>
      </c>
      <c r="R23" s="45"/>
      <c r="S23" s="44">
        <f t="shared" si="0"/>
        <v>970882</v>
      </c>
      <c r="T23" s="45"/>
      <c r="U23" s="45">
        <v>20315281</v>
      </c>
      <c r="V23" s="44"/>
      <c r="W23" s="45">
        <f>217838+450000+90140+2662400</f>
        <v>3420378</v>
      </c>
    </row>
    <row r="24" spans="1:23" s="132" customFormat="1" ht="12.75" hidden="1" customHeight="1">
      <c r="A24" s="128" t="s">
        <v>34</v>
      </c>
      <c r="B24" s="128"/>
      <c r="C24" s="128" t="s">
        <v>30</v>
      </c>
      <c r="D24" s="121"/>
      <c r="E24" s="125">
        <v>0</v>
      </c>
      <c r="F24" s="125"/>
      <c r="G24" s="125">
        <v>0</v>
      </c>
      <c r="H24" s="125"/>
      <c r="I24" s="125">
        <v>0</v>
      </c>
      <c r="J24" s="125"/>
      <c r="K24" s="125">
        <v>0</v>
      </c>
      <c r="L24" s="125"/>
      <c r="M24" s="125">
        <v>0</v>
      </c>
      <c r="N24" s="125"/>
      <c r="O24" s="125">
        <v>0</v>
      </c>
      <c r="P24" s="125"/>
      <c r="Q24" s="125">
        <v>0</v>
      </c>
      <c r="R24" s="125"/>
      <c r="S24" s="122">
        <f t="shared" si="0"/>
        <v>0</v>
      </c>
      <c r="T24" s="125"/>
      <c r="U24" s="125">
        <v>0</v>
      </c>
      <c r="V24" s="122"/>
      <c r="W24" s="125">
        <v>0</v>
      </c>
    </row>
    <row r="25" spans="1:23" s="116" customFormat="1" ht="12.75" customHeight="1">
      <c r="A25" s="44" t="s">
        <v>35</v>
      </c>
      <c r="C25" s="44" t="s">
        <v>36</v>
      </c>
      <c r="D25" s="35"/>
      <c r="E25" s="45">
        <v>741173</v>
      </c>
      <c r="F25" s="45"/>
      <c r="G25" s="45">
        <v>5677238</v>
      </c>
      <c r="H25" s="45"/>
      <c r="I25" s="45">
        <v>53226</v>
      </c>
      <c r="J25" s="45"/>
      <c r="K25" s="45">
        <v>197678</v>
      </c>
      <c r="L25" s="45"/>
      <c r="M25" s="45">
        <v>1338118</v>
      </c>
      <c r="N25" s="45"/>
      <c r="O25" s="45">
        <v>28027</v>
      </c>
      <c r="P25" s="45"/>
      <c r="Q25" s="45">
        <v>639726</v>
      </c>
      <c r="R25" s="45"/>
      <c r="S25" s="44">
        <f t="shared" si="0"/>
        <v>801356</v>
      </c>
      <c r="T25" s="45"/>
      <c r="U25" s="45">
        <v>9476542</v>
      </c>
      <c r="V25" s="44"/>
      <c r="W25" s="45">
        <f>1858+108000+831209</f>
        <v>941067</v>
      </c>
    </row>
    <row r="26" spans="1:23" s="116" customFormat="1" ht="12.75" customHeight="1">
      <c r="A26" s="44" t="s">
        <v>37</v>
      </c>
      <c r="C26" s="44" t="s">
        <v>38</v>
      </c>
      <c r="D26" s="35"/>
      <c r="E26" s="45">
        <v>907239</v>
      </c>
      <c r="F26" s="45"/>
      <c r="G26" s="45">
        <v>3340489</v>
      </c>
      <c r="H26" s="45"/>
      <c r="I26" s="45">
        <v>0</v>
      </c>
      <c r="J26" s="45"/>
      <c r="K26" s="45">
        <v>237712</v>
      </c>
      <c r="L26" s="45"/>
      <c r="M26" s="45">
        <v>1019410</v>
      </c>
      <c r="N26" s="45"/>
      <c r="O26" s="45">
        <v>0</v>
      </c>
      <c r="P26" s="45"/>
      <c r="Q26" s="45">
        <f>137650+52273</f>
        <v>189923</v>
      </c>
      <c r="R26" s="45"/>
      <c r="S26" s="44">
        <f t="shared" si="0"/>
        <v>496634</v>
      </c>
      <c r="T26" s="45"/>
      <c r="U26" s="45">
        <v>6191407</v>
      </c>
      <c r="V26" s="44"/>
      <c r="W26" s="45">
        <v>856125</v>
      </c>
    </row>
    <row r="27" spans="1:23" s="116" customFormat="1" ht="12.75" customHeight="1">
      <c r="A27" s="44" t="s">
        <v>39</v>
      </c>
      <c r="C27" s="44" t="s">
        <v>40</v>
      </c>
      <c r="D27" s="35"/>
      <c r="E27" s="45">
        <v>314074</v>
      </c>
      <c r="F27" s="45"/>
      <c r="G27" s="45">
        <v>1065340</v>
      </c>
      <c r="H27" s="45"/>
      <c r="I27" s="45">
        <f>664+52161</f>
        <v>52825</v>
      </c>
      <c r="J27" s="45"/>
      <c r="K27" s="45">
        <v>284389</v>
      </c>
      <c r="L27" s="45"/>
      <c r="M27" s="45">
        <v>1375487</v>
      </c>
      <c r="N27" s="45"/>
      <c r="O27" s="45">
        <v>0</v>
      </c>
      <c r="P27" s="45"/>
      <c r="Q27" s="45">
        <v>268940</v>
      </c>
      <c r="R27" s="45"/>
      <c r="S27" s="44">
        <f t="shared" si="0"/>
        <v>171943</v>
      </c>
      <c r="T27" s="45"/>
      <c r="U27" s="45">
        <v>3532998</v>
      </c>
      <c r="V27" s="44"/>
      <c r="W27" s="45">
        <f>400+99000</f>
        <v>99400</v>
      </c>
    </row>
    <row r="28" spans="1:23" s="116" customFormat="1" ht="12.75" customHeight="1">
      <c r="A28" s="44" t="s">
        <v>41</v>
      </c>
      <c r="C28" s="44" t="s">
        <v>27</v>
      </c>
      <c r="D28" s="35"/>
      <c r="E28" s="45">
        <v>6055005</v>
      </c>
      <c r="F28" s="45"/>
      <c r="G28" s="45">
        <v>8828219</v>
      </c>
      <c r="H28" s="45"/>
      <c r="I28" s="45">
        <v>7615</v>
      </c>
      <c r="J28" s="45"/>
      <c r="K28" s="45">
        <v>1140431</v>
      </c>
      <c r="L28" s="45"/>
      <c r="M28" s="45">
        <v>5788912</v>
      </c>
      <c r="N28" s="45"/>
      <c r="O28" s="45">
        <v>607345</v>
      </c>
      <c r="P28" s="45"/>
      <c r="Q28" s="45">
        <f>2242271+599923</f>
        <v>2842194</v>
      </c>
      <c r="R28" s="45"/>
      <c r="S28" s="44">
        <f t="shared" si="0"/>
        <v>391186</v>
      </c>
      <c r="T28" s="45"/>
      <c r="U28" s="45">
        <v>25660907</v>
      </c>
      <c r="V28" s="44"/>
      <c r="W28" s="45">
        <f>2292+156075+2982478</f>
        <v>3140845</v>
      </c>
    </row>
    <row r="29" spans="1:23" s="116" customFormat="1" ht="12.75" customHeight="1">
      <c r="A29" s="44" t="s">
        <v>42</v>
      </c>
      <c r="C29" s="44" t="s">
        <v>43</v>
      </c>
      <c r="D29" s="35"/>
      <c r="E29" s="45">
        <v>1686598</v>
      </c>
      <c r="F29" s="45"/>
      <c r="G29" s="45">
        <v>6033056</v>
      </c>
      <c r="H29" s="45"/>
      <c r="I29" s="45">
        <v>0</v>
      </c>
      <c r="J29" s="45"/>
      <c r="K29" s="45">
        <v>639722</v>
      </c>
      <c r="L29" s="45"/>
      <c r="M29" s="45">
        <v>3767555</v>
      </c>
      <c r="N29" s="45"/>
      <c r="O29" s="45">
        <v>9346</v>
      </c>
      <c r="P29" s="45"/>
      <c r="Q29" s="45">
        <v>142002</v>
      </c>
      <c r="R29" s="45"/>
      <c r="S29" s="44">
        <f t="shared" si="0"/>
        <v>1049140</v>
      </c>
      <c r="T29" s="45"/>
      <c r="U29" s="45">
        <v>13327419</v>
      </c>
      <c r="V29" s="44"/>
      <c r="W29" s="45">
        <f>1357095+111218</f>
        <v>1468313</v>
      </c>
    </row>
    <row r="30" spans="1:23" s="116" customFormat="1" ht="12.75" customHeight="1">
      <c r="A30" s="44" t="s">
        <v>44</v>
      </c>
      <c r="C30" s="44" t="s">
        <v>45</v>
      </c>
      <c r="D30" s="35"/>
      <c r="E30" s="45">
        <v>2359974</v>
      </c>
      <c r="F30" s="45"/>
      <c r="G30" s="45">
        <v>27037678</v>
      </c>
      <c r="H30" s="45"/>
      <c r="I30" s="45">
        <v>902725</v>
      </c>
      <c r="J30" s="45"/>
      <c r="K30" s="45">
        <v>1417539</v>
      </c>
      <c r="L30" s="45"/>
      <c r="M30" s="45">
        <v>4098400</v>
      </c>
      <c r="N30" s="45"/>
      <c r="O30" s="45">
        <v>0</v>
      </c>
      <c r="P30" s="45"/>
      <c r="Q30" s="45">
        <f>430549+424361</f>
        <v>854910</v>
      </c>
      <c r="R30" s="45"/>
      <c r="S30" s="44">
        <f t="shared" si="0"/>
        <v>1184619</v>
      </c>
      <c r="T30" s="45"/>
      <c r="U30" s="45">
        <v>37855845</v>
      </c>
      <c r="V30" s="44"/>
      <c r="W30" s="45">
        <f>261920+9975000+18913325+1808+12272969</f>
        <v>41425022</v>
      </c>
    </row>
    <row r="31" spans="1:23" s="116" customFormat="1" ht="12.75" customHeight="1">
      <c r="A31" s="44" t="s">
        <v>46</v>
      </c>
      <c r="C31" s="44" t="s">
        <v>47</v>
      </c>
      <c r="D31" s="35"/>
      <c r="E31" s="45">
        <v>2284009</v>
      </c>
      <c r="F31" s="45"/>
      <c r="G31" s="45">
        <v>15481210</v>
      </c>
      <c r="H31" s="45"/>
      <c r="I31" s="45">
        <v>2591223</v>
      </c>
      <c r="J31" s="45"/>
      <c r="K31" s="45">
        <v>2035288</v>
      </c>
      <c r="L31" s="45"/>
      <c r="M31" s="45">
        <v>5010912</v>
      </c>
      <c r="N31" s="45"/>
      <c r="O31" s="45">
        <v>46716</v>
      </c>
      <c r="P31" s="45"/>
      <c r="Q31" s="45">
        <f>52966+799743</f>
        <v>852709</v>
      </c>
      <c r="R31" s="45"/>
      <c r="S31" s="44">
        <f t="shared" si="0"/>
        <v>1339591</v>
      </c>
      <c r="T31" s="45"/>
      <c r="U31" s="45">
        <v>29641658</v>
      </c>
      <c r="V31" s="44"/>
      <c r="W31" s="45">
        <f>3000+85083+3256104</f>
        <v>3344187</v>
      </c>
    </row>
    <row r="32" spans="1:23" s="116" customFormat="1" ht="12.75" customHeight="1">
      <c r="A32" s="44" t="s">
        <v>48</v>
      </c>
      <c r="C32" s="44" t="s">
        <v>27</v>
      </c>
      <c r="D32" s="35"/>
      <c r="E32" s="45">
        <v>4832210</v>
      </c>
      <c r="F32" s="45"/>
      <c r="G32" s="45">
        <v>14724747</v>
      </c>
      <c r="H32" s="45"/>
      <c r="I32" s="45">
        <v>0</v>
      </c>
      <c r="J32" s="45"/>
      <c r="K32" s="45">
        <v>828263</v>
      </c>
      <c r="L32" s="45"/>
      <c r="M32" s="45">
        <v>2394732</v>
      </c>
      <c r="N32" s="45"/>
      <c r="O32" s="45">
        <v>624415</v>
      </c>
      <c r="P32" s="45"/>
      <c r="Q32" s="45">
        <f>281554+370401</f>
        <v>651955</v>
      </c>
      <c r="R32" s="45"/>
      <c r="S32" s="44">
        <f t="shared" si="0"/>
        <v>1968460</v>
      </c>
      <c r="T32" s="45"/>
      <c r="U32" s="45">
        <v>26024782</v>
      </c>
      <c r="V32" s="44"/>
      <c r="W32" s="45">
        <f>35038+5601367</f>
        <v>5636405</v>
      </c>
    </row>
    <row r="33" spans="1:23" s="116" customFormat="1" ht="12.75" customHeight="1">
      <c r="A33" s="44" t="s">
        <v>49</v>
      </c>
      <c r="C33" s="44" t="s">
        <v>27</v>
      </c>
      <c r="D33" s="35"/>
      <c r="E33" s="45">
        <v>13262604</v>
      </c>
      <c r="F33" s="45"/>
      <c r="G33" s="45">
        <v>0</v>
      </c>
      <c r="H33" s="45"/>
      <c r="I33" s="45">
        <v>0</v>
      </c>
      <c r="J33" s="45"/>
      <c r="K33" s="45">
        <v>566792</v>
      </c>
      <c r="L33" s="45"/>
      <c r="M33" s="45">
        <v>2301936</v>
      </c>
      <c r="N33" s="45"/>
      <c r="O33" s="45">
        <v>1088056</v>
      </c>
      <c r="P33" s="45"/>
      <c r="Q33" s="45">
        <f>2067255+19266</f>
        <v>2086521</v>
      </c>
      <c r="R33" s="45"/>
      <c r="S33" s="44">
        <f t="shared" si="0"/>
        <v>597544</v>
      </c>
      <c r="T33" s="45"/>
      <c r="U33" s="45">
        <v>19903453</v>
      </c>
      <c r="V33" s="44"/>
      <c r="W33" s="45">
        <f>1700000+10085+581472</f>
        <v>2291557</v>
      </c>
    </row>
    <row r="34" spans="1:23" s="116" customFormat="1" ht="12.75" customHeight="1">
      <c r="A34" s="44" t="s">
        <v>50</v>
      </c>
      <c r="C34" s="44" t="s">
        <v>27</v>
      </c>
      <c r="D34" s="35"/>
      <c r="E34" s="45">
        <v>2759724</v>
      </c>
      <c r="F34" s="45"/>
      <c r="G34" s="45">
        <v>21582162</v>
      </c>
      <c r="H34" s="45"/>
      <c r="I34" s="45">
        <v>359472</v>
      </c>
      <c r="J34" s="45"/>
      <c r="K34" s="45">
        <v>1833367</v>
      </c>
      <c r="L34" s="45"/>
      <c r="M34" s="45">
        <v>4938245</v>
      </c>
      <c r="N34" s="45"/>
      <c r="O34" s="45">
        <v>105473</v>
      </c>
      <c r="P34" s="45"/>
      <c r="Q34" s="45">
        <f>395605+433795</f>
        <v>829400</v>
      </c>
      <c r="R34" s="45"/>
      <c r="S34" s="44">
        <f t="shared" si="0"/>
        <v>1634824</v>
      </c>
      <c r="T34" s="45"/>
      <c r="U34" s="45">
        <v>34042667</v>
      </c>
      <c r="V34" s="44"/>
      <c r="W34" s="45">
        <f>631381+27125+3949538</f>
        <v>4608044</v>
      </c>
    </row>
    <row r="35" spans="1:23" s="116" customFormat="1" ht="12.75" customHeight="1">
      <c r="A35" s="44" t="s">
        <v>51</v>
      </c>
      <c r="C35" s="44" t="s">
        <v>27</v>
      </c>
      <c r="D35" s="35"/>
      <c r="E35" s="45">
        <v>2393975</v>
      </c>
      <c r="F35" s="45"/>
      <c r="G35" s="45">
        <v>12891860</v>
      </c>
      <c r="H35" s="45"/>
      <c r="I35" s="45">
        <v>0</v>
      </c>
      <c r="J35" s="45"/>
      <c r="K35" s="45">
        <v>771638</v>
      </c>
      <c r="L35" s="45"/>
      <c r="M35" s="45">
        <v>2647967</v>
      </c>
      <c r="N35" s="45"/>
      <c r="O35" s="45">
        <v>0</v>
      </c>
      <c r="P35" s="45"/>
      <c r="Q35" s="45">
        <v>651515</v>
      </c>
      <c r="R35" s="45"/>
      <c r="S35" s="44">
        <f t="shared" si="0"/>
        <v>672658</v>
      </c>
      <c r="T35" s="45"/>
      <c r="U35" s="45">
        <v>20029613</v>
      </c>
      <c r="V35" s="44"/>
      <c r="W35" s="45">
        <f>11350+2054515+650000+1250779</f>
        <v>3966644</v>
      </c>
    </row>
    <row r="36" spans="1:23" s="116" customFormat="1" ht="12.75" customHeight="1">
      <c r="A36" s="44" t="s">
        <v>463</v>
      </c>
      <c r="C36" s="44" t="s">
        <v>66</v>
      </c>
      <c r="D36" s="35"/>
      <c r="E36" s="45">
        <v>141140</v>
      </c>
      <c r="F36" s="45"/>
      <c r="G36" s="45">
        <v>2252026</v>
      </c>
      <c r="H36" s="45"/>
      <c r="I36" s="45">
        <v>0</v>
      </c>
      <c r="J36" s="45"/>
      <c r="K36" s="45">
        <v>838261</v>
      </c>
      <c r="L36" s="45"/>
      <c r="M36" s="45">
        <v>1760559</v>
      </c>
      <c r="N36" s="45"/>
      <c r="O36" s="45">
        <v>14893</v>
      </c>
      <c r="P36" s="45"/>
      <c r="Q36" s="45">
        <v>133038</v>
      </c>
      <c r="R36" s="45"/>
      <c r="S36" s="44">
        <f t="shared" si="0"/>
        <v>277900</v>
      </c>
      <c r="T36" s="45"/>
      <c r="U36" s="45">
        <v>5417817</v>
      </c>
      <c r="V36" s="44"/>
      <c r="W36" s="45">
        <f>938835+2285000+242824+421988+675000+14504</f>
        <v>4578151</v>
      </c>
    </row>
    <row r="37" spans="1:23" s="116" customFormat="1" ht="12.75" customHeight="1">
      <c r="A37" s="44" t="s">
        <v>52</v>
      </c>
      <c r="C37" s="44" t="s">
        <v>53</v>
      </c>
      <c r="D37" s="35"/>
      <c r="E37" s="45">
        <v>2067685</v>
      </c>
      <c r="F37" s="45"/>
      <c r="G37" s="45">
        <v>9294739</v>
      </c>
      <c r="H37" s="45"/>
      <c r="I37" s="45">
        <v>0</v>
      </c>
      <c r="J37" s="45"/>
      <c r="K37" s="45">
        <v>1720581</v>
      </c>
      <c r="L37" s="45"/>
      <c r="M37" s="45">
        <v>4027246</v>
      </c>
      <c r="N37" s="45"/>
      <c r="O37" s="45">
        <v>240165</v>
      </c>
      <c r="P37" s="45"/>
      <c r="Q37" s="45">
        <v>1005847</v>
      </c>
      <c r="R37" s="45"/>
      <c r="S37" s="44">
        <f t="shared" si="0"/>
        <v>1946410</v>
      </c>
      <c r="T37" s="45"/>
      <c r="U37" s="45">
        <v>20302673</v>
      </c>
      <c r="V37" s="44"/>
      <c r="W37" s="45">
        <f>197835+5580000+685921</f>
        <v>6463756</v>
      </c>
    </row>
    <row r="38" spans="1:23" s="116" customFormat="1" ht="12.75" customHeight="1">
      <c r="A38" s="44" t="s">
        <v>54</v>
      </c>
      <c r="C38" s="44" t="s">
        <v>55</v>
      </c>
      <c r="D38" s="35"/>
      <c r="E38" s="45">
        <v>8055868</v>
      </c>
      <c r="F38" s="45"/>
      <c r="G38" s="45">
        <v>0</v>
      </c>
      <c r="H38" s="45"/>
      <c r="I38" s="45">
        <v>0</v>
      </c>
      <c r="J38" s="45"/>
      <c r="K38" s="45">
        <v>219441</v>
      </c>
      <c r="L38" s="45"/>
      <c r="M38" s="45">
        <v>1923172</v>
      </c>
      <c r="N38" s="45"/>
      <c r="O38" s="45">
        <v>100515</v>
      </c>
      <c r="P38" s="45"/>
      <c r="Q38" s="45">
        <f>792310+21042</f>
        <v>813352</v>
      </c>
      <c r="R38" s="45"/>
      <c r="S38" s="44">
        <f t="shared" si="0"/>
        <v>1164491</v>
      </c>
      <c r="T38" s="45"/>
      <c r="U38" s="45">
        <v>12276839</v>
      </c>
      <c r="V38" s="44"/>
      <c r="W38" s="45">
        <f>2172+2700000+4227458</f>
        <v>6929630</v>
      </c>
    </row>
    <row r="39" spans="1:23" s="116" customFormat="1" ht="12.75" customHeight="1">
      <c r="A39" s="44" t="s">
        <v>56</v>
      </c>
      <c r="C39" s="44" t="s">
        <v>57</v>
      </c>
      <c r="D39" s="35"/>
      <c r="E39" s="45">
        <v>735142</v>
      </c>
      <c r="F39" s="45"/>
      <c r="G39" s="45">
        <v>4426411</v>
      </c>
      <c r="H39" s="45"/>
      <c r="I39" s="45">
        <v>92934</v>
      </c>
      <c r="J39" s="45"/>
      <c r="K39" s="45">
        <v>383139</v>
      </c>
      <c r="L39" s="45"/>
      <c r="M39" s="45">
        <v>2295644</v>
      </c>
      <c r="N39" s="45"/>
      <c r="O39" s="45">
        <v>15175</v>
      </c>
      <c r="P39" s="45"/>
      <c r="Q39" s="45">
        <f>40460+162515</f>
        <v>202975</v>
      </c>
      <c r="R39" s="45"/>
      <c r="S39" s="44">
        <f t="shared" si="0"/>
        <v>594683</v>
      </c>
      <c r="T39" s="45"/>
      <c r="U39" s="45">
        <v>8746103</v>
      </c>
      <c r="V39" s="44"/>
      <c r="W39" s="45">
        <f>200000+3510+39432+287997</f>
        <v>530939</v>
      </c>
    </row>
    <row r="40" spans="1:23" s="116" customFormat="1" ht="12.75" customHeight="1">
      <c r="A40" s="44" t="s">
        <v>58</v>
      </c>
      <c r="C40" s="44" t="s">
        <v>59</v>
      </c>
      <c r="D40" s="35"/>
      <c r="E40" s="45">
        <v>1664969</v>
      </c>
      <c r="F40" s="45"/>
      <c r="G40" s="45">
        <v>4362512</v>
      </c>
      <c r="H40" s="45"/>
      <c r="I40" s="45">
        <v>0</v>
      </c>
      <c r="J40" s="45"/>
      <c r="K40" s="45">
        <v>519992</v>
      </c>
      <c r="L40" s="45"/>
      <c r="M40" s="45">
        <v>3660951</v>
      </c>
      <c r="N40" s="45"/>
      <c r="O40" s="45">
        <v>13428</v>
      </c>
      <c r="P40" s="45"/>
      <c r="Q40" s="45">
        <f>1157117+167841</f>
        <v>1324958</v>
      </c>
      <c r="R40" s="45"/>
      <c r="S40" s="44">
        <f t="shared" si="0"/>
        <v>760930</v>
      </c>
      <c r="T40" s="45"/>
      <c r="U40" s="45">
        <v>12307740</v>
      </c>
      <c r="V40" s="44"/>
      <c r="W40" s="45">
        <f>679924+24050+392184</f>
        <v>1096158</v>
      </c>
    </row>
    <row r="41" spans="1:23" s="152" customFormat="1" ht="12.75" hidden="1" customHeight="1">
      <c r="A41" s="137" t="s">
        <v>477</v>
      </c>
      <c r="C41" s="137" t="s">
        <v>15</v>
      </c>
      <c r="D41" s="142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37">
        <f>+U41-SUM(E41:Q41)</f>
        <v>0</v>
      </c>
      <c r="T41" s="143"/>
      <c r="U41" s="143"/>
      <c r="V41" s="137"/>
      <c r="W41" s="143"/>
    </row>
    <row r="42" spans="1:23" s="152" customFormat="1" ht="12.75" hidden="1" customHeight="1">
      <c r="A42" s="137" t="s">
        <v>60</v>
      </c>
      <c r="C42" s="137" t="s">
        <v>61</v>
      </c>
      <c r="D42" s="142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37">
        <f t="shared" si="0"/>
        <v>0</v>
      </c>
      <c r="T42" s="143"/>
      <c r="U42" s="143"/>
      <c r="V42" s="137"/>
      <c r="W42" s="143"/>
    </row>
    <row r="43" spans="1:23" s="116" customFormat="1" ht="12.75" customHeight="1">
      <c r="A43" s="44" t="s">
        <v>62</v>
      </c>
      <c r="C43" s="44" t="s">
        <v>15</v>
      </c>
      <c r="D43" s="35"/>
      <c r="E43" s="45">
        <v>4010683</v>
      </c>
      <c r="F43" s="45"/>
      <c r="G43" s="45">
        <v>44556112</v>
      </c>
      <c r="H43" s="45"/>
      <c r="I43" s="45">
        <v>0</v>
      </c>
      <c r="J43" s="45"/>
      <c r="K43" s="45">
        <v>10878541</v>
      </c>
      <c r="L43" s="45"/>
      <c r="M43" s="45">
        <v>11375148</v>
      </c>
      <c r="N43" s="45"/>
      <c r="O43" s="45">
        <v>0</v>
      </c>
      <c r="P43" s="45"/>
      <c r="Q43" s="45">
        <f>1161430+1582608</f>
        <v>2744038</v>
      </c>
      <c r="R43" s="45"/>
      <c r="S43" s="44">
        <f t="shared" si="0"/>
        <v>19489442</v>
      </c>
      <c r="T43" s="45"/>
      <c r="U43" s="45">
        <v>93053964</v>
      </c>
      <c r="V43" s="44"/>
      <c r="W43" s="45">
        <f>54020+62776</f>
        <v>116796</v>
      </c>
    </row>
    <row r="44" spans="1:23" s="152" customFormat="1" ht="12.75" hidden="1" customHeight="1">
      <c r="A44" s="137" t="s">
        <v>486</v>
      </c>
      <c r="C44" s="137" t="s">
        <v>111</v>
      </c>
      <c r="D44" s="142"/>
      <c r="E44" s="143">
        <v>0</v>
      </c>
      <c r="F44" s="143"/>
      <c r="G44" s="143">
        <v>0</v>
      </c>
      <c r="H44" s="143"/>
      <c r="I44" s="143">
        <v>0</v>
      </c>
      <c r="J44" s="143"/>
      <c r="K44" s="143">
        <v>0</v>
      </c>
      <c r="L44" s="143"/>
      <c r="M44" s="143">
        <v>0</v>
      </c>
      <c r="N44" s="143"/>
      <c r="O44" s="143">
        <v>0</v>
      </c>
      <c r="P44" s="143"/>
      <c r="Q44" s="143">
        <v>0</v>
      </c>
      <c r="R44" s="143"/>
      <c r="S44" s="137">
        <f>+U44-SUM(E44:Q44)</f>
        <v>0</v>
      </c>
      <c r="T44" s="143"/>
      <c r="U44" s="143">
        <v>0</v>
      </c>
      <c r="V44" s="137"/>
      <c r="W44" s="143">
        <v>0</v>
      </c>
    </row>
    <row r="45" spans="1:23" s="116" customFormat="1" ht="12.75" customHeight="1">
      <c r="A45" s="44" t="s">
        <v>63</v>
      </c>
      <c r="C45" s="44" t="s">
        <v>64</v>
      </c>
      <c r="D45" s="35"/>
      <c r="E45" s="45">
        <v>415708</v>
      </c>
      <c r="F45" s="45"/>
      <c r="G45" s="45">
        <v>2708150</v>
      </c>
      <c r="H45" s="45"/>
      <c r="I45" s="45">
        <v>837571</v>
      </c>
      <c r="J45" s="45"/>
      <c r="K45" s="45">
        <v>318261</v>
      </c>
      <c r="L45" s="45"/>
      <c r="M45" s="45">
        <v>3439796</v>
      </c>
      <c r="N45" s="45"/>
      <c r="O45" s="45">
        <v>13441</v>
      </c>
      <c r="P45" s="45"/>
      <c r="Q45" s="45">
        <v>497159</v>
      </c>
      <c r="R45" s="45"/>
      <c r="S45" s="44">
        <f t="shared" si="0"/>
        <v>808595</v>
      </c>
      <c r="T45" s="45"/>
      <c r="U45" s="45">
        <v>9038681</v>
      </c>
      <c r="V45" s="44"/>
      <c r="W45" s="45">
        <v>1250000</v>
      </c>
    </row>
    <row r="46" spans="1:23" s="116" customFormat="1" ht="12.75" customHeight="1">
      <c r="A46" s="44" t="s">
        <v>65</v>
      </c>
      <c r="C46" s="44" t="s">
        <v>66</v>
      </c>
      <c r="D46" s="35"/>
      <c r="E46" s="45">
        <v>11805299</v>
      </c>
      <c r="F46" s="45"/>
      <c r="G46" s="45">
        <v>0</v>
      </c>
      <c r="H46" s="45"/>
      <c r="I46" s="45">
        <v>0</v>
      </c>
      <c r="J46" s="45"/>
      <c r="K46" s="45">
        <v>52126</v>
      </c>
      <c r="L46" s="45"/>
      <c r="M46" s="45">
        <v>5261646</v>
      </c>
      <c r="N46" s="45"/>
      <c r="O46" s="45">
        <v>626432</v>
      </c>
      <c r="P46" s="45"/>
      <c r="Q46" s="45">
        <v>283277</v>
      </c>
      <c r="R46" s="45"/>
      <c r="S46" s="44">
        <f t="shared" si="0"/>
        <v>2635889</v>
      </c>
      <c r="T46" s="45"/>
      <c r="U46" s="45">
        <v>20664669</v>
      </c>
      <c r="V46" s="44"/>
      <c r="W46" s="45">
        <f>2625000+2400</f>
        <v>2627400</v>
      </c>
    </row>
    <row r="47" spans="1:23" s="116" customFormat="1" ht="12.75" customHeight="1">
      <c r="A47" s="44" t="s">
        <v>67</v>
      </c>
      <c r="C47" s="44" t="s">
        <v>375</v>
      </c>
      <c r="D47" s="35"/>
      <c r="E47" s="45">
        <v>1345281</v>
      </c>
      <c r="F47" s="45"/>
      <c r="G47" s="45">
        <v>5104240</v>
      </c>
      <c r="H47" s="45"/>
      <c r="I47" s="45">
        <v>909</v>
      </c>
      <c r="J47" s="45"/>
      <c r="K47" s="45">
        <v>1187731</v>
      </c>
      <c r="L47" s="45"/>
      <c r="M47" s="45">
        <v>1231447</v>
      </c>
      <c r="N47" s="45"/>
      <c r="O47" s="45">
        <v>155488</v>
      </c>
      <c r="P47" s="45"/>
      <c r="Q47" s="45">
        <f>460300+162990</f>
        <v>623290</v>
      </c>
      <c r="R47" s="45"/>
      <c r="S47" s="44">
        <f t="shared" si="0"/>
        <v>781891</v>
      </c>
      <c r="T47" s="45"/>
      <c r="U47" s="45">
        <v>10430277</v>
      </c>
      <c r="V47" s="44"/>
      <c r="W47" s="45">
        <f>36594+2329760</f>
        <v>2366354</v>
      </c>
    </row>
    <row r="48" spans="1:23" s="116" customFormat="1" ht="12.75" customHeight="1">
      <c r="A48" s="44" t="s">
        <v>68</v>
      </c>
      <c r="C48" s="44" t="s">
        <v>45</v>
      </c>
      <c r="D48" s="35"/>
      <c r="E48" s="45">
        <v>1492671</v>
      </c>
      <c r="F48" s="45"/>
      <c r="G48" s="45">
        <v>1706956</v>
      </c>
      <c r="H48" s="45"/>
      <c r="I48" s="45">
        <v>0</v>
      </c>
      <c r="J48" s="45"/>
      <c r="K48" s="45">
        <v>147150</v>
      </c>
      <c r="L48" s="45"/>
      <c r="M48" s="45">
        <v>1078660</v>
      </c>
      <c r="N48" s="45"/>
      <c r="O48" s="45">
        <v>0</v>
      </c>
      <c r="P48" s="45"/>
      <c r="Q48" s="45">
        <f>104184+64775</f>
        <v>168959</v>
      </c>
      <c r="R48" s="45"/>
      <c r="S48" s="44">
        <f t="shared" si="0"/>
        <v>117117</v>
      </c>
      <c r="T48" s="45"/>
      <c r="U48" s="45">
        <v>4711513</v>
      </c>
      <c r="V48" s="44"/>
      <c r="W48" s="45">
        <v>54155</v>
      </c>
    </row>
    <row r="49" spans="1:23" s="116" customFormat="1" ht="12.75" customHeight="1">
      <c r="A49" s="44" t="s">
        <v>69</v>
      </c>
      <c r="C49" s="44" t="s">
        <v>70</v>
      </c>
      <c r="D49" s="35"/>
      <c r="E49" s="45">
        <v>1326120</v>
      </c>
      <c r="F49" s="45"/>
      <c r="G49" s="45">
        <v>10473453</v>
      </c>
      <c r="H49" s="45"/>
      <c r="I49" s="45">
        <v>249109</v>
      </c>
      <c r="J49" s="45"/>
      <c r="K49" s="45">
        <v>2386542</v>
      </c>
      <c r="L49" s="45"/>
      <c r="M49" s="45">
        <v>5439441</v>
      </c>
      <c r="N49" s="45"/>
      <c r="O49" s="45">
        <v>19934</v>
      </c>
      <c r="P49" s="45"/>
      <c r="Q49" s="45">
        <v>1556251</v>
      </c>
      <c r="R49" s="45"/>
      <c r="S49" s="44">
        <f t="shared" si="0"/>
        <v>1087888</v>
      </c>
      <c r="T49" s="45"/>
      <c r="U49" s="45">
        <v>22538738</v>
      </c>
      <c r="V49" s="44"/>
      <c r="W49" s="45">
        <f>71885+400000+29727+2239304</f>
        <v>2740916</v>
      </c>
    </row>
    <row r="50" spans="1:23" s="116" customFormat="1" ht="12.75" customHeight="1">
      <c r="A50" s="44" t="s">
        <v>71</v>
      </c>
      <c r="C50" s="44" t="s">
        <v>45</v>
      </c>
      <c r="D50" s="35"/>
      <c r="E50" s="45">
        <v>393417000</v>
      </c>
      <c r="F50" s="45"/>
      <c r="G50" s="45">
        <v>0</v>
      </c>
      <c r="H50" s="45"/>
      <c r="I50" s="45">
        <v>0</v>
      </c>
      <c r="J50" s="45"/>
      <c r="K50" s="45">
        <v>33340000</v>
      </c>
      <c r="L50" s="45"/>
      <c r="M50" s="45">
        <v>67886000</v>
      </c>
      <c r="N50" s="45"/>
      <c r="O50" s="45">
        <v>4257000</v>
      </c>
      <c r="P50" s="45"/>
      <c r="Q50" s="45">
        <v>11516000</v>
      </c>
      <c r="R50" s="45"/>
      <c r="S50" s="44">
        <f t="shared" si="0"/>
        <v>105167000</v>
      </c>
      <c r="T50" s="45"/>
      <c r="U50" s="45">
        <v>615583000</v>
      </c>
      <c r="V50" s="44"/>
      <c r="W50" s="45">
        <f>50500000+2300000+9995000+52005000+3524000+85979000</f>
        <v>204303000</v>
      </c>
    </row>
    <row r="51" spans="1:23" s="116" customFormat="1" ht="12.75" customHeight="1">
      <c r="A51" s="44" t="s">
        <v>464</v>
      </c>
      <c r="C51" s="44" t="s">
        <v>465</v>
      </c>
      <c r="D51" s="35"/>
      <c r="E51" s="45">
        <v>916158</v>
      </c>
      <c r="F51" s="45"/>
      <c r="G51" s="45">
        <v>9411640</v>
      </c>
      <c r="H51" s="45"/>
      <c r="I51" s="45">
        <v>228738</v>
      </c>
      <c r="J51" s="45"/>
      <c r="K51" s="45">
        <v>650853</v>
      </c>
      <c r="L51" s="45"/>
      <c r="M51" s="45">
        <v>2534254</v>
      </c>
      <c r="N51" s="45"/>
      <c r="O51" s="45">
        <v>12209</v>
      </c>
      <c r="P51" s="45"/>
      <c r="Q51" s="45">
        <f>741129+360908</f>
        <v>1102037</v>
      </c>
      <c r="R51" s="45"/>
      <c r="S51" s="44">
        <f t="shared" si="0"/>
        <v>-4075431</v>
      </c>
      <c r="T51" s="45"/>
      <c r="U51" s="45">
        <v>10780458</v>
      </c>
      <c r="V51" s="44"/>
      <c r="W51" s="45">
        <f>116424+10000</f>
        <v>126424</v>
      </c>
    </row>
    <row r="52" spans="1:23" s="116" customFormat="1" ht="12.75" customHeight="1">
      <c r="A52" s="44" t="s">
        <v>72</v>
      </c>
      <c r="C52" s="44" t="s">
        <v>66</v>
      </c>
      <c r="D52" s="64"/>
      <c r="E52" s="45">
        <v>2071635</v>
      </c>
      <c r="F52" s="45"/>
      <c r="G52" s="45">
        <v>2000105</v>
      </c>
      <c r="H52" s="45"/>
      <c r="I52" s="45">
        <v>371060</v>
      </c>
      <c r="J52" s="45"/>
      <c r="K52" s="45">
        <v>379355</v>
      </c>
      <c r="L52" s="45"/>
      <c r="M52" s="45">
        <v>1736282</v>
      </c>
      <c r="N52" s="45"/>
      <c r="O52" s="45">
        <v>22718</v>
      </c>
      <c r="P52" s="45"/>
      <c r="Q52" s="45">
        <f>10144+20519</f>
        <v>30663</v>
      </c>
      <c r="R52" s="45"/>
      <c r="S52" s="44">
        <f t="shared" si="0"/>
        <v>391540</v>
      </c>
      <c r="T52" s="45"/>
      <c r="U52" s="45">
        <v>7003358</v>
      </c>
      <c r="V52" s="44"/>
      <c r="W52" s="45">
        <f>166100+1470804</f>
        <v>1636904</v>
      </c>
    </row>
    <row r="53" spans="1:23" s="116" customFormat="1" ht="12.75" customHeight="1">
      <c r="A53" s="44" t="s">
        <v>73</v>
      </c>
      <c r="C53" s="44" t="s">
        <v>27</v>
      </c>
      <c r="D53" s="35"/>
      <c r="E53" s="45">
        <v>69254000</v>
      </c>
      <c r="F53" s="45"/>
      <c r="G53" s="45">
        <v>311784000</v>
      </c>
      <c r="H53" s="45"/>
      <c r="I53" s="45">
        <v>80789000</v>
      </c>
      <c r="J53" s="45"/>
      <c r="K53" s="45">
        <v>24388000</v>
      </c>
      <c r="L53" s="45"/>
      <c r="M53" s="45">
        <v>16875000</v>
      </c>
      <c r="N53" s="45"/>
      <c r="O53" s="45">
        <v>0</v>
      </c>
      <c r="P53" s="45"/>
      <c r="Q53" s="45">
        <f>31246000+13802000</f>
        <v>45048000</v>
      </c>
      <c r="R53" s="45"/>
      <c r="S53" s="44">
        <f t="shared" si="0"/>
        <v>239761000</v>
      </c>
      <c r="T53" s="45"/>
      <c r="U53" s="45">
        <v>787899000</v>
      </c>
      <c r="V53" s="44"/>
      <c r="W53" s="45">
        <f>61064000+181420000+3730000+207000</f>
        <v>246421000</v>
      </c>
    </row>
    <row r="54" spans="1:23" s="116" customFormat="1" ht="12.75" customHeight="1">
      <c r="A54" s="44" t="s">
        <v>74</v>
      </c>
      <c r="C54" s="44" t="s">
        <v>27</v>
      </c>
      <c r="D54" s="35"/>
      <c r="E54" s="45">
        <v>11634160</v>
      </c>
      <c r="F54" s="45"/>
      <c r="G54" s="45">
        <v>22022446</v>
      </c>
      <c r="H54" s="45"/>
      <c r="I54" s="45">
        <v>0</v>
      </c>
      <c r="J54" s="45"/>
      <c r="K54" s="45">
        <v>3520404</v>
      </c>
      <c r="L54" s="45"/>
      <c r="M54" s="45">
        <v>11318695</v>
      </c>
      <c r="N54" s="45"/>
      <c r="O54" s="45">
        <v>1469507</v>
      </c>
      <c r="P54" s="45"/>
      <c r="Q54" s="45">
        <f>2377640+1224780</f>
        <v>3602420</v>
      </c>
      <c r="R54" s="45"/>
      <c r="S54" s="44">
        <f t="shared" si="0"/>
        <v>2989180</v>
      </c>
      <c r="T54" s="45"/>
      <c r="U54" s="45">
        <v>56556812</v>
      </c>
      <c r="V54" s="44"/>
      <c r="W54" s="45">
        <f>68552+14531+4601453</f>
        <v>4684536</v>
      </c>
    </row>
    <row r="55" spans="1:23" s="116" customFormat="1" ht="12.75" customHeight="1">
      <c r="A55" s="44" t="s">
        <v>75</v>
      </c>
      <c r="C55" s="44" t="s">
        <v>76</v>
      </c>
      <c r="D55" s="35"/>
      <c r="E55" s="45">
        <v>888149</v>
      </c>
      <c r="F55" s="45"/>
      <c r="G55" s="45">
        <v>3936834</v>
      </c>
      <c r="H55" s="45"/>
      <c r="I55" s="45">
        <v>0</v>
      </c>
      <c r="J55" s="45"/>
      <c r="K55" s="45">
        <v>197775</v>
      </c>
      <c r="L55" s="45"/>
      <c r="M55" s="45">
        <v>629273</v>
      </c>
      <c r="N55" s="45"/>
      <c r="O55" s="45">
        <v>44654</v>
      </c>
      <c r="P55" s="45"/>
      <c r="Q55" s="45">
        <f>24303+6500</f>
        <v>30803</v>
      </c>
      <c r="R55" s="45"/>
      <c r="S55" s="44">
        <f t="shared" si="0"/>
        <v>791768</v>
      </c>
      <c r="T55" s="45"/>
      <c r="U55" s="45">
        <v>6519256</v>
      </c>
      <c r="V55" s="44"/>
      <c r="W55" s="45">
        <f>400000+556079</f>
        <v>956079</v>
      </c>
    </row>
    <row r="56" spans="1:23" s="116" customFormat="1" ht="12.75" customHeight="1">
      <c r="A56" s="44" t="s">
        <v>77</v>
      </c>
      <c r="C56" s="44" t="s">
        <v>43</v>
      </c>
      <c r="D56" s="35"/>
      <c r="E56" s="45">
        <v>51852000</v>
      </c>
      <c r="F56" s="45"/>
      <c r="G56" s="45">
        <v>522384000</v>
      </c>
      <c r="H56" s="45"/>
      <c r="I56" s="45">
        <v>0</v>
      </c>
      <c r="J56" s="45"/>
      <c r="K56" s="45">
        <v>82308000</v>
      </c>
      <c r="L56" s="45"/>
      <c r="M56" s="45">
        <v>90286000</v>
      </c>
      <c r="N56" s="45"/>
      <c r="O56" s="45">
        <v>0</v>
      </c>
      <c r="P56" s="45"/>
      <c r="Q56" s="45">
        <f>28029000+26487000</f>
        <v>54516000</v>
      </c>
      <c r="R56" s="45"/>
      <c r="S56" s="44">
        <f t="shared" si="0"/>
        <v>182658000</v>
      </c>
      <c r="T56" s="45"/>
      <c r="U56" s="45">
        <v>984004000</v>
      </c>
      <c r="V56" s="44"/>
      <c r="W56" s="45">
        <f>117974000+141294000+8307000</f>
        <v>267575000</v>
      </c>
    </row>
    <row r="57" spans="1:23" s="116" customFormat="1" ht="12.75" customHeight="1">
      <c r="A57" s="44" t="s">
        <v>94</v>
      </c>
      <c r="C57" s="44" t="s">
        <v>94</v>
      </c>
      <c r="D57" s="35"/>
      <c r="E57" s="45">
        <v>2110850</v>
      </c>
      <c r="F57" s="45"/>
      <c r="G57" s="45">
        <v>0</v>
      </c>
      <c r="H57" s="45"/>
      <c r="I57" s="45">
        <v>0</v>
      </c>
      <c r="J57" s="45"/>
      <c r="K57" s="45">
        <v>260217</v>
      </c>
      <c r="L57" s="45"/>
      <c r="M57" s="45">
        <v>1282562</v>
      </c>
      <c r="N57" s="45"/>
      <c r="O57" s="45">
        <v>0</v>
      </c>
      <c r="P57" s="45"/>
      <c r="Q57" s="45">
        <f>292789+92752</f>
        <v>385541</v>
      </c>
      <c r="R57" s="45"/>
      <c r="S57" s="44">
        <f>+U57-SUM(E57:Q57)</f>
        <v>148333</v>
      </c>
      <c r="T57" s="45"/>
      <c r="U57" s="45">
        <v>4187503</v>
      </c>
      <c r="V57" s="44"/>
      <c r="W57" s="45">
        <v>2030079</v>
      </c>
    </row>
    <row r="58" spans="1:23" s="116" customFormat="1" ht="12.75" customHeight="1">
      <c r="A58" s="44" t="s">
        <v>78</v>
      </c>
      <c r="C58" s="44" t="s">
        <v>19</v>
      </c>
      <c r="D58" s="35"/>
      <c r="E58" s="45">
        <v>1374642</v>
      </c>
      <c r="F58" s="45"/>
      <c r="G58" s="45">
        <v>3264412</v>
      </c>
      <c r="H58" s="45"/>
      <c r="I58" s="45">
        <v>0</v>
      </c>
      <c r="J58" s="45"/>
      <c r="K58" s="45">
        <v>288911</v>
      </c>
      <c r="L58" s="45"/>
      <c r="M58" s="45">
        <v>2024833</v>
      </c>
      <c r="N58" s="45"/>
      <c r="O58" s="45">
        <v>160405</v>
      </c>
      <c r="P58" s="45"/>
      <c r="Q58" s="45">
        <f>342916+209448</f>
        <v>552364</v>
      </c>
      <c r="R58" s="45"/>
      <c r="S58" s="44">
        <f t="shared" si="0"/>
        <v>281428</v>
      </c>
      <c r="T58" s="45"/>
      <c r="U58" s="45">
        <v>7946995</v>
      </c>
      <c r="V58" s="44"/>
      <c r="W58" s="45">
        <f>7303+203500+103764+116750</f>
        <v>431317</v>
      </c>
    </row>
    <row r="59" spans="1:23" s="116" customFormat="1" ht="12.75" customHeight="1">
      <c r="A59" s="44" t="s">
        <v>79</v>
      </c>
      <c r="C59" s="44" t="s">
        <v>80</v>
      </c>
      <c r="D59" s="35"/>
      <c r="E59" s="45">
        <v>2210937</v>
      </c>
      <c r="F59" s="45"/>
      <c r="G59" s="45">
        <v>0</v>
      </c>
      <c r="H59" s="45"/>
      <c r="I59" s="45">
        <v>0</v>
      </c>
      <c r="J59" s="45"/>
      <c r="K59" s="45">
        <v>297493</v>
      </c>
      <c r="L59" s="45"/>
      <c r="M59" s="45">
        <v>1250093</v>
      </c>
      <c r="N59" s="45"/>
      <c r="O59" s="45">
        <v>0</v>
      </c>
      <c r="P59" s="45"/>
      <c r="Q59" s="45">
        <f>114203+6007</f>
        <v>120210</v>
      </c>
      <c r="R59" s="45"/>
      <c r="S59" s="44">
        <f t="shared" si="0"/>
        <v>129808</v>
      </c>
      <c r="T59" s="45"/>
      <c r="U59" s="45">
        <v>4008541</v>
      </c>
      <c r="V59" s="44"/>
      <c r="W59" s="45">
        <v>120000</v>
      </c>
    </row>
    <row r="60" spans="1:23" s="116" customFormat="1" ht="12.75" customHeight="1">
      <c r="A60" s="44" t="s">
        <v>81</v>
      </c>
      <c r="C60" s="44" t="s">
        <v>81</v>
      </c>
      <c r="D60" s="35"/>
      <c r="E60" s="45">
        <v>753989</v>
      </c>
      <c r="F60" s="45"/>
      <c r="G60" s="45">
        <v>4478764</v>
      </c>
      <c r="H60" s="45"/>
      <c r="I60" s="45">
        <v>0</v>
      </c>
      <c r="J60" s="45"/>
      <c r="K60" s="45">
        <v>1072926</v>
      </c>
      <c r="L60" s="45"/>
      <c r="M60" s="45">
        <v>1838367</v>
      </c>
      <c r="N60" s="45"/>
      <c r="O60" s="45">
        <v>682</v>
      </c>
      <c r="P60" s="45"/>
      <c r="Q60" s="45">
        <f>48891+67907</f>
        <v>116798</v>
      </c>
      <c r="R60" s="45"/>
      <c r="S60" s="44">
        <f t="shared" si="0"/>
        <v>868738</v>
      </c>
      <c r="T60" s="45"/>
      <c r="U60" s="45">
        <v>9130264</v>
      </c>
      <c r="V60" s="44"/>
      <c r="W60" s="45">
        <f>2600+97695</f>
        <v>100295</v>
      </c>
    </row>
    <row r="61" spans="1:23" s="116" customFormat="1" ht="12.75" customHeight="1">
      <c r="A61" s="47" t="s">
        <v>466</v>
      </c>
      <c r="B61" s="47"/>
      <c r="C61" s="47" t="s">
        <v>57</v>
      </c>
      <c r="D61" s="35"/>
      <c r="E61" s="45">
        <v>261575</v>
      </c>
      <c r="F61" s="45"/>
      <c r="G61" s="45">
        <v>1058605</v>
      </c>
      <c r="H61" s="45"/>
      <c r="I61" s="45">
        <v>0</v>
      </c>
      <c r="J61" s="45"/>
      <c r="K61" s="45">
        <v>158104</v>
      </c>
      <c r="L61" s="45"/>
      <c r="M61" s="45">
        <v>1070870</v>
      </c>
      <c r="N61" s="45"/>
      <c r="O61" s="45">
        <v>0</v>
      </c>
      <c r="P61" s="45"/>
      <c r="Q61" s="45">
        <f>101631+4891</f>
        <v>106522</v>
      </c>
      <c r="R61" s="45"/>
      <c r="S61" s="44">
        <f t="shared" si="0"/>
        <v>240715</v>
      </c>
      <c r="T61" s="45"/>
      <c r="U61" s="45">
        <v>2896391</v>
      </c>
      <c r="V61" s="44"/>
      <c r="W61" s="45">
        <f>23933+52263</f>
        <v>76196</v>
      </c>
    </row>
    <row r="62" spans="1:23" s="116" customFormat="1" ht="12.75" customHeight="1">
      <c r="A62" s="44" t="s">
        <v>82</v>
      </c>
      <c r="C62" s="44" t="s">
        <v>13</v>
      </c>
      <c r="D62" s="35"/>
      <c r="E62" s="45">
        <v>10879771</v>
      </c>
      <c r="F62" s="45"/>
      <c r="G62" s="45">
        <v>18484497</v>
      </c>
      <c r="H62" s="45"/>
      <c r="I62" s="45">
        <f>390387+7225524</f>
        <v>7615911</v>
      </c>
      <c r="J62" s="45"/>
      <c r="K62" s="45">
        <v>7133862</v>
      </c>
      <c r="L62" s="45"/>
      <c r="M62" s="45">
        <v>2925454</v>
      </c>
      <c r="N62" s="45"/>
      <c r="O62" s="45">
        <v>289373</v>
      </c>
      <c r="P62" s="45"/>
      <c r="Q62" s="45">
        <f>421121+2156317</f>
        <v>2577438</v>
      </c>
      <c r="R62" s="45"/>
      <c r="S62" s="44">
        <f t="shared" si="0"/>
        <v>2831012</v>
      </c>
      <c r="T62" s="45"/>
      <c r="U62" s="45">
        <v>52737318</v>
      </c>
      <c r="V62" s="44"/>
      <c r="W62" s="45">
        <f>2466544+23204680</f>
        <v>25671224</v>
      </c>
    </row>
    <row r="63" spans="1:23" s="117" customFormat="1" ht="12.75" customHeight="1">
      <c r="A63" s="46" t="s">
        <v>83</v>
      </c>
      <c r="C63" s="46" t="s">
        <v>66</v>
      </c>
      <c r="D63" s="35"/>
      <c r="E63" s="45">
        <v>22631488</v>
      </c>
      <c r="F63" s="45"/>
      <c r="G63" s="45">
        <v>113156087</v>
      </c>
      <c r="H63" s="45"/>
      <c r="I63" s="45">
        <v>21435579</v>
      </c>
      <c r="J63" s="45"/>
      <c r="K63" s="45">
        <v>24051832</v>
      </c>
      <c r="L63" s="45"/>
      <c r="M63" s="45">
        <v>31643646</v>
      </c>
      <c r="N63" s="45"/>
      <c r="O63" s="45">
        <v>512068</v>
      </c>
      <c r="P63" s="45"/>
      <c r="Q63" s="45">
        <f>1861236+2044271</f>
        <v>3905507</v>
      </c>
      <c r="R63" s="45"/>
      <c r="S63" s="44">
        <f t="shared" si="0"/>
        <v>14934558</v>
      </c>
      <c r="T63" s="45"/>
      <c r="U63" s="45">
        <v>232270765</v>
      </c>
      <c r="V63" s="44"/>
      <c r="W63" s="45">
        <f>19745000+491061+13418525</f>
        <v>33654586</v>
      </c>
    </row>
    <row r="64" spans="1:23" s="152" customFormat="1" ht="12.75" hidden="1" customHeight="1">
      <c r="A64" s="137" t="s">
        <v>84</v>
      </c>
      <c r="C64" s="137" t="s">
        <v>45</v>
      </c>
      <c r="D64" s="142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37">
        <f t="shared" si="0"/>
        <v>0</v>
      </c>
      <c r="T64" s="143"/>
      <c r="U64" s="143"/>
      <c r="V64" s="137"/>
      <c r="W64" s="143"/>
    </row>
    <row r="65" spans="1:23" s="116" customFormat="1" ht="12.75" customHeight="1">
      <c r="A65" s="44" t="s">
        <v>85</v>
      </c>
      <c r="C65" s="44" t="s">
        <v>85</v>
      </c>
      <c r="D65" s="35"/>
      <c r="E65" s="45">
        <v>990413</v>
      </c>
      <c r="F65" s="45"/>
      <c r="G65" s="45">
        <v>8144681</v>
      </c>
      <c r="H65" s="45"/>
      <c r="I65" s="45">
        <v>0</v>
      </c>
      <c r="J65" s="45"/>
      <c r="K65" s="45">
        <v>610410</v>
      </c>
      <c r="L65" s="45"/>
      <c r="M65" s="45">
        <v>2343840</v>
      </c>
      <c r="N65" s="45"/>
      <c r="O65" s="45">
        <v>128306</v>
      </c>
      <c r="P65" s="45"/>
      <c r="Q65" s="45">
        <f>906316+370682</f>
        <v>1276998</v>
      </c>
      <c r="R65" s="45"/>
      <c r="S65" s="44">
        <f t="shared" si="0"/>
        <v>765213</v>
      </c>
      <c r="T65" s="45"/>
      <c r="U65" s="45">
        <v>14259861</v>
      </c>
      <c r="V65" s="44"/>
      <c r="W65" s="45">
        <f>186+4471+395000</f>
        <v>399657</v>
      </c>
    </row>
    <row r="66" spans="1:23" s="117" customFormat="1" ht="12.75" customHeight="1">
      <c r="A66" s="44" t="s">
        <v>86</v>
      </c>
      <c r="B66" s="116"/>
      <c r="C66" s="44" t="s">
        <v>86</v>
      </c>
      <c r="D66" s="35"/>
      <c r="E66" s="45">
        <v>1793182</v>
      </c>
      <c r="F66" s="45"/>
      <c r="G66" s="45">
        <v>13408017</v>
      </c>
      <c r="H66" s="45"/>
      <c r="I66" s="45">
        <v>57116</v>
      </c>
      <c r="J66" s="45"/>
      <c r="K66" s="45">
        <v>3066440</v>
      </c>
      <c r="L66" s="45"/>
      <c r="M66" s="45">
        <v>5498301</v>
      </c>
      <c r="N66" s="45"/>
      <c r="O66" s="45">
        <v>36045</v>
      </c>
      <c r="P66" s="45"/>
      <c r="Q66" s="45">
        <f>705370+2272295</f>
        <v>2977665</v>
      </c>
      <c r="R66" s="45"/>
      <c r="S66" s="44">
        <f t="shared" si="0"/>
        <v>2187196</v>
      </c>
      <c r="T66" s="45"/>
      <c r="U66" s="45">
        <v>29023962</v>
      </c>
      <c r="V66" s="44"/>
      <c r="W66" s="45">
        <f>5744361+47143+59791</f>
        <v>5851295</v>
      </c>
    </row>
    <row r="67" spans="1:23" s="118" customFormat="1" ht="12.75" customHeight="1">
      <c r="A67" s="46" t="s">
        <v>87</v>
      </c>
      <c r="B67" s="117"/>
      <c r="C67" s="46" t="s">
        <v>88</v>
      </c>
      <c r="D67" s="64"/>
      <c r="E67" s="45">
        <v>558352</v>
      </c>
      <c r="F67" s="45"/>
      <c r="G67" s="45">
        <v>2558199</v>
      </c>
      <c r="H67" s="45"/>
      <c r="I67" s="45">
        <v>0</v>
      </c>
      <c r="J67" s="45"/>
      <c r="K67" s="45">
        <v>443594</v>
      </c>
      <c r="L67" s="45"/>
      <c r="M67" s="45">
        <v>1435313</v>
      </c>
      <c r="N67" s="45"/>
      <c r="O67" s="45">
        <v>0</v>
      </c>
      <c r="P67" s="45"/>
      <c r="Q67" s="45">
        <v>191928</v>
      </c>
      <c r="R67" s="45"/>
      <c r="S67" s="44">
        <f t="shared" si="0"/>
        <v>355593</v>
      </c>
      <c r="T67" s="45"/>
      <c r="U67" s="45">
        <v>5542979</v>
      </c>
      <c r="V67" s="44"/>
      <c r="W67" s="45">
        <v>849344</v>
      </c>
    </row>
    <row r="68" spans="1:23" s="116" customFormat="1" ht="12.75" customHeight="1">
      <c r="A68" s="46" t="s">
        <v>394</v>
      </c>
      <c r="B68" s="117"/>
      <c r="C68" s="46" t="s">
        <v>89</v>
      </c>
      <c r="D68" s="35"/>
      <c r="E68" s="45">
        <v>1156640</v>
      </c>
      <c r="F68" s="45"/>
      <c r="G68" s="45">
        <v>5692860</v>
      </c>
      <c r="H68" s="45"/>
      <c r="I68" s="45">
        <v>0</v>
      </c>
      <c r="J68" s="45"/>
      <c r="K68" s="45">
        <v>962375</v>
      </c>
      <c r="L68" s="45"/>
      <c r="M68" s="45">
        <v>2971933</v>
      </c>
      <c r="N68" s="45"/>
      <c r="O68" s="45">
        <v>0</v>
      </c>
      <c r="P68" s="45"/>
      <c r="Q68" s="45">
        <v>55318</v>
      </c>
      <c r="R68" s="45"/>
      <c r="S68" s="44">
        <f t="shared" si="0"/>
        <v>630508</v>
      </c>
      <c r="T68" s="45"/>
      <c r="U68" s="45">
        <v>11469634</v>
      </c>
      <c r="V68" s="44"/>
      <c r="W68" s="45">
        <v>2370000</v>
      </c>
    </row>
    <row r="69" spans="1:23" s="116" customFormat="1" ht="12.75" customHeight="1">
      <c r="A69" s="44" t="s">
        <v>90</v>
      </c>
      <c r="C69" s="44" t="s">
        <v>43</v>
      </c>
      <c r="D69" s="35"/>
      <c r="E69" s="45">
        <v>3601809</v>
      </c>
      <c r="F69" s="45"/>
      <c r="G69" s="45">
        <v>65309069</v>
      </c>
      <c r="H69" s="45"/>
      <c r="I69" s="45">
        <v>1845503</v>
      </c>
      <c r="J69" s="45"/>
      <c r="K69" s="45">
        <f>4673920+6815036</f>
        <v>11488956</v>
      </c>
      <c r="L69" s="45"/>
      <c r="M69" s="45">
        <v>5732707</v>
      </c>
      <c r="N69" s="45"/>
      <c r="O69" s="45">
        <v>273386</v>
      </c>
      <c r="P69" s="45"/>
      <c r="Q69" s="45">
        <v>2646015</v>
      </c>
      <c r="R69" s="45"/>
      <c r="S69" s="44">
        <f t="shared" si="0"/>
        <v>5477881</v>
      </c>
      <c r="T69" s="45"/>
      <c r="U69" s="45">
        <v>96375326</v>
      </c>
      <c r="V69" s="44"/>
      <c r="W69" s="45">
        <v>36708031</v>
      </c>
    </row>
    <row r="70" spans="1:23" s="116" customFormat="1" ht="12.75" customHeight="1">
      <c r="A70" s="44" t="s">
        <v>93</v>
      </c>
      <c r="C70" s="44" t="s">
        <v>94</v>
      </c>
      <c r="D70" s="35"/>
      <c r="E70" s="45">
        <v>1181887</v>
      </c>
      <c r="F70" s="45"/>
      <c r="G70" s="45">
        <v>2899497</v>
      </c>
      <c r="H70" s="45"/>
      <c r="I70" s="45">
        <v>0</v>
      </c>
      <c r="J70" s="45"/>
      <c r="K70" s="45">
        <v>41686</v>
      </c>
      <c r="L70" s="45"/>
      <c r="M70" s="45">
        <v>2128460</v>
      </c>
      <c r="N70" s="45"/>
      <c r="O70" s="45">
        <v>15569</v>
      </c>
      <c r="P70" s="45"/>
      <c r="Q70" s="45">
        <v>764920</v>
      </c>
      <c r="R70" s="45"/>
      <c r="S70" s="44">
        <f t="shared" si="0"/>
        <v>338265</v>
      </c>
      <c r="T70" s="45"/>
      <c r="U70" s="45">
        <v>7370284</v>
      </c>
      <c r="V70" s="44"/>
      <c r="W70" s="45">
        <v>295295</v>
      </c>
    </row>
    <row r="71" spans="1:23" s="116" customFormat="1" ht="12.75" customHeight="1">
      <c r="A71" s="44" t="s">
        <v>492</v>
      </c>
      <c r="C71" s="44" t="s">
        <v>27</v>
      </c>
      <c r="D71" s="35"/>
      <c r="E71" s="45">
        <v>2433243</v>
      </c>
      <c r="F71" s="45"/>
      <c r="G71" s="45">
        <v>6203464</v>
      </c>
      <c r="H71" s="45"/>
      <c r="I71" s="45">
        <v>0</v>
      </c>
      <c r="J71" s="45"/>
      <c r="K71" s="45">
        <v>995435</v>
      </c>
      <c r="L71" s="45"/>
      <c r="M71" s="45">
        <v>7372792</v>
      </c>
      <c r="N71" s="45"/>
      <c r="O71" s="45">
        <v>350489</v>
      </c>
      <c r="P71" s="45"/>
      <c r="Q71" s="45">
        <f>3760967+298999</f>
        <v>4059966</v>
      </c>
      <c r="R71" s="45"/>
      <c r="S71" s="44">
        <f>+U71-SUM(E71:Q71)</f>
        <v>1027180</v>
      </c>
      <c r="T71" s="45"/>
      <c r="U71" s="45">
        <v>22442569</v>
      </c>
      <c r="V71" s="44"/>
      <c r="W71" s="45">
        <f>11769+80000</f>
        <v>91769</v>
      </c>
    </row>
    <row r="72" spans="1:23" s="116" customFormat="1" ht="12.75" customHeight="1">
      <c r="A72" s="44" t="s">
        <v>472</v>
      </c>
      <c r="C72" s="44"/>
      <c r="D72" s="3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4"/>
      <c r="T72" s="45"/>
      <c r="U72" s="45"/>
      <c r="V72" s="44"/>
      <c r="W72" s="48" t="s">
        <v>485</v>
      </c>
    </row>
    <row r="73" spans="1:23" s="117" customFormat="1" ht="12.75" customHeight="1">
      <c r="A73" s="46" t="s">
        <v>95</v>
      </c>
      <c r="C73" s="46" t="s">
        <v>94</v>
      </c>
      <c r="D73" s="64"/>
      <c r="E73" s="94">
        <v>1331757</v>
      </c>
      <c r="F73" s="94"/>
      <c r="G73" s="94">
        <v>0</v>
      </c>
      <c r="H73" s="94"/>
      <c r="I73" s="94">
        <v>0</v>
      </c>
      <c r="J73" s="94"/>
      <c r="K73" s="94">
        <v>357363</v>
      </c>
      <c r="L73" s="94"/>
      <c r="M73" s="94">
        <v>674772</v>
      </c>
      <c r="N73" s="94"/>
      <c r="O73" s="94">
        <v>0</v>
      </c>
      <c r="P73" s="94"/>
      <c r="Q73" s="94">
        <v>10509</v>
      </c>
      <c r="R73" s="94"/>
      <c r="S73" s="46">
        <f t="shared" ref="S73:S79" si="1">+U73-SUM(E73:Q73)</f>
        <v>170629</v>
      </c>
      <c r="T73" s="94"/>
      <c r="U73" s="94">
        <v>2545030</v>
      </c>
      <c r="V73" s="46"/>
      <c r="W73" s="94">
        <f>300+10238+25825+58000+291058</f>
        <v>385421</v>
      </c>
    </row>
    <row r="74" spans="1:23" s="116" customFormat="1" ht="12.75" customHeight="1">
      <c r="A74" s="44" t="s">
        <v>91</v>
      </c>
      <c r="C74" s="44" t="s">
        <v>92</v>
      </c>
      <c r="D74" s="35"/>
      <c r="E74" s="45">
        <v>3151596</v>
      </c>
      <c r="F74" s="45"/>
      <c r="G74" s="45">
        <v>7336872</v>
      </c>
      <c r="H74" s="45"/>
      <c r="I74" s="45">
        <f>3670945+456760</f>
        <v>4127705</v>
      </c>
      <c r="J74" s="45"/>
      <c r="K74" s="45">
        <v>1277601</v>
      </c>
      <c r="L74" s="45"/>
      <c r="M74" s="45">
        <v>3157118</v>
      </c>
      <c r="N74" s="45"/>
      <c r="O74" s="45">
        <v>0</v>
      </c>
      <c r="P74" s="45"/>
      <c r="Q74" s="45">
        <f>252863+269763</f>
        <v>522626</v>
      </c>
      <c r="R74" s="45"/>
      <c r="S74" s="44">
        <f t="shared" si="1"/>
        <v>1617158</v>
      </c>
      <c r="T74" s="45"/>
      <c r="U74" s="45">
        <v>21190676</v>
      </c>
      <c r="V74" s="44"/>
      <c r="W74" s="45">
        <f>4120+2976757+14871+9131</f>
        <v>3004879</v>
      </c>
    </row>
    <row r="75" spans="1:23" s="116" customFormat="1" ht="12.75" customHeight="1">
      <c r="A75" s="44" t="s">
        <v>96</v>
      </c>
      <c r="C75" s="44" t="s">
        <v>97</v>
      </c>
      <c r="D75" s="35"/>
      <c r="E75" s="45">
        <v>660449</v>
      </c>
      <c r="F75" s="45"/>
      <c r="G75" s="45">
        <v>3703958</v>
      </c>
      <c r="H75" s="45"/>
      <c r="I75" s="45">
        <v>0</v>
      </c>
      <c r="J75" s="45"/>
      <c r="K75" s="45">
        <v>756303</v>
      </c>
      <c r="L75" s="45"/>
      <c r="M75" s="45">
        <v>1339744</v>
      </c>
      <c r="N75" s="45"/>
      <c r="O75" s="45">
        <v>25144</v>
      </c>
      <c r="P75" s="45"/>
      <c r="Q75" s="45">
        <f>1034110+159949</f>
        <v>1194059</v>
      </c>
      <c r="R75" s="45"/>
      <c r="S75" s="44">
        <f t="shared" si="1"/>
        <v>518576</v>
      </c>
      <c r="T75" s="45"/>
      <c r="U75" s="45">
        <v>8198233</v>
      </c>
      <c r="V75" s="44"/>
      <c r="W75" s="45">
        <f>5318+88434</f>
        <v>93752</v>
      </c>
    </row>
    <row r="76" spans="1:23" s="116" customFormat="1" ht="12.75" customHeight="1">
      <c r="A76" s="44" t="s">
        <v>98</v>
      </c>
      <c r="C76" s="44" t="s">
        <v>17</v>
      </c>
      <c r="D76" s="35"/>
      <c r="E76" s="45">
        <v>4194264</v>
      </c>
      <c r="F76" s="45"/>
      <c r="G76" s="45">
        <v>21423070</v>
      </c>
      <c r="H76" s="45"/>
      <c r="I76" s="45">
        <v>1394590</v>
      </c>
      <c r="J76" s="45"/>
      <c r="K76" s="45">
        <v>2224694</v>
      </c>
      <c r="L76" s="45"/>
      <c r="M76" s="45">
        <v>8966140</v>
      </c>
      <c r="N76" s="45"/>
      <c r="O76" s="45">
        <v>349741</v>
      </c>
      <c r="P76" s="45"/>
      <c r="Q76" s="45">
        <f>1502578+748541</f>
        <v>2251119</v>
      </c>
      <c r="R76" s="45"/>
      <c r="S76" s="44">
        <f t="shared" si="1"/>
        <v>1421139</v>
      </c>
      <c r="T76" s="45"/>
      <c r="U76" s="45">
        <v>42224757</v>
      </c>
      <c r="V76" s="44"/>
      <c r="W76" s="45">
        <f>1146725+9389250+126944+1050804+26095+950</f>
        <v>11740768</v>
      </c>
    </row>
    <row r="77" spans="1:23" s="116" customFormat="1" ht="12.75" customHeight="1">
      <c r="A77" s="44" t="s">
        <v>99</v>
      </c>
      <c r="C77" s="44" t="s">
        <v>66</v>
      </c>
      <c r="D77" s="35"/>
      <c r="E77" s="45">
        <v>1649643</v>
      </c>
      <c r="F77" s="45"/>
      <c r="G77" s="45">
        <v>5889439</v>
      </c>
      <c r="H77" s="45"/>
      <c r="I77" s="45">
        <v>0</v>
      </c>
      <c r="J77" s="45"/>
      <c r="K77" s="45">
        <v>777180</v>
      </c>
      <c r="L77" s="45"/>
      <c r="M77" s="45">
        <v>2390560</v>
      </c>
      <c r="N77" s="45"/>
      <c r="O77" s="45">
        <v>81060</v>
      </c>
      <c r="P77" s="45"/>
      <c r="Q77" s="45">
        <f>88284+38014</f>
        <v>126298</v>
      </c>
      <c r="R77" s="45"/>
      <c r="S77" s="44">
        <f t="shared" si="1"/>
        <v>1250543</v>
      </c>
      <c r="T77" s="45"/>
      <c r="U77" s="45">
        <v>12164723</v>
      </c>
      <c r="V77" s="44"/>
      <c r="W77" s="45">
        <f>288195+6512736</f>
        <v>6800931</v>
      </c>
    </row>
    <row r="78" spans="1:23" s="116" customFormat="1" ht="12.75" customHeight="1">
      <c r="A78" s="44" t="s">
        <v>100</v>
      </c>
      <c r="C78" s="44" t="s">
        <v>27</v>
      </c>
      <c r="D78" s="35"/>
      <c r="E78" s="45">
        <v>6511494</v>
      </c>
      <c r="F78" s="45"/>
      <c r="G78" s="45">
        <v>25508186</v>
      </c>
      <c r="H78" s="45"/>
      <c r="I78" s="45">
        <v>72269</v>
      </c>
      <c r="J78" s="45"/>
      <c r="K78" s="45">
        <v>5011318</v>
      </c>
      <c r="L78" s="45"/>
      <c r="M78" s="45">
        <v>8544675</v>
      </c>
      <c r="N78" s="45"/>
      <c r="O78" s="45">
        <v>84684</v>
      </c>
      <c r="P78" s="45"/>
      <c r="Q78" s="45">
        <v>1843132</v>
      </c>
      <c r="R78" s="45"/>
      <c r="S78" s="44">
        <f t="shared" si="1"/>
        <v>1902169</v>
      </c>
      <c r="T78" s="45"/>
      <c r="U78" s="45">
        <v>49477927</v>
      </c>
      <c r="V78" s="44"/>
      <c r="W78" s="45">
        <f>825300+6846000+434981+40280+224113</f>
        <v>8370674</v>
      </c>
    </row>
    <row r="79" spans="1:23" s="116" customFormat="1" ht="12.75" customHeight="1">
      <c r="A79" s="44" t="s">
        <v>101</v>
      </c>
      <c r="C79" s="44" t="s">
        <v>30</v>
      </c>
      <c r="D79" s="35"/>
      <c r="E79" s="45">
        <v>14175271</v>
      </c>
      <c r="F79" s="45"/>
      <c r="G79" s="45">
        <v>0</v>
      </c>
      <c r="H79" s="45"/>
      <c r="I79" s="45">
        <v>0</v>
      </c>
      <c r="J79" s="45"/>
      <c r="K79" s="45">
        <v>1946954</v>
      </c>
      <c r="L79" s="45"/>
      <c r="M79" s="45">
        <v>5196126</v>
      </c>
      <c r="N79" s="45"/>
      <c r="O79" s="45">
        <v>477094</v>
      </c>
      <c r="P79" s="45"/>
      <c r="Q79" s="45">
        <v>1946954</v>
      </c>
      <c r="R79" s="45"/>
      <c r="S79" s="44">
        <f t="shared" si="1"/>
        <v>3335221</v>
      </c>
      <c r="T79" s="45"/>
      <c r="U79" s="45">
        <v>27077620</v>
      </c>
      <c r="V79" s="44"/>
      <c r="W79" s="45">
        <f>15237+465000+4127372</f>
        <v>4607609</v>
      </c>
    </row>
    <row r="80" spans="1:23" s="116" customFormat="1" ht="12.75" customHeight="1">
      <c r="A80" s="44" t="s">
        <v>102</v>
      </c>
      <c r="C80" s="44" t="s">
        <v>103</v>
      </c>
      <c r="D80" s="35"/>
      <c r="E80" s="45">
        <v>28828205</v>
      </c>
      <c r="F80" s="45"/>
      <c r="G80" s="45">
        <v>0</v>
      </c>
      <c r="H80" s="45"/>
      <c r="I80" s="45">
        <v>0</v>
      </c>
      <c r="J80" s="45"/>
      <c r="K80" s="45">
        <v>1962620</v>
      </c>
      <c r="L80" s="45"/>
      <c r="M80" s="45">
        <v>6767796</v>
      </c>
      <c r="N80" s="45"/>
      <c r="O80" s="45">
        <v>253763</v>
      </c>
      <c r="P80" s="45"/>
      <c r="Q80" s="45">
        <v>2136564</v>
      </c>
      <c r="R80" s="45"/>
      <c r="S80" s="44">
        <f t="shared" ref="S80:S146" si="2">+U80-SUM(E80:Q80)</f>
        <v>1948239</v>
      </c>
      <c r="T80" s="45"/>
      <c r="U80" s="45">
        <v>41897187</v>
      </c>
      <c r="V80" s="44"/>
      <c r="W80" s="45">
        <v>0</v>
      </c>
    </row>
    <row r="81" spans="1:23" s="116" customFormat="1" ht="12.75" customHeight="1">
      <c r="A81" s="44" t="s">
        <v>104</v>
      </c>
      <c r="C81" s="44" t="s">
        <v>13</v>
      </c>
      <c r="D81" s="64"/>
      <c r="E81" s="45">
        <v>1092012</v>
      </c>
      <c r="F81" s="45"/>
      <c r="G81" s="45">
        <v>8271926</v>
      </c>
      <c r="H81" s="45"/>
      <c r="I81" s="45">
        <v>0</v>
      </c>
      <c r="J81" s="45"/>
      <c r="K81" s="45">
        <v>304766</v>
      </c>
      <c r="L81" s="45"/>
      <c r="M81" s="45">
        <v>1799332</v>
      </c>
      <c r="N81" s="45"/>
      <c r="O81" s="45">
        <v>320078</v>
      </c>
      <c r="P81" s="45"/>
      <c r="Q81" s="45">
        <f>167493+239531</f>
        <v>407024</v>
      </c>
      <c r="R81" s="45"/>
      <c r="S81" s="44">
        <f t="shared" si="2"/>
        <v>2824287</v>
      </c>
      <c r="T81" s="45"/>
      <c r="U81" s="45">
        <v>15019425</v>
      </c>
      <c r="V81" s="44"/>
      <c r="W81" s="45">
        <f>5726+930186</f>
        <v>935912</v>
      </c>
    </row>
    <row r="82" spans="1:23" s="116" customFormat="1" ht="12.75" customHeight="1">
      <c r="A82" s="44" t="s">
        <v>105</v>
      </c>
      <c r="C82" s="44" t="s">
        <v>27</v>
      </c>
      <c r="D82" s="35"/>
      <c r="E82" s="45">
        <v>4457182</v>
      </c>
      <c r="F82" s="45"/>
      <c r="G82" s="45">
        <v>6688225</v>
      </c>
      <c r="H82" s="45"/>
      <c r="I82" s="45">
        <v>0</v>
      </c>
      <c r="J82" s="45"/>
      <c r="K82" s="45">
        <v>630322</v>
      </c>
      <c r="L82" s="45"/>
      <c r="M82" s="45">
        <v>2014888</v>
      </c>
      <c r="N82" s="45"/>
      <c r="O82" s="45">
        <v>251996</v>
      </c>
      <c r="P82" s="45"/>
      <c r="Q82" s="45">
        <f>209573+630322</f>
        <v>839895</v>
      </c>
      <c r="R82" s="45"/>
      <c r="S82" s="44">
        <f t="shared" si="2"/>
        <v>374040</v>
      </c>
      <c r="T82" s="45"/>
      <c r="U82" s="45">
        <v>15256548</v>
      </c>
      <c r="V82" s="44"/>
      <c r="W82" s="45">
        <v>862634</v>
      </c>
    </row>
    <row r="83" spans="1:23" s="116" customFormat="1" ht="12.75" customHeight="1">
      <c r="A83" s="44" t="s">
        <v>106</v>
      </c>
      <c r="C83" s="44" t="s">
        <v>107</v>
      </c>
      <c r="D83" s="35"/>
      <c r="E83" s="45">
        <v>3170345</v>
      </c>
      <c r="F83" s="45"/>
      <c r="G83" s="45">
        <v>21043910</v>
      </c>
      <c r="H83" s="45"/>
      <c r="I83" s="45">
        <v>0</v>
      </c>
      <c r="J83" s="45"/>
      <c r="K83" s="45">
        <v>2053334</v>
      </c>
      <c r="L83" s="45"/>
      <c r="M83" s="45">
        <v>5363039</v>
      </c>
      <c r="N83" s="45"/>
      <c r="O83" s="45">
        <v>103550</v>
      </c>
      <c r="P83" s="45"/>
      <c r="Q83" s="45">
        <f>1239933+348671</f>
        <v>1588604</v>
      </c>
      <c r="R83" s="45"/>
      <c r="S83" s="44">
        <f t="shared" si="2"/>
        <v>2493635</v>
      </c>
      <c r="T83" s="45"/>
      <c r="U83" s="45">
        <v>35816417</v>
      </c>
      <c r="V83" s="44"/>
      <c r="W83" s="45">
        <f>69206+22021990</f>
        <v>22091196</v>
      </c>
    </row>
    <row r="84" spans="1:23" s="116" customFormat="1" ht="12.75" customHeight="1">
      <c r="A84" s="44" t="s">
        <v>108</v>
      </c>
      <c r="C84" s="44" t="s">
        <v>45</v>
      </c>
      <c r="D84" s="35"/>
      <c r="E84" s="45">
        <v>11875527</v>
      </c>
      <c r="F84" s="45"/>
      <c r="G84" s="45">
        <v>0</v>
      </c>
      <c r="H84" s="45"/>
      <c r="I84" s="45">
        <v>0</v>
      </c>
      <c r="J84" s="45"/>
      <c r="K84" s="45">
        <v>1100458</v>
      </c>
      <c r="L84" s="45"/>
      <c r="M84" s="45">
        <v>1854614</v>
      </c>
      <c r="N84" s="45"/>
      <c r="O84" s="45">
        <v>1515233</v>
      </c>
      <c r="P84" s="45"/>
      <c r="Q84" s="45">
        <v>362956</v>
      </c>
      <c r="R84" s="45"/>
      <c r="S84" s="44">
        <f t="shared" si="2"/>
        <v>790326</v>
      </c>
      <c r="T84" s="45"/>
      <c r="U84" s="45">
        <v>17499114</v>
      </c>
      <c r="V84" s="44"/>
      <c r="W84" s="45">
        <f>12276+1584006</f>
        <v>1596282</v>
      </c>
    </row>
    <row r="85" spans="1:23" s="118" customFormat="1" ht="12.75" customHeight="1">
      <c r="A85" s="44" t="s">
        <v>109</v>
      </c>
      <c r="C85" s="44" t="s">
        <v>110</v>
      </c>
      <c r="D85" s="35"/>
      <c r="E85" s="45">
        <v>975473</v>
      </c>
      <c r="F85" s="45"/>
      <c r="G85" s="45">
        <v>6056168</v>
      </c>
      <c r="H85" s="45"/>
      <c r="I85" s="45">
        <v>0</v>
      </c>
      <c r="J85" s="45"/>
      <c r="K85" s="45">
        <v>643801</v>
      </c>
      <c r="L85" s="45"/>
      <c r="M85" s="45">
        <v>1935351</v>
      </c>
      <c r="N85" s="45"/>
      <c r="O85" s="45">
        <v>55602</v>
      </c>
      <c r="P85" s="45"/>
      <c r="Q85" s="45">
        <v>65446</v>
      </c>
      <c r="R85" s="45"/>
      <c r="S85" s="44">
        <f t="shared" si="2"/>
        <v>700178</v>
      </c>
      <c r="T85" s="45"/>
      <c r="U85" s="45">
        <v>10432019</v>
      </c>
      <c r="V85" s="44"/>
      <c r="W85" s="45">
        <f>387137+29859+1341029</f>
        <v>1758025</v>
      </c>
    </row>
    <row r="86" spans="1:23" s="116" customFormat="1" ht="12.75" customHeight="1">
      <c r="A86" s="44" t="s">
        <v>43</v>
      </c>
      <c r="B86" s="118"/>
      <c r="C86" s="44" t="s">
        <v>111</v>
      </c>
      <c r="D86" s="35"/>
      <c r="E86" s="45">
        <v>1406763</v>
      </c>
      <c r="F86" s="45"/>
      <c r="G86" s="45">
        <v>5398222</v>
      </c>
      <c r="H86" s="45"/>
      <c r="I86" s="45">
        <v>0</v>
      </c>
      <c r="J86" s="45"/>
      <c r="K86" s="45">
        <v>223945</v>
      </c>
      <c r="L86" s="45"/>
      <c r="M86" s="45">
        <v>2261029</v>
      </c>
      <c r="N86" s="45"/>
      <c r="O86" s="45">
        <v>347421</v>
      </c>
      <c r="P86" s="45"/>
      <c r="Q86" s="45">
        <v>485236</v>
      </c>
      <c r="R86" s="45"/>
      <c r="S86" s="44">
        <f t="shared" si="2"/>
        <v>1005703</v>
      </c>
      <c r="T86" s="45"/>
      <c r="U86" s="45">
        <v>11128319</v>
      </c>
      <c r="V86" s="44"/>
      <c r="W86" s="45">
        <f>11096+775000+5122307</f>
        <v>5908403</v>
      </c>
    </row>
    <row r="87" spans="1:23" s="116" customFormat="1" ht="12.75" customHeight="1">
      <c r="A87" s="44" t="s">
        <v>112</v>
      </c>
      <c r="C87" s="44" t="s">
        <v>76</v>
      </c>
      <c r="D87" s="35"/>
      <c r="E87" s="45">
        <v>1159078</v>
      </c>
      <c r="F87" s="45"/>
      <c r="G87" s="45">
        <v>7622918</v>
      </c>
      <c r="H87" s="45"/>
      <c r="I87" s="45">
        <v>0</v>
      </c>
      <c r="J87" s="45"/>
      <c r="K87" s="45">
        <v>559812</v>
      </c>
      <c r="L87" s="45"/>
      <c r="M87" s="45">
        <v>3116968</v>
      </c>
      <c r="N87" s="45"/>
      <c r="O87" s="45">
        <v>148636</v>
      </c>
      <c r="P87" s="45"/>
      <c r="Q87" s="45">
        <f>8868+298786</f>
        <v>307654</v>
      </c>
      <c r="R87" s="45"/>
      <c r="S87" s="44">
        <f t="shared" si="2"/>
        <v>1328389</v>
      </c>
      <c r="T87" s="45"/>
      <c r="U87" s="45">
        <v>14243455</v>
      </c>
      <c r="V87" s="44"/>
      <c r="W87" s="45">
        <f>7925000+35405</f>
        <v>7960405</v>
      </c>
    </row>
    <row r="88" spans="1:23" s="116" customFormat="1" ht="12.75" customHeight="1">
      <c r="A88" s="44" t="s">
        <v>113</v>
      </c>
      <c r="C88" s="44" t="s">
        <v>43</v>
      </c>
      <c r="D88" s="35"/>
      <c r="E88" s="45">
        <v>2008773</v>
      </c>
      <c r="F88" s="45"/>
      <c r="G88" s="45">
        <v>14448528</v>
      </c>
      <c r="H88" s="45"/>
      <c r="I88" s="45">
        <v>2418256</v>
      </c>
      <c r="J88" s="45"/>
      <c r="K88" s="45">
        <v>3433226</v>
      </c>
      <c r="L88" s="45"/>
      <c r="M88" s="45">
        <v>6946721</v>
      </c>
      <c r="N88" s="45"/>
      <c r="O88" s="45">
        <v>0</v>
      </c>
      <c r="P88" s="45"/>
      <c r="Q88" s="45">
        <v>1231734</v>
      </c>
      <c r="R88" s="45"/>
      <c r="S88" s="44">
        <f t="shared" si="2"/>
        <v>4185216</v>
      </c>
      <c r="T88" s="45"/>
      <c r="U88" s="45">
        <v>34672454</v>
      </c>
      <c r="V88" s="44"/>
      <c r="W88" s="45">
        <v>8877917</v>
      </c>
    </row>
    <row r="89" spans="1:23" s="116" customFormat="1" ht="12.75" customHeight="1">
      <c r="A89" s="44" t="s">
        <v>493</v>
      </c>
      <c r="C89" s="44" t="s">
        <v>57</v>
      </c>
      <c r="D89" s="35"/>
      <c r="E89" s="45">
        <v>503855</v>
      </c>
      <c r="F89" s="45"/>
      <c r="G89" s="45">
        <v>4035955</v>
      </c>
      <c r="H89" s="45"/>
      <c r="I89" s="45">
        <v>0</v>
      </c>
      <c r="J89" s="45"/>
      <c r="K89" s="45">
        <v>1140733</v>
      </c>
      <c r="L89" s="45"/>
      <c r="M89" s="45">
        <v>1759118</v>
      </c>
      <c r="N89" s="45"/>
      <c r="O89" s="45">
        <v>0</v>
      </c>
      <c r="P89" s="45"/>
      <c r="Q89" s="45">
        <f>54517+36536</f>
        <v>91053</v>
      </c>
      <c r="R89" s="45"/>
      <c r="S89" s="44">
        <f>+U89-SUM(E89:Q89)</f>
        <v>1414128</v>
      </c>
      <c r="T89" s="45"/>
      <c r="U89" s="45">
        <v>8944842</v>
      </c>
      <c r="V89" s="44"/>
      <c r="W89" s="45">
        <f>62295+1197783</f>
        <v>1260078</v>
      </c>
    </row>
    <row r="90" spans="1:23" s="116" customFormat="1" ht="12.75" customHeight="1">
      <c r="A90" s="44" t="s">
        <v>114</v>
      </c>
      <c r="C90" s="44" t="s">
        <v>27</v>
      </c>
      <c r="D90" s="35"/>
      <c r="E90" s="45">
        <v>9795797</v>
      </c>
      <c r="F90" s="45"/>
      <c r="G90" s="45">
        <v>10188877</v>
      </c>
      <c r="H90" s="45"/>
      <c r="I90" s="45">
        <v>0</v>
      </c>
      <c r="J90" s="45"/>
      <c r="K90" s="45">
        <v>2278927</v>
      </c>
      <c r="L90" s="45"/>
      <c r="M90" s="45">
        <v>5497481</v>
      </c>
      <c r="N90" s="45"/>
      <c r="O90" s="45">
        <v>109083</v>
      </c>
      <c r="P90" s="45"/>
      <c r="Q90" s="45">
        <f>558432+905904</f>
        <v>1464336</v>
      </c>
      <c r="R90" s="45"/>
      <c r="S90" s="44">
        <f>+U90-SUM(E90:Q90)</f>
        <v>666184</v>
      </c>
      <c r="T90" s="45"/>
      <c r="U90" s="45">
        <v>30000685</v>
      </c>
      <c r="V90" s="44"/>
      <c r="W90" s="45">
        <f>3410000+93589+2761077</f>
        <v>6264666</v>
      </c>
    </row>
    <row r="91" spans="1:23" s="116" customFormat="1" ht="12.75" customHeight="1">
      <c r="A91" s="44" t="s">
        <v>115</v>
      </c>
      <c r="C91" s="44" t="s">
        <v>19</v>
      </c>
      <c r="D91" s="35"/>
      <c r="E91" s="45">
        <v>544502</v>
      </c>
      <c r="F91" s="45"/>
      <c r="G91" s="45">
        <v>2346587</v>
      </c>
      <c r="H91" s="45"/>
      <c r="I91" s="45">
        <v>0</v>
      </c>
      <c r="J91" s="45"/>
      <c r="K91" s="45">
        <v>387866</v>
      </c>
      <c r="L91" s="45"/>
      <c r="M91" s="45">
        <v>1021075</v>
      </c>
      <c r="N91" s="45"/>
      <c r="O91" s="45">
        <v>350344</v>
      </c>
      <c r="P91" s="45"/>
      <c r="Q91" s="45">
        <v>269212</v>
      </c>
      <c r="R91" s="45"/>
      <c r="S91" s="44">
        <f t="shared" si="2"/>
        <v>174421</v>
      </c>
      <c r="T91" s="45"/>
      <c r="U91" s="45">
        <v>5094007</v>
      </c>
      <c r="V91" s="44"/>
      <c r="W91" s="45">
        <f>201535+154751+824191</f>
        <v>1180477</v>
      </c>
    </row>
    <row r="92" spans="1:23" s="116" customFormat="1" ht="12.75" customHeight="1">
      <c r="A92" s="44" t="s">
        <v>116</v>
      </c>
      <c r="C92" s="44" t="s">
        <v>80</v>
      </c>
      <c r="D92" s="35"/>
      <c r="E92" s="45">
        <v>1053613</v>
      </c>
      <c r="F92" s="45"/>
      <c r="G92" s="45">
        <v>3619445</v>
      </c>
      <c r="H92" s="45"/>
      <c r="I92" s="45">
        <v>0</v>
      </c>
      <c r="J92" s="45"/>
      <c r="K92" s="45">
        <v>38238</v>
      </c>
      <c r="L92" s="45"/>
      <c r="M92" s="45">
        <v>2759848</v>
      </c>
      <c r="N92" s="45"/>
      <c r="O92" s="45">
        <v>14947</v>
      </c>
      <c r="P92" s="45"/>
      <c r="Q92" s="45">
        <v>1519176</v>
      </c>
      <c r="R92" s="45"/>
      <c r="S92" s="44">
        <f>+U92-SUM(E92:Q92)</f>
        <v>385203</v>
      </c>
      <c r="T92" s="45"/>
      <c r="U92" s="45">
        <v>9390470</v>
      </c>
      <c r="V92" s="44"/>
      <c r="W92" s="45">
        <v>0</v>
      </c>
    </row>
    <row r="93" spans="1:23" s="116" customFormat="1" ht="12.75" customHeight="1">
      <c r="A93" s="44" t="s">
        <v>117</v>
      </c>
      <c r="C93" s="44" t="s">
        <v>43</v>
      </c>
      <c r="D93" s="35"/>
      <c r="E93" s="45">
        <v>1608430</v>
      </c>
      <c r="F93" s="45"/>
      <c r="G93" s="45">
        <v>5559384</v>
      </c>
      <c r="H93" s="45"/>
      <c r="I93" s="45">
        <v>0</v>
      </c>
      <c r="J93" s="45"/>
      <c r="K93" s="45">
        <v>1092531</v>
      </c>
      <c r="L93" s="45"/>
      <c r="M93" s="45">
        <v>1338216</v>
      </c>
      <c r="N93" s="45"/>
      <c r="O93" s="45">
        <v>0</v>
      </c>
      <c r="P93" s="45"/>
      <c r="Q93" s="45">
        <f>126555+99004</f>
        <v>225559</v>
      </c>
      <c r="R93" s="45"/>
      <c r="S93" s="44">
        <f>+U93-SUM(E93:Q93)</f>
        <v>468615</v>
      </c>
      <c r="T93" s="45"/>
      <c r="U93" s="45">
        <v>10292735</v>
      </c>
      <c r="V93" s="44"/>
      <c r="W93" s="45">
        <f>638412+9675</f>
        <v>648087</v>
      </c>
    </row>
    <row r="94" spans="1:23" s="116" customFormat="1" ht="12.75" customHeight="1">
      <c r="A94" s="46" t="s">
        <v>118</v>
      </c>
      <c r="B94" s="117"/>
      <c r="C94" s="46" t="s">
        <v>13</v>
      </c>
      <c r="D94" s="35"/>
      <c r="E94" s="45">
        <v>1845332</v>
      </c>
      <c r="F94" s="45"/>
      <c r="G94" s="45">
        <v>16413284</v>
      </c>
      <c r="H94" s="45"/>
      <c r="I94" s="45">
        <v>303151</v>
      </c>
      <c r="J94" s="45"/>
      <c r="K94" s="45">
        <v>811933</v>
      </c>
      <c r="L94" s="45"/>
      <c r="M94" s="45">
        <v>6279707</v>
      </c>
      <c r="N94" s="45"/>
      <c r="O94" s="45">
        <v>30704</v>
      </c>
      <c r="P94" s="45"/>
      <c r="Q94" s="45">
        <v>502386</v>
      </c>
      <c r="R94" s="45"/>
      <c r="S94" s="44">
        <f t="shared" si="2"/>
        <v>2125069</v>
      </c>
      <c r="T94" s="45"/>
      <c r="U94" s="45">
        <v>28311566</v>
      </c>
      <c r="V94" s="44"/>
      <c r="W94" s="45">
        <v>0</v>
      </c>
    </row>
    <row r="95" spans="1:23" s="116" customFormat="1" ht="12.75" customHeight="1">
      <c r="A95" s="44" t="s">
        <v>120</v>
      </c>
      <c r="C95" s="44" t="s">
        <v>121</v>
      </c>
      <c r="D95" s="35"/>
      <c r="E95" s="45">
        <v>1556775</v>
      </c>
      <c r="F95" s="45"/>
      <c r="G95" s="45">
        <v>5873385</v>
      </c>
      <c r="H95" s="45"/>
      <c r="I95" s="45">
        <v>0</v>
      </c>
      <c r="J95" s="45"/>
      <c r="K95" s="45">
        <v>407411</v>
      </c>
      <c r="L95" s="45"/>
      <c r="M95" s="45">
        <v>3621927</v>
      </c>
      <c r="N95" s="45"/>
      <c r="O95" s="45">
        <v>4716</v>
      </c>
      <c r="P95" s="45"/>
      <c r="Q95" s="45">
        <v>232989</v>
      </c>
      <c r="R95" s="45"/>
      <c r="S95" s="44">
        <f t="shared" si="2"/>
        <v>437726</v>
      </c>
      <c r="T95" s="45"/>
      <c r="U95" s="45">
        <v>12134929</v>
      </c>
      <c r="V95" s="44"/>
      <c r="W95" s="45">
        <v>1114226</v>
      </c>
    </row>
    <row r="96" spans="1:23" s="116" customFormat="1" ht="12.75" customHeight="1">
      <c r="A96" s="44" t="s">
        <v>122</v>
      </c>
      <c r="C96" s="44" t="s">
        <v>43</v>
      </c>
      <c r="D96" s="35"/>
      <c r="E96" s="45">
        <v>3010739</v>
      </c>
      <c r="F96" s="45"/>
      <c r="G96" s="45">
        <v>17339360</v>
      </c>
      <c r="H96" s="45"/>
      <c r="I96" s="45">
        <v>2202738</v>
      </c>
      <c r="J96" s="45"/>
      <c r="K96" s="45">
        <v>1539747</v>
      </c>
      <c r="L96" s="45"/>
      <c r="M96" s="45">
        <v>5252502</v>
      </c>
      <c r="N96" s="45"/>
      <c r="O96" s="45">
        <v>76498</v>
      </c>
      <c r="P96" s="45"/>
      <c r="Q96" s="45">
        <v>1149727</v>
      </c>
      <c r="R96" s="45"/>
      <c r="S96" s="44">
        <f t="shared" si="2"/>
        <v>2793712</v>
      </c>
      <c r="T96" s="45"/>
      <c r="U96" s="45">
        <v>33365023</v>
      </c>
      <c r="V96" s="44"/>
      <c r="W96" s="45">
        <v>437761</v>
      </c>
    </row>
    <row r="97" spans="1:23" s="116" customFormat="1" ht="12.75" customHeight="1">
      <c r="A97" s="44" t="s">
        <v>45</v>
      </c>
      <c r="C97" s="44" t="s">
        <v>103</v>
      </c>
      <c r="D97" s="35"/>
      <c r="E97" s="45">
        <v>9303001</v>
      </c>
      <c r="F97" s="45"/>
      <c r="G97" s="45">
        <v>23174357</v>
      </c>
      <c r="H97" s="45"/>
      <c r="I97" s="45">
        <v>0</v>
      </c>
      <c r="J97" s="45"/>
      <c r="K97" s="45">
        <v>11663269</v>
      </c>
      <c r="L97" s="45"/>
      <c r="M97" s="45">
        <v>12114525</v>
      </c>
      <c r="N97" s="45"/>
      <c r="O97" s="45">
        <v>579531</v>
      </c>
      <c r="P97" s="45"/>
      <c r="Q97" s="45">
        <v>2787572</v>
      </c>
      <c r="R97" s="45"/>
      <c r="S97" s="44">
        <f t="shared" si="2"/>
        <v>2625387</v>
      </c>
      <c r="T97" s="45"/>
      <c r="U97" s="45">
        <v>62247642</v>
      </c>
      <c r="V97" s="44"/>
      <c r="W97" s="45">
        <v>1452495</v>
      </c>
    </row>
    <row r="98" spans="1:23" s="116" customFormat="1" ht="12.75" customHeight="1">
      <c r="A98" s="44" t="s">
        <v>123</v>
      </c>
      <c r="C98" s="44" t="s">
        <v>45</v>
      </c>
      <c r="D98" s="35"/>
      <c r="E98" s="45">
        <v>2413231</v>
      </c>
      <c r="F98" s="45"/>
      <c r="G98" s="45">
        <v>2886028</v>
      </c>
      <c r="H98" s="45"/>
      <c r="I98" s="45">
        <v>0</v>
      </c>
      <c r="J98" s="45"/>
      <c r="K98" s="45">
        <v>750671</v>
      </c>
      <c r="L98" s="45"/>
      <c r="M98" s="45">
        <v>1431545</v>
      </c>
      <c r="N98" s="45"/>
      <c r="O98" s="45">
        <v>0</v>
      </c>
      <c r="P98" s="45"/>
      <c r="Q98" s="45">
        <v>354166</v>
      </c>
      <c r="R98" s="45"/>
      <c r="S98" s="44">
        <f t="shared" si="2"/>
        <v>472704</v>
      </c>
      <c r="T98" s="45"/>
      <c r="U98" s="45">
        <v>8308345</v>
      </c>
      <c r="V98" s="44"/>
      <c r="W98" s="45">
        <v>1274409</v>
      </c>
    </row>
    <row r="99" spans="1:23" s="116" customFormat="1" ht="12.75" customHeight="1">
      <c r="A99" s="44" t="s">
        <v>124</v>
      </c>
      <c r="C99" s="44" t="s">
        <v>125</v>
      </c>
      <c r="D99" s="35"/>
      <c r="E99" s="45">
        <v>6511364</v>
      </c>
      <c r="F99" s="45"/>
      <c r="G99" s="45">
        <v>0</v>
      </c>
      <c r="H99" s="45"/>
      <c r="I99" s="45">
        <v>0</v>
      </c>
      <c r="J99" s="45"/>
      <c r="K99" s="45">
        <v>951735</v>
      </c>
      <c r="L99" s="45"/>
      <c r="M99" s="45">
        <v>2019146</v>
      </c>
      <c r="N99" s="45"/>
      <c r="O99" s="45">
        <v>0</v>
      </c>
      <c r="P99" s="45"/>
      <c r="Q99" s="45">
        <v>112289</v>
      </c>
      <c r="R99" s="45"/>
      <c r="S99" s="44">
        <f t="shared" si="2"/>
        <v>750618</v>
      </c>
      <c r="T99" s="45"/>
      <c r="U99" s="45">
        <v>10345152</v>
      </c>
      <c r="V99" s="44"/>
      <c r="W99" s="45">
        <v>215450</v>
      </c>
    </row>
    <row r="100" spans="1:23" s="116" customFormat="1" ht="12.75" customHeight="1">
      <c r="A100" s="44" t="s">
        <v>126</v>
      </c>
      <c r="C100" s="44" t="s">
        <v>27</v>
      </c>
      <c r="D100" s="35"/>
      <c r="E100" s="45">
        <v>1509896</v>
      </c>
      <c r="F100" s="45"/>
      <c r="G100" s="45">
        <v>9782434</v>
      </c>
      <c r="H100" s="45"/>
      <c r="I100" s="45">
        <v>79222</v>
      </c>
      <c r="J100" s="45"/>
      <c r="K100" s="45">
        <v>555461</v>
      </c>
      <c r="L100" s="45"/>
      <c r="M100" s="45">
        <v>969956</v>
      </c>
      <c r="N100" s="45"/>
      <c r="O100" s="45">
        <v>1147007</v>
      </c>
      <c r="P100" s="45"/>
      <c r="Q100" s="45">
        <v>424990</v>
      </c>
      <c r="R100" s="45"/>
      <c r="S100" s="44">
        <f t="shared" si="2"/>
        <v>429491</v>
      </c>
      <c r="T100" s="45"/>
      <c r="U100" s="45">
        <v>14898457</v>
      </c>
      <c r="V100" s="44"/>
      <c r="W100" s="45">
        <v>815</v>
      </c>
    </row>
    <row r="101" spans="1:23" s="116" customFormat="1" ht="12.75" customHeight="1">
      <c r="A101" s="44" t="s">
        <v>127</v>
      </c>
      <c r="C101" s="44" t="s">
        <v>43</v>
      </c>
      <c r="D101" s="35"/>
      <c r="E101" s="45">
        <v>1905010</v>
      </c>
      <c r="F101" s="45"/>
      <c r="G101" s="45">
        <v>15780108</v>
      </c>
      <c r="H101" s="45"/>
      <c r="I101" s="45">
        <v>2869280</v>
      </c>
      <c r="J101" s="45"/>
      <c r="K101" s="45">
        <v>3610180</v>
      </c>
      <c r="L101" s="45"/>
      <c r="M101" s="45">
        <v>3189358</v>
      </c>
      <c r="N101" s="45"/>
      <c r="O101" s="45">
        <v>91765</v>
      </c>
      <c r="P101" s="45"/>
      <c r="Q101" s="45">
        <v>1128102</v>
      </c>
      <c r="R101" s="45"/>
      <c r="S101" s="44">
        <f t="shared" si="2"/>
        <v>1502402</v>
      </c>
      <c r="T101" s="45"/>
      <c r="U101" s="45">
        <v>30076205</v>
      </c>
      <c r="V101" s="44"/>
      <c r="W101" s="45">
        <v>4824334</v>
      </c>
    </row>
    <row r="102" spans="1:23" s="116" customFormat="1" ht="12.75" customHeight="1">
      <c r="A102" s="44" t="s">
        <v>128</v>
      </c>
      <c r="C102" s="44" t="s">
        <v>119</v>
      </c>
      <c r="D102" s="35"/>
      <c r="E102" s="45">
        <v>4103480</v>
      </c>
      <c r="F102" s="45"/>
      <c r="G102" s="45">
        <v>0</v>
      </c>
      <c r="H102" s="45"/>
      <c r="I102" s="45">
        <v>0</v>
      </c>
      <c r="J102" s="45"/>
      <c r="K102" s="45">
        <v>497262</v>
      </c>
      <c r="L102" s="45"/>
      <c r="M102" s="45">
        <v>1103131</v>
      </c>
      <c r="N102" s="45"/>
      <c r="O102" s="45">
        <v>0</v>
      </c>
      <c r="P102" s="45"/>
      <c r="Q102" s="45">
        <f>49428+404151</f>
        <v>453579</v>
      </c>
      <c r="R102" s="45"/>
      <c r="S102" s="44">
        <f t="shared" si="2"/>
        <v>429435</v>
      </c>
      <c r="T102" s="45"/>
      <c r="U102" s="45">
        <v>6586887</v>
      </c>
      <c r="V102" s="44"/>
      <c r="W102" s="45">
        <f>804069+700000+300357</f>
        <v>1804426</v>
      </c>
    </row>
    <row r="103" spans="1:23" s="116" customFormat="1" ht="12.75" customHeight="1">
      <c r="A103" s="44" t="s">
        <v>129</v>
      </c>
      <c r="C103" s="44" t="s">
        <v>80</v>
      </c>
      <c r="D103" s="35"/>
      <c r="E103" s="45">
        <v>373245</v>
      </c>
      <c r="F103" s="45"/>
      <c r="G103" s="45">
        <v>2066829</v>
      </c>
      <c r="H103" s="45"/>
      <c r="I103" s="45">
        <v>0</v>
      </c>
      <c r="J103" s="45"/>
      <c r="K103" s="45">
        <v>4114</v>
      </c>
      <c r="L103" s="45"/>
      <c r="M103" s="45">
        <v>947202</v>
      </c>
      <c r="N103" s="45"/>
      <c r="O103" s="45">
        <v>0</v>
      </c>
      <c r="P103" s="45"/>
      <c r="Q103" s="45">
        <v>111154</v>
      </c>
      <c r="R103" s="45"/>
      <c r="S103" s="44">
        <f t="shared" si="2"/>
        <v>404531</v>
      </c>
      <c r="T103" s="45"/>
      <c r="U103" s="45">
        <v>3907075</v>
      </c>
      <c r="V103" s="44"/>
      <c r="W103" s="45">
        <v>0</v>
      </c>
    </row>
    <row r="104" spans="1:23" s="116" customFormat="1" ht="12.75" customHeight="1">
      <c r="A104" s="44" t="s">
        <v>130</v>
      </c>
      <c r="B104" s="118"/>
      <c r="C104" s="44" t="s">
        <v>66</v>
      </c>
      <c r="D104" s="35"/>
      <c r="E104" s="45">
        <v>4200124</v>
      </c>
      <c r="F104" s="45"/>
      <c r="G104" s="45">
        <v>15119538</v>
      </c>
      <c r="H104" s="45"/>
      <c r="I104" s="45">
        <v>774914</v>
      </c>
      <c r="J104" s="45"/>
      <c r="K104" s="45">
        <v>1041625</v>
      </c>
      <c r="L104" s="45"/>
      <c r="M104" s="45">
        <v>3821179</v>
      </c>
      <c r="N104" s="45"/>
      <c r="O104" s="45">
        <v>835013</v>
      </c>
      <c r="P104" s="45"/>
      <c r="Q104" s="45">
        <v>187608</v>
      </c>
      <c r="R104" s="45"/>
      <c r="S104" s="44">
        <f t="shared" si="2"/>
        <v>1787148</v>
      </c>
      <c r="T104" s="45"/>
      <c r="U104" s="45">
        <v>27767149</v>
      </c>
      <c r="V104" s="44"/>
      <c r="W104" s="45">
        <v>5327504</v>
      </c>
    </row>
    <row r="105" spans="1:23" s="116" customFormat="1" ht="12.75" customHeight="1">
      <c r="A105" s="44" t="s">
        <v>131</v>
      </c>
      <c r="C105" s="44" t="s">
        <v>13</v>
      </c>
      <c r="D105" s="35"/>
      <c r="E105" s="45">
        <v>4194001</v>
      </c>
      <c r="F105" s="45"/>
      <c r="G105" s="45">
        <v>17037006</v>
      </c>
      <c r="H105" s="45"/>
      <c r="I105" s="45">
        <v>0</v>
      </c>
      <c r="J105" s="45"/>
      <c r="K105" s="45">
        <v>1512998</v>
      </c>
      <c r="L105" s="45"/>
      <c r="M105" s="45">
        <v>5442675</v>
      </c>
      <c r="N105" s="45"/>
      <c r="O105" s="45">
        <v>267619</v>
      </c>
      <c r="P105" s="45"/>
      <c r="Q105" s="45">
        <v>108462</v>
      </c>
      <c r="R105" s="45"/>
      <c r="S105" s="44">
        <f t="shared" si="2"/>
        <v>2900445</v>
      </c>
      <c r="T105" s="45"/>
      <c r="U105" s="45">
        <v>31463206</v>
      </c>
      <c r="V105" s="44"/>
      <c r="W105" s="45">
        <v>0</v>
      </c>
    </row>
    <row r="106" spans="1:23" s="116" customFormat="1" ht="12.75" customHeight="1">
      <c r="A106" s="44" t="s">
        <v>38</v>
      </c>
      <c r="C106" s="44" t="s">
        <v>132</v>
      </c>
      <c r="D106" s="35"/>
      <c r="E106" s="45">
        <v>822379</v>
      </c>
      <c r="F106" s="45"/>
      <c r="G106" s="45">
        <v>2218423</v>
      </c>
      <c r="H106" s="45"/>
      <c r="I106" s="45">
        <v>20537</v>
      </c>
      <c r="J106" s="45"/>
      <c r="K106" s="45">
        <v>1601249</v>
      </c>
      <c r="L106" s="45"/>
      <c r="M106" s="45">
        <v>1073856</v>
      </c>
      <c r="N106" s="45"/>
      <c r="O106" s="45">
        <v>229335</v>
      </c>
      <c r="P106" s="45"/>
      <c r="Q106" s="45">
        <v>427751</v>
      </c>
      <c r="R106" s="45"/>
      <c r="S106" s="44">
        <f t="shared" si="2"/>
        <v>309378</v>
      </c>
      <c r="T106" s="45"/>
      <c r="U106" s="45">
        <v>6702908</v>
      </c>
      <c r="V106" s="44"/>
      <c r="W106" s="45">
        <v>32715</v>
      </c>
    </row>
    <row r="107" spans="1:23" s="116" customFormat="1" ht="12.75" customHeight="1">
      <c r="A107" s="44" t="s">
        <v>133</v>
      </c>
      <c r="C107" s="44" t="s">
        <v>27</v>
      </c>
      <c r="D107" s="35"/>
      <c r="E107" s="45">
        <v>2551186</v>
      </c>
      <c r="F107" s="45"/>
      <c r="G107" s="45">
        <v>23163526</v>
      </c>
      <c r="H107" s="45"/>
      <c r="I107" s="45">
        <v>0</v>
      </c>
      <c r="J107" s="45"/>
      <c r="K107" s="45">
        <v>12211</v>
      </c>
      <c r="L107" s="45"/>
      <c r="M107" s="45">
        <v>1250351</v>
      </c>
      <c r="N107" s="45"/>
      <c r="O107" s="45">
        <v>88289</v>
      </c>
      <c r="P107" s="45"/>
      <c r="Q107" s="45">
        <v>1008477</v>
      </c>
      <c r="R107" s="45"/>
      <c r="S107" s="44">
        <f t="shared" si="2"/>
        <v>2172593</v>
      </c>
      <c r="T107" s="45"/>
      <c r="U107" s="45">
        <v>30246633</v>
      </c>
      <c r="V107" s="44"/>
      <c r="W107" s="45">
        <v>0</v>
      </c>
    </row>
    <row r="108" spans="1:23" s="116" customFormat="1" ht="12.75" customHeight="1">
      <c r="A108" s="44" t="s">
        <v>483</v>
      </c>
      <c r="C108" s="44" t="s">
        <v>45</v>
      </c>
      <c r="D108" s="35"/>
      <c r="E108" s="45">
        <v>807244</v>
      </c>
      <c r="F108" s="45"/>
      <c r="G108" s="45">
        <v>8212640</v>
      </c>
      <c r="H108" s="45"/>
      <c r="I108" s="45">
        <v>0</v>
      </c>
      <c r="J108" s="45"/>
      <c r="K108" s="45">
        <v>374302</v>
      </c>
      <c r="L108" s="45"/>
      <c r="M108" s="45">
        <v>9667024</v>
      </c>
      <c r="N108" s="45"/>
      <c r="O108" s="45">
        <v>0</v>
      </c>
      <c r="P108" s="45"/>
      <c r="Q108" s="45">
        <v>962810</v>
      </c>
      <c r="R108" s="45"/>
      <c r="S108" s="44">
        <f t="shared" si="2"/>
        <v>71071</v>
      </c>
      <c r="T108" s="45"/>
      <c r="U108" s="45">
        <v>20095091</v>
      </c>
      <c r="V108" s="44"/>
      <c r="W108" s="45">
        <v>0</v>
      </c>
    </row>
    <row r="109" spans="1:23" s="116" customFormat="1" ht="12.75" customHeight="1">
      <c r="A109" s="44" t="s">
        <v>134</v>
      </c>
      <c r="C109" s="44" t="s">
        <v>135</v>
      </c>
      <c r="D109" s="35"/>
      <c r="E109" s="45">
        <v>2294159</v>
      </c>
      <c r="F109" s="45"/>
      <c r="G109" s="45">
        <v>0</v>
      </c>
      <c r="H109" s="45"/>
      <c r="I109" s="45">
        <v>0</v>
      </c>
      <c r="J109" s="45"/>
      <c r="K109" s="45">
        <v>865903</v>
      </c>
      <c r="L109" s="45"/>
      <c r="M109" s="45">
        <v>1814584</v>
      </c>
      <c r="N109" s="45"/>
      <c r="O109" s="45">
        <v>3480</v>
      </c>
      <c r="P109" s="45"/>
      <c r="Q109" s="45">
        <v>816069</v>
      </c>
      <c r="R109" s="45"/>
      <c r="S109" s="44">
        <f t="shared" si="2"/>
        <v>483007</v>
      </c>
      <c r="T109" s="45"/>
      <c r="U109" s="45">
        <v>6277202</v>
      </c>
      <c r="V109" s="44"/>
      <c r="W109" s="45">
        <v>513372</v>
      </c>
    </row>
    <row r="110" spans="1:23" s="116" customFormat="1" ht="12.75" customHeight="1">
      <c r="A110" s="44" t="s">
        <v>136</v>
      </c>
      <c r="C110" s="44" t="s">
        <v>136</v>
      </c>
      <c r="D110" s="35"/>
      <c r="E110" s="45">
        <v>678436</v>
      </c>
      <c r="F110" s="45"/>
      <c r="G110" s="45">
        <v>0</v>
      </c>
      <c r="H110" s="45"/>
      <c r="I110" s="45">
        <v>773771</v>
      </c>
      <c r="J110" s="45"/>
      <c r="K110" s="45">
        <v>1487962</v>
      </c>
      <c r="L110" s="45"/>
      <c r="M110" s="45">
        <v>1507276</v>
      </c>
      <c r="N110" s="45"/>
      <c r="O110" s="45">
        <v>0</v>
      </c>
      <c r="P110" s="45"/>
      <c r="Q110" s="45">
        <v>162228</v>
      </c>
      <c r="R110" s="45"/>
      <c r="S110" s="44">
        <f t="shared" si="2"/>
        <v>1185934</v>
      </c>
      <c r="T110" s="45"/>
      <c r="U110" s="45">
        <v>5795607</v>
      </c>
      <c r="V110" s="44"/>
      <c r="W110" s="45">
        <v>18100</v>
      </c>
    </row>
    <row r="111" spans="1:23" s="116" customFormat="1" ht="12.75" customHeight="1">
      <c r="A111" s="44" t="s">
        <v>137</v>
      </c>
      <c r="C111" s="44" t="s">
        <v>22</v>
      </c>
      <c r="D111" s="35"/>
      <c r="E111" s="45">
        <v>3268463</v>
      </c>
      <c r="F111" s="45"/>
      <c r="G111" s="45">
        <v>10564245</v>
      </c>
      <c r="H111" s="45"/>
      <c r="I111" s="45">
        <v>0</v>
      </c>
      <c r="J111" s="45"/>
      <c r="K111" s="45">
        <v>1727130</v>
      </c>
      <c r="L111" s="45"/>
      <c r="M111" s="45">
        <v>4406113</v>
      </c>
      <c r="N111" s="45"/>
      <c r="O111" s="45">
        <v>206943</v>
      </c>
      <c r="P111" s="45"/>
      <c r="Q111" s="45">
        <v>460673</v>
      </c>
      <c r="R111" s="45"/>
      <c r="S111" s="44">
        <f t="shared" si="2"/>
        <v>1355871</v>
      </c>
      <c r="T111" s="45"/>
      <c r="U111" s="45">
        <v>21989438</v>
      </c>
      <c r="V111" s="44"/>
      <c r="W111" s="45">
        <v>86375</v>
      </c>
    </row>
    <row r="112" spans="1:23" s="152" customFormat="1" ht="12.75" hidden="1" customHeight="1">
      <c r="A112" s="137" t="s">
        <v>138</v>
      </c>
      <c r="C112" s="137" t="s">
        <v>139</v>
      </c>
      <c r="D112" s="142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37">
        <f t="shared" si="2"/>
        <v>0</v>
      </c>
      <c r="T112" s="143"/>
      <c r="U112" s="143"/>
      <c r="V112" s="137"/>
      <c r="W112" s="143"/>
    </row>
    <row r="113" spans="1:23" s="116" customFormat="1" ht="12.75" customHeight="1">
      <c r="A113" s="44" t="s">
        <v>140</v>
      </c>
      <c r="C113" s="44" t="s">
        <v>66</v>
      </c>
      <c r="D113" s="35"/>
      <c r="E113" s="45">
        <v>9341465</v>
      </c>
      <c r="F113" s="45"/>
      <c r="G113" s="45">
        <v>37128614</v>
      </c>
      <c r="H113" s="45"/>
      <c r="I113" s="45">
        <v>0</v>
      </c>
      <c r="J113" s="45"/>
      <c r="K113" s="45">
        <v>7517918</v>
      </c>
      <c r="L113" s="45"/>
      <c r="M113" s="45">
        <v>11238227</v>
      </c>
      <c r="N113" s="45"/>
      <c r="O113" s="45">
        <v>978014</v>
      </c>
      <c r="P113" s="45"/>
      <c r="Q113" s="45">
        <v>2487478</v>
      </c>
      <c r="R113" s="45"/>
      <c r="S113" s="44">
        <f t="shared" si="2"/>
        <v>4644205</v>
      </c>
      <c r="T113" s="45"/>
      <c r="U113" s="45">
        <v>73335921</v>
      </c>
      <c r="V113" s="44"/>
      <c r="W113" s="45">
        <f>8733378+110201</f>
        <v>8843579</v>
      </c>
    </row>
    <row r="114" spans="1:23" s="116" customFormat="1" ht="12.75" customHeight="1">
      <c r="A114" s="44" t="s">
        <v>480</v>
      </c>
      <c r="C114" s="44" t="s">
        <v>92</v>
      </c>
      <c r="D114" s="35"/>
      <c r="E114" s="45">
        <v>1485333</v>
      </c>
      <c r="F114" s="45"/>
      <c r="G114" s="45">
        <v>2669484</v>
      </c>
      <c r="H114" s="45"/>
      <c r="I114" s="45">
        <v>0</v>
      </c>
      <c r="J114" s="45"/>
      <c r="K114" s="45">
        <v>176300</v>
      </c>
      <c r="L114" s="45"/>
      <c r="M114" s="45">
        <v>1627796</v>
      </c>
      <c r="N114" s="45"/>
      <c r="O114" s="45">
        <v>0</v>
      </c>
      <c r="P114" s="45"/>
      <c r="Q114" s="45">
        <v>50093</v>
      </c>
      <c r="R114" s="45"/>
      <c r="S114" s="44">
        <f t="shared" si="2"/>
        <v>427826</v>
      </c>
      <c r="T114" s="45"/>
      <c r="U114" s="45">
        <v>6436832</v>
      </c>
      <c r="V114" s="44"/>
      <c r="W114" s="45">
        <v>50000</v>
      </c>
    </row>
    <row r="115" spans="1:23" s="116" customFormat="1" ht="12.75" customHeight="1">
      <c r="A115" s="44" t="s">
        <v>141</v>
      </c>
      <c r="C115" s="44" t="s">
        <v>27</v>
      </c>
      <c r="D115" s="35"/>
      <c r="E115" s="45">
        <v>13502272</v>
      </c>
      <c r="F115" s="45"/>
      <c r="G115" s="45">
        <v>18143485</v>
      </c>
      <c r="H115" s="45"/>
      <c r="I115" s="45">
        <v>368523</v>
      </c>
      <c r="J115" s="45"/>
      <c r="K115" s="45">
        <v>3494517</v>
      </c>
      <c r="L115" s="45"/>
      <c r="M115" s="45">
        <v>13239249</v>
      </c>
      <c r="N115" s="45"/>
      <c r="O115" s="45">
        <v>123219</v>
      </c>
      <c r="P115" s="45"/>
      <c r="Q115" s="45">
        <f>1458771+2035413</f>
        <v>3494184</v>
      </c>
      <c r="R115" s="45"/>
      <c r="S115" s="44">
        <f t="shared" si="2"/>
        <v>1511625</v>
      </c>
      <c r="T115" s="45"/>
      <c r="U115" s="45">
        <v>53877074</v>
      </c>
      <c r="V115" s="44"/>
      <c r="W115" s="45">
        <f>10520000+5374000+57987+1375314+3631000</f>
        <v>20958301</v>
      </c>
    </row>
    <row r="116" spans="1:23" s="116" customFormat="1" ht="12.75" customHeight="1">
      <c r="A116" s="44" t="s">
        <v>142</v>
      </c>
      <c r="C116" s="44" t="s">
        <v>102</v>
      </c>
      <c r="D116" s="35"/>
      <c r="E116" s="45">
        <v>18767446</v>
      </c>
      <c r="F116" s="45"/>
      <c r="G116" s="45">
        <v>0</v>
      </c>
      <c r="H116" s="45"/>
      <c r="I116" s="45">
        <v>0</v>
      </c>
      <c r="J116" s="45"/>
      <c r="K116" s="45">
        <v>4710409</v>
      </c>
      <c r="L116" s="45"/>
      <c r="M116" s="45">
        <v>8513743</v>
      </c>
      <c r="N116" s="45"/>
      <c r="O116" s="45">
        <v>140058</v>
      </c>
      <c r="P116" s="45"/>
      <c r="Q116" s="45">
        <v>1562300</v>
      </c>
      <c r="R116" s="45"/>
      <c r="S116" s="44">
        <f>+U116-SUM(E116:Q116)</f>
        <v>2541520</v>
      </c>
      <c r="T116" s="45"/>
      <c r="U116" s="45">
        <v>36235476</v>
      </c>
      <c r="V116" s="44"/>
      <c r="W116" s="45">
        <v>1551585</v>
      </c>
    </row>
    <row r="117" spans="1:23" s="116" customFormat="1" ht="12.75" customHeight="1">
      <c r="A117" s="44" t="s">
        <v>143</v>
      </c>
      <c r="C117" s="44" t="s">
        <v>111</v>
      </c>
      <c r="D117" s="35"/>
      <c r="E117" s="45">
        <v>3536738</v>
      </c>
      <c r="F117" s="45"/>
      <c r="G117" s="45">
        <v>5988089</v>
      </c>
      <c r="H117" s="45"/>
      <c r="I117" s="45">
        <v>2466595</v>
      </c>
      <c r="J117" s="45"/>
      <c r="K117" s="45">
        <v>2154757</v>
      </c>
      <c r="L117" s="45"/>
      <c r="M117" s="45">
        <v>3042013</v>
      </c>
      <c r="N117" s="45"/>
      <c r="O117" s="45">
        <v>89412</v>
      </c>
      <c r="P117" s="45"/>
      <c r="Q117" s="45">
        <v>891574</v>
      </c>
      <c r="R117" s="45"/>
      <c r="S117" s="44">
        <f t="shared" si="2"/>
        <v>1310523</v>
      </c>
      <c r="T117" s="45"/>
      <c r="U117" s="45">
        <v>19479701</v>
      </c>
      <c r="V117" s="44"/>
      <c r="W117" s="45">
        <v>1708897</v>
      </c>
    </row>
    <row r="118" spans="1:23" s="116" customFormat="1" ht="12.75" customHeight="1">
      <c r="A118" s="44" t="s">
        <v>144</v>
      </c>
      <c r="C118" s="44" t="s">
        <v>88</v>
      </c>
      <c r="D118" s="35"/>
      <c r="E118" s="45">
        <v>1438142</v>
      </c>
      <c r="F118" s="45"/>
      <c r="G118" s="45">
        <v>15749585</v>
      </c>
      <c r="H118" s="45"/>
      <c r="I118" s="45">
        <v>106714</v>
      </c>
      <c r="J118" s="45"/>
      <c r="K118" s="45">
        <v>4116075</v>
      </c>
      <c r="L118" s="45"/>
      <c r="M118" s="45">
        <v>11605346</v>
      </c>
      <c r="N118" s="45"/>
      <c r="O118" s="45">
        <v>93368</v>
      </c>
      <c r="P118" s="45"/>
      <c r="Q118" s="45">
        <v>2452987</v>
      </c>
      <c r="R118" s="45"/>
      <c r="S118" s="44">
        <f t="shared" si="2"/>
        <v>1781830</v>
      </c>
      <c r="T118" s="45"/>
      <c r="U118" s="45">
        <v>37344047</v>
      </c>
      <c r="V118" s="44"/>
      <c r="W118" s="45">
        <v>887148</v>
      </c>
    </row>
    <row r="119" spans="1:23" s="116" customFormat="1" ht="12.75" customHeight="1">
      <c r="A119" s="44" t="s">
        <v>36</v>
      </c>
      <c r="C119" s="44" t="s">
        <v>145</v>
      </c>
      <c r="D119" s="35"/>
      <c r="E119" s="45">
        <v>486102</v>
      </c>
      <c r="F119" s="45"/>
      <c r="G119" s="45">
        <v>2447787</v>
      </c>
      <c r="H119" s="45"/>
      <c r="I119" s="45">
        <v>0</v>
      </c>
      <c r="J119" s="45"/>
      <c r="K119" s="45">
        <v>216883</v>
      </c>
      <c r="L119" s="45"/>
      <c r="M119" s="45">
        <v>1103842</v>
      </c>
      <c r="N119" s="45"/>
      <c r="O119" s="45">
        <v>0</v>
      </c>
      <c r="P119" s="45"/>
      <c r="Q119" s="45">
        <v>74648</v>
      </c>
      <c r="R119" s="45"/>
      <c r="S119" s="44">
        <f t="shared" si="2"/>
        <v>180753</v>
      </c>
      <c r="T119" s="45"/>
      <c r="U119" s="45">
        <v>4510015</v>
      </c>
      <c r="V119" s="44"/>
      <c r="W119" s="45">
        <v>0</v>
      </c>
    </row>
    <row r="120" spans="1:23" s="116" customFormat="1" ht="12.75" customHeight="1">
      <c r="A120" s="44" t="s">
        <v>146</v>
      </c>
      <c r="C120" s="44" t="s">
        <v>147</v>
      </c>
      <c r="D120" s="35"/>
      <c r="E120" s="45">
        <v>3959508</v>
      </c>
      <c r="F120" s="45"/>
      <c r="G120" s="45">
        <v>0</v>
      </c>
      <c r="H120" s="45"/>
      <c r="I120" s="45">
        <v>0</v>
      </c>
      <c r="J120" s="45"/>
      <c r="K120" s="45">
        <v>112781</v>
      </c>
      <c r="L120" s="45"/>
      <c r="M120" s="45">
        <v>1646802</v>
      </c>
      <c r="N120" s="45"/>
      <c r="O120" s="45">
        <v>81375</v>
      </c>
      <c r="P120" s="45"/>
      <c r="Q120" s="45">
        <v>87880</v>
      </c>
      <c r="R120" s="45"/>
      <c r="S120" s="44">
        <f t="shared" si="2"/>
        <v>402515</v>
      </c>
      <c r="T120" s="45"/>
      <c r="U120" s="45">
        <v>6290861</v>
      </c>
      <c r="V120" s="44"/>
      <c r="W120" s="45">
        <v>0</v>
      </c>
    </row>
    <row r="121" spans="1:23" s="116" customFormat="1" ht="12.75" customHeight="1">
      <c r="A121" s="44" t="s">
        <v>17</v>
      </c>
      <c r="C121" s="44" t="s">
        <v>17</v>
      </c>
      <c r="D121" s="35"/>
      <c r="E121" s="45">
        <v>5080063</v>
      </c>
      <c r="F121" s="45"/>
      <c r="G121" s="45">
        <v>18637946</v>
      </c>
      <c r="H121" s="45"/>
      <c r="I121" s="45">
        <v>0</v>
      </c>
      <c r="J121" s="45"/>
      <c r="K121" s="45">
        <v>1411545</v>
      </c>
      <c r="L121" s="45"/>
      <c r="M121" s="45">
        <v>13432851</v>
      </c>
      <c r="N121" s="45"/>
      <c r="O121" s="45">
        <v>71842</v>
      </c>
      <c r="P121" s="45"/>
      <c r="Q121" s="45">
        <f>1781036+1188733</f>
        <v>2969769</v>
      </c>
      <c r="R121" s="45"/>
      <c r="S121" s="44">
        <f t="shared" si="2"/>
        <v>1236776</v>
      </c>
      <c r="T121" s="45"/>
      <c r="U121" s="45">
        <v>42840792</v>
      </c>
      <c r="V121" s="44"/>
      <c r="W121" s="45">
        <f>1425000+2595000+4970000+507572+1072+2697744</f>
        <v>12196388</v>
      </c>
    </row>
    <row r="122" spans="1:23" s="116" customFormat="1" ht="12.75" customHeight="1">
      <c r="A122" s="44" t="s">
        <v>148</v>
      </c>
      <c r="C122" s="44" t="s">
        <v>15</v>
      </c>
      <c r="D122" s="35"/>
      <c r="E122" s="45">
        <v>399916</v>
      </c>
      <c r="F122" s="45"/>
      <c r="G122" s="45">
        <v>2594133</v>
      </c>
      <c r="H122" s="45"/>
      <c r="I122" s="45">
        <v>0</v>
      </c>
      <c r="J122" s="45"/>
      <c r="K122" s="45">
        <v>443924</v>
      </c>
      <c r="L122" s="45"/>
      <c r="M122" s="45">
        <v>1344029</v>
      </c>
      <c r="N122" s="45"/>
      <c r="O122" s="45">
        <v>0</v>
      </c>
      <c r="P122" s="45"/>
      <c r="Q122" s="45">
        <f>89171+12292</f>
        <v>101463</v>
      </c>
      <c r="R122" s="45"/>
      <c r="S122" s="44">
        <f t="shared" si="2"/>
        <v>372284</v>
      </c>
      <c r="T122" s="45"/>
      <c r="U122" s="45">
        <v>5255749</v>
      </c>
      <c r="V122" s="44"/>
      <c r="W122" s="45">
        <v>424635</v>
      </c>
    </row>
    <row r="123" spans="1:23" s="116" customFormat="1" ht="12.75" customHeight="1">
      <c r="A123" s="44" t="s">
        <v>149</v>
      </c>
      <c r="C123" s="44" t="s">
        <v>45</v>
      </c>
      <c r="D123" s="35"/>
      <c r="E123" s="45">
        <v>2964146</v>
      </c>
      <c r="F123" s="45"/>
      <c r="G123" s="45">
        <v>3097973</v>
      </c>
      <c r="H123" s="45"/>
      <c r="I123" s="45">
        <v>0</v>
      </c>
      <c r="J123" s="45"/>
      <c r="K123" s="45">
        <v>549789</v>
      </c>
      <c r="L123" s="45"/>
      <c r="M123" s="45">
        <v>2682436</v>
      </c>
      <c r="N123" s="45"/>
      <c r="O123" s="45">
        <v>0</v>
      </c>
      <c r="P123" s="45"/>
      <c r="Q123" s="45">
        <v>123759</v>
      </c>
      <c r="R123" s="45"/>
      <c r="S123" s="44">
        <f t="shared" si="2"/>
        <v>927231</v>
      </c>
      <c r="T123" s="45"/>
      <c r="U123" s="45">
        <v>10345334</v>
      </c>
      <c r="V123" s="44"/>
      <c r="W123" s="45">
        <f>1150000+903+487003+2681575</f>
        <v>4319481</v>
      </c>
    </row>
    <row r="124" spans="1:23" s="117" customFormat="1" ht="12.75" customHeight="1">
      <c r="A124" s="44" t="s">
        <v>150</v>
      </c>
      <c r="B124" s="116"/>
      <c r="C124" s="44" t="s">
        <v>27</v>
      </c>
      <c r="D124" s="35"/>
      <c r="E124" s="45">
        <v>4698814</v>
      </c>
      <c r="F124" s="45"/>
      <c r="G124" s="45">
        <v>5904612</v>
      </c>
      <c r="H124" s="45"/>
      <c r="I124" s="45">
        <v>146411</v>
      </c>
      <c r="J124" s="45"/>
      <c r="K124" s="45">
        <v>508516</v>
      </c>
      <c r="L124" s="45"/>
      <c r="M124" s="45">
        <v>2653545</v>
      </c>
      <c r="N124" s="45"/>
      <c r="O124" s="45">
        <v>1036138</v>
      </c>
      <c r="P124" s="45"/>
      <c r="Q124" s="45">
        <v>1744398</v>
      </c>
      <c r="R124" s="45"/>
      <c r="S124" s="44">
        <f t="shared" si="2"/>
        <v>1217309</v>
      </c>
      <c r="T124" s="45"/>
      <c r="U124" s="45">
        <v>17909743</v>
      </c>
      <c r="V124" s="44"/>
      <c r="W124" s="45">
        <f>39762+1000000+1488250</f>
        <v>2528012</v>
      </c>
    </row>
    <row r="125" spans="1:23" s="116" customFormat="1" ht="12.75" customHeight="1">
      <c r="A125" s="44" t="s">
        <v>151</v>
      </c>
      <c r="C125" s="44" t="s">
        <v>13</v>
      </c>
      <c r="D125" s="35"/>
      <c r="E125" s="45">
        <v>2080241</v>
      </c>
      <c r="F125" s="45"/>
      <c r="G125" s="45">
        <v>7991989</v>
      </c>
      <c r="H125" s="45"/>
      <c r="I125" s="45">
        <v>0</v>
      </c>
      <c r="J125" s="45"/>
      <c r="K125" s="45">
        <v>1869411</v>
      </c>
      <c r="L125" s="45"/>
      <c r="M125" s="45">
        <v>3951569</v>
      </c>
      <c r="N125" s="45"/>
      <c r="O125" s="45">
        <v>188017</v>
      </c>
      <c r="P125" s="45"/>
      <c r="Q125" s="45">
        <v>896411</v>
      </c>
      <c r="R125" s="45"/>
      <c r="S125" s="44">
        <f t="shared" si="2"/>
        <v>412443</v>
      </c>
      <c r="T125" s="45"/>
      <c r="U125" s="45">
        <v>17390081</v>
      </c>
      <c r="V125" s="44"/>
      <c r="W125" s="45">
        <v>1196152</v>
      </c>
    </row>
    <row r="126" spans="1:23" s="116" customFormat="1" ht="12.75" customHeight="1">
      <c r="A126" s="44" t="s">
        <v>482</v>
      </c>
      <c r="C126" s="44" t="s">
        <v>45</v>
      </c>
      <c r="D126" s="35"/>
      <c r="E126" s="45">
        <v>4430269</v>
      </c>
      <c r="F126" s="45"/>
      <c r="G126" s="45">
        <v>0</v>
      </c>
      <c r="H126" s="45"/>
      <c r="I126" s="45">
        <v>0</v>
      </c>
      <c r="J126" s="45"/>
      <c r="K126" s="45">
        <v>67606</v>
      </c>
      <c r="L126" s="45"/>
      <c r="M126" s="45">
        <v>1698294</v>
      </c>
      <c r="N126" s="45"/>
      <c r="O126" s="45">
        <v>0</v>
      </c>
      <c r="P126" s="45"/>
      <c r="Q126" s="45">
        <v>261370</v>
      </c>
      <c r="R126" s="45"/>
      <c r="S126" s="44">
        <f t="shared" si="2"/>
        <v>386121</v>
      </c>
      <c r="T126" s="45"/>
      <c r="U126" s="45">
        <v>6843660</v>
      </c>
      <c r="V126" s="44"/>
      <c r="W126" s="45">
        <v>0</v>
      </c>
    </row>
    <row r="127" spans="1:23" s="118" customFormat="1" ht="12.75" customHeight="1">
      <c r="A127" s="44" t="s">
        <v>152</v>
      </c>
      <c r="B127" s="116"/>
      <c r="C127" s="44" t="s">
        <v>153</v>
      </c>
      <c r="D127" s="35"/>
      <c r="E127" s="45">
        <v>2545865</v>
      </c>
      <c r="F127" s="45"/>
      <c r="G127" s="45">
        <v>24369037</v>
      </c>
      <c r="H127" s="45"/>
      <c r="I127" s="45">
        <v>0</v>
      </c>
      <c r="J127" s="45"/>
      <c r="K127" s="45">
        <v>2712742</v>
      </c>
      <c r="L127" s="45"/>
      <c r="M127" s="45">
        <v>13857914</v>
      </c>
      <c r="N127" s="45"/>
      <c r="O127" s="45">
        <v>26093</v>
      </c>
      <c r="P127" s="45"/>
      <c r="Q127" s="45">
        <v>2622605</v>
      </c>
      <c r="R127" s="45"/>
      <c r="S127" s="44">
        <f t="shared" si="2"/>
        <v>3487725</v>
      </c>
      <c r="T127" s="45"/>
      <c r="U127" s="45">
        <v>49621981</v>
      </c>
      <c r="V127" s="44"/>
      <c r="W127" s="45">
        <v>110991</v>
      </c>
    </row>
    <row r="128" spans="1:23" s="152" customFormat="1" ht="12.75" hidden="1" customHeight="1">
      <c r="A128" s="137" t="s">
        <v>154</v>
      </c>
      <c r="C128" s="137" t="s">
        <v>27</v>
      </c>
      <c r="D128" s="142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37">
        <f t="shared" si="2"/>
        <v>0</v>
      </c>
      <c r="T128" s="143"/>
      <c r="U128" s="143"/>
      <c r="V128" s="137"/>
      <c r="W128" s="143"/>
    </row>
    <row r="129" spans="1:23" s="116" customFormat="1" ht="12.75" customHeight="1">
      <c r="A129" s="44" t="s">
        <v>155</v>
      </c>
      <c r="C129" s="44" t="s">
        <v>40</v>
      </c>
      <c r="D129" s="35"/>
      <c r="E129" s="45">
        <v>557824</v>
      </c>
      <c r="F129" s="45"/>
      <c r="G129" s="45">
        <v>8159483</v>
      </c>
      <c r="H129" s="45"/>
      <c r="I129" s="45">
        <f>248297+30912+200850</f>
        <v>480059</v>
      </c>
      <c r="J129" s="45"/>
      <c r="K129" s="45">
        <v>1240051</v>
      </c>
      <c r="L129" s="45"/>
      <c r="M129" s="45">
        <v>4997643</v>
      </c>
      <c r="N129" s="45"/>
      <c r="O129" s="45">
        <v>2959</v>
      </c>
      <c r="P129" s="45"/>
      <c r="Q129" s="45">
        <v>922828</v>
      </c>
      <c r="R129" s="45"/>
      <c r="S129" s="44">
        <f t="shared" si="2"/>
        <v>1683330</v>
      </c>
      <c r="T129" s="45"/>
      <c r="U129" s="45">
        <v>18044177</v>
      </c>
      <c r="V129" s="44"/>
      <c r="W129" s="45">
        <f>11349+1208000+199427</f>
        <v>1418776</v>
      </c>
    </row>
    <row r="130" spans="1:23" s="116" customFormat="1" ht="12.75" customHeight="1">
      <c r="A130" s="46" t="s">
        <v>156</v>
      </c>
      <c r="B130" s="117"/>
      <c r="C130" s="46" t="s">
        <v>156</v>
      </c>
      <c r="D130" s="35"/>
      <c r="E130" s="45">
        <v>1404796</v>
      </c>
      <c r="F130" s="45"/>
      <c r="G130" s="45">
        <v>13443747</v>
      </c>
      <c r="H130" s="45"/>
      <c r="I130" s="45">
        <v>478042</v>
      </c>
      <c r="J130" s="45"/>
      <c r="K130" s="45">
        <v>1505323</v>
      </c>
      <c r="L130" s="45"/>
      <c r="M130" s="45">
        <v>5620098</v>
      </c>
      <c r="N130" s="45"/>
      <c r="O130" s="45">
        <v>0</v>
      </c>
      <c r="P130" s="45"/>
      <c r="Q130" s="45">
        <v>1451345</v>
      </c>
      <c r="R130" s="45"/>
      <c r="S130" s="44">
        <f t="shared" si="2"/>
        <v>1121334</v>
      </c>
      <c r="T130" s="45"/>
      <c r="U130" s="45">
        <v>25024685</v>
      </c>
      <c r="V130" s="44"/>
      <c r="W130" s="45">
        <v>1034200</v>
      </c>
    </row>
    <row r="131" spans="1:23" s="116" customFormat="1" ht="12.75" customHeight="1">
      <c r="A131" s="44" t="s">
        <v>157</v>
      </c>
      <c r="C131" s="44" t="s">
        <v>33</v>
      </c>
      <c r="D131" s="35"/>
      <c r="E131" s="45">
        <v>454165</v>
      </c>
      <c r="F131" s="45"/>
      <c r="G131" s="45">
        <v>1212406</v>
      </c>
      <c r="H131" s="45"/>
      <c r="I131" s="45">
        <v>0</v>
      </c>
      <c r="J131" s="45"/>
      <c r="K131" s="45">
        <v>836337</v>
      </c>
      <c r="L131" s="45"/>
      <c r="M131" s="45">
        <v>1205309</v>
      </c>
      <c r="N131" s="45"/>
      <c r="O131" s="45">
        <v>0</v>
      </c>
      <c r="P131" s="45"/>
      <c r="Q131" s="45">
        <v>104499</v>
      </c>
      <c r="R131" s="45"/>
      <c r="S131" s="44">
        <f t="shared" si="2"/>
        <v>279514</v>
      </c>
      <c r="T131" s="45"/>
      <c r="U131" s="45">
        <v>4092230</v>
      </c>
      <c r="V131" s="44"/>
      <c r="W131" s="45">
        <v>382664</v>
      </c>
    </row>
    <row r="132" spans="1:23" s="116" customFormat="1" ht="12.75" customHeight="1">
      <c r="A132" s="44" t="s">
        <v>158</v>
      </c>
      <c r="C132" s="44" t="s">
        <v>159</v>
      </c>
      <c r="D132" s="35"/>
      <c r="E132" s="45">
        <v>2235844</v>
      </c>
      <c r="F132" s="45"/>
      <c r="G132" s="45">
        <v>7788527</v>
      </c>
      <c r="H132" s="45"/>
      <c r="I132" s="45">
        <v>132238</v>
      </c>
      <c r="J132" s="45"/>
      <c r="K132" s="45">
        <v>1150496</v>
      </c>
      <c r="L132" s="45"/>
      <c r="M132" s="45">
        <v>2124856</v>
      </c>
      <c r="N132" s="45"/>
      <c r="O132" s="45">
        <v>25074</v>
      </c>
      <c r="P132" s="45"/>
      <c r="Q132" s="45">
        <v>1079687</v>
      </c>
      <c r="R132" s="45"/>
      <c r="S132" s="44">
        <f t="shared" si="2"/>
        <v>1025213</v>
      </c>
      <c r="T132" s="45"/>
      <c r="U132" s="45">
        <v>15561935</v>
      </c>
      <c r="V132" s="44"/>
      <c r="W132" s="45">
        <v>15121942</v>
      </c>
    </row>
    <row r="133" spans="1:23" s="116" customFormat="1" ht="12.75" customHeight="1">
      <c r="A133" s="44" t="s">
        <v>472</v>
      </c>
      <c r="C133" s="44"/>
      <c r="D133" s="3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4"/>
      <c r="T133" s="45"/>
      <c r="U133" s="45"/>
      <c r="V133" s="44"/>
      <c r="W133" s="48" t="s">
        <v>485</v>
      </c>
    </row>
    <row r="134" spans="1:23" s="117" customFormat="1" ht="12.75" customHeight="1">
      <c r="A134" s="46" t="s">
        <v>160</v>
      </c>
      <c r="C134" s="46" t="s">
        <v>111</v>
      </c>
      <c r="D134" s="64"/>
      <c r="E134" s="94">
        <v>29086348</v>
      </c>
      <c r="F134" s="94"/>
      <c r="G134" s="94">
        <v>0</v>
      </c>
      <c r="H134" s="94"/>
      <c r="I134" s="94">
        <v>0</v>
      </c>
      <c r="J134" s="94"/>
      <c r="K134" s="94">
        <v>1965830</v>
      </c>
      <c r="L134" s="94"/>
      <c r="M134" s="94">
        <v>5419535</v>
      </c>
      <c r="N134" s="94"/>
      <c r="O134" s="94">
        <v>99374</v>
      </c>
      <c r="P134" s="94"/>
      <c r="Q134" s="94">
        <v>2102920</v>
      </c>
      <c r="R134" s="94"/>
      <c r="S134" s="46">
        <f t="shared" si="2"/>
        <v>3773397</v>
      </c>
      <c r="T134" s="94"/>
      <c r="U134" s="94">
        <v>42447404</v>
      </c>
      <c r="V134" s="46"/>
      <c r="W134" s="94">
        <v>11579000</v>
      </c>
    </row>
    <row r="135" spans="1:23" s="116" customFormat="1" ht="12.75" customHeight="1">
      <c r="A135" s="44" t="s">
        <v>161</v>
      </c>
      <c r="C135" s="44" t="s">
        <v>15</v>
      </c>
      <c r="D135" s="35"/>
      <c r="E135" s="45">
        <v>2511947</v>
      </c>
      <c r="F135" s="45"/>
      <c r="G135" s="45">
        <v>12829885</v>
      </c>
      <c r="H135" s="45"/>
      <c r="I135" s="45">
        <v>0</v>
      </c>
      <c r="J135" s="45"/>
      <c r="K135" s="45">
        <v>1471195</v>
      </c>
      <c r="L135" s="45"/>
      <c r="M135" s="45">
        <v>5061213</v>
      </c>
      <c r="N135" s="45"/>
      <c r="O135" s="45">
        <v>0</v>
      </c>
      <c r="P135" s="45"/>
      <c r="Q135" s="45">
        <v>2225921</v>
      </c>
      <c r="R135" s="45"/>
      <c r="S135" s="44">
        <f t="shared" si="2"/>
        <v>1688654</v>
      </c>
      <c r="T135" s="45"/>
      <c r="U135" s="45">
        <v>25788815</v>
      </c>
      <c r="V135" s="44"/>
      <c r="W135" s="45">
        <v>2733785</v>
      </c>
    </row>
    <row r="136" spans="1:23" s="116" customFormat="1" ht="12.75" customHeight="1">
      <c r="A136" s="44" t="s">
        <v>162</v>
      </c>
      <c r="C136" s="44" t="s">
        <v>163</v>
      </c>
      <c r="D136" s="35"/>
      <c r="E136" s="45">
        <v>3749305</v>
      </c>
      <c r="F136" s="45"/>
      <c r="G136" s="45">
        <v>15842248</v>
      </c>
      <c r="H136" s="45"/>
      <c r="I136" s="45">
        <v>0</v>
      </c>
      <c r="J136" s="45"/>
      <c r="K136" s="45">
        <v>1014045</v>
      </c>
      <c r="L136" s="45"/>
      <c r="M136" s="45">
        <v>4335755</v>
      </c>
      <c r="N136" s="45"/>
      <c r="O136" s="45">
        <v>534562</v>
      </c>
      <c r="P136" s="45"/>
      <c r="Q136" s="45">
        <v>1129731</v>
      </c>
      <c r="R136" s="45"/>
      <c r="S136" s="44">
        <f t="shared" si="2"/>
        <v>2431364</v>
      </c>
      <c r="T136" s="45"/>
      <c r="U136" s="45">
        <v>29037010</v>
      </c>
      <c r="V136" s="44"/>
      <c r="W136" s="45">
        <v>142000</v>
      </c>
    </row>
    <row r="137" spans="1:23" s="116" customFormat="1" ht="12.75" customHeight="1">
      <c r="A137" s="44" t="s">
        <v>164</v>
      </c>
      <c r="C137" s="44" t="s">
        <v>27</v>
      </c>
      <c r="D137" s="35"/>
      <c r="E137" s="45">
        <v>5282716</v>
      </c>
      <c r="F137" s="45"/>
      <c r="G137" s="45">
        <v>11390166</v>
      </c>
      <c r="H137" s="45"/>
      <c r="I137" s="45">
        <v>134349</v>
      </c>
      <c r="J137" s="45"/>
      <c r="K137" s="45">
        <v>1237043</v>
      </c>
      <c r="L137" s="45"/>
      <c r="M137" s="45">
        <v>5737456</v>
      </c>
      <c r="N137" s="45"/>
      <c r="O137" s="45">
        <v>24042</v>
      </c>
      <c r="P137" s="45"/>
      <c r="Q137" s="45">
        <v>692740</v>
      </c>
      <c r="R137" s="45"/>
      <c r="S137" s="44">
        <f t="shared" si="2"/>
        <v>1178834</v>
      </c>
      <c r="T137" s="45"/>
      <c r="U137" s="45">
        <v>25677346</v>
      </c>
      <c r="V137" s="44"/>
      <c r="W137" s="45">
        <v>8069518</v>
      </c>
    </row>
    <row r="138" spans="1:23" s="116" customFormat="1" ht="12.75" customHeight="1">
      <c r="A138" s="44" t="s">
        <v>53</v>
      </c>
      <c r="C138" s="44" t="s">
        <v>53</v>
      </c>
      <c r="D138" s="35"/>
      <c r="E138" s="45">
        <v>15044684</v>
      </c>
      <c r="F138" s="45"/>
      <c r="G138" s="45">
        <v>0</v>
      </c>
      <c r="H138" s="45"/>
      <c r="I138" s="45">
        <v>0</v>
      </c>
      <c r="J138" s="45"/>
      <c r="K138" s="45">
        <v>808657</v>
      </c>
      <c r="L138" s="45"/>
      <c r="M138" s="45">
        <v>3939680</v>
      </c>
      <c r="N138" s="45"/>
      <c r="O138" s="45">
        <v>304276</v>
      </c>
      <c r="P138" s="45"/>
      <c r="Q138" s="45">
        <v>2301975</v>
      </c>
      <c r="R138" s="45"/>
      <c r="S138" s="44">
        <f t="shared" si="2"/>
        <v>1568214</v>
      </c>
      <c r="T138" s="45"/>
      <c r="U138" s="45">
        <v>23967486</v>
      </c>
      <c r="V138" s="44"/>
      <c r="W138" s="45">
        <v>0</v>
      </c>
    </row>
    <row r="139" spans="1:23" s="116" customFormat="1" ht="12.75" customHeight="1">
      <c r="A139" s="44" t="s">
        <v>165</v>
      </c>
      <c r="C139" s="44" t="s">
        <v>92</v>
      </c>
      <c r="D139" s="35"/>
      <c r="E139" s="45">
        <v>6086882</v>
      </c>
      <c r="F139" s="45"/>
      <c r="G139" s="45">
        <v>31346263</v>
      </c>
      <c r="H139" s="45"/>
      <c r="I139" s="45">
        <v>786290</v>
      </c>
      <c r="J139" s="45"/>
      <c r="K139" s="45">
        <v>5040814</v>
      </c>
      <c r="L139" s="45"/>
      <c r="M139" s="45">
        <v>9117427</v>
      </c>
      <c r="N139" s="45"/>
      <c r="O139" s="45">
        <v>2114952</v>
      </c>
      <c r="P139" s="45"/>
      <c r="Q139" s="45">
        <v>3049390</v>
      </c>
      <c r="R139" s="45"/>
      <c r="S139" s="44">
        <f t="shared" si="2"/>
        <v>2014614</v>
      </c>
      <c r="T139" s="45"/>
      <c r="U139" s="45">
        <v>59556632</v>
      </c>
      <c r="V139" s="44"/>
      <c r="W139" s="45">
        <v>7968505</v>
      </c>
    </row>
    <row r="140" spans="1:23" s="116" customFormat="1" ht="12.75" customHeight="1">
      <c r="A140" s="44" t="s">
        <v>166</v>
      </c>
      <c r="C140" s="44" t="s">
        <v>92</v>
      </c>
      <c r="D140" s="35"/>
      <c r="E140" s="45">
        <v>1722519</v>
      </c>
      <c r="F140" s="45"/>
      <c r="G140" s="45">
        <v>796076</v>
      </c>
      <c r="H140" s="45"/>
      <c r="I140" s="45">
        <v>0</v>
      </c>
      <c r="J140" s="45"/>
      <c r="K140" s="45">
        <v>447378</v>
      </c>
      <c r="L140" s="45"/>
      <c r="M140" s="45">
        <v>1366235</v>
      </c>
      <c r="N140" s="45"/>
      <c r="O140" s="45">
        <v>2681</v>
      </c>
      <c r="P140" s="45"/>
      <c r="Q140" s="45">
        <v>53544</v>
      </c>
      <c r="R140" s="45"/>
      <c r="S140" s="44">
        <f t="shared" si="2"/>
        <v>193141</v>
      </c>
      <c r="T140" s="45"/>
      <c r="U140" s="45">
        <v>4581574</v>
      </c>
      <c r="V140" s="44"/>
      <c r="W140" s="45">
        <v>25200</v>
      </c>
    </row>
    <row r="141" spans="1:23" s="116" customFormat="1" ht="12.75" customHeight="1">
      <c r="A141" s="44" t="s">
        <v>167</v>
      </c>
      <c r="C141" s="44" t="s">
        <v>66</v>
      </c>
      <c r="D141" s="35"/>
      <c r="E141" s="45">
        <v>2875970</v>
      </c>
      <c r="F141" s="45"/>
      <c r="G141" s="45">
        <v>9086267</v>
      </c>
      <c r="H141" s="45"/>
      <c r="I141" s="45">
        <v>0</v>
      </c>
      <c r="J141" s="45"/>
      <c r="K141" s="45">
        <v>2313506</v>
      </c>
      <c r="L141" s="45"/>
      <c r="M141" s="45">
        <v>2674980</v>
      </c>
      <c r="N141" s="45"/>
      <c r="O141" s="45">
        <v>95421</v>
      </c>
      <c r="P141" s="45"/>
      <c r="Q141" s="45">
        <v>1544736</v>
      </c>
      <c r="R141" s="45"/>
      <c r="S141" s="44">
        <f t="shared" si="2"/>
        <v>1743357</v>
      </c>
      <c r="T141" s="45"/>
      <c r="U141" s="45">
        <v>20334237</v>
      </c>
      <c r="V141" s="44"/>
      <c r="W141" s="45">
        <v>765233</v>
      </c>
    </row>
    <row r="142" spans="1:23" s="116" customFormat="1" ht="12.75" customHeight="1">
      <c r="A142" s="44" t="s">
        <v>168</v>
      </c>
      <c r="C142" s="44" t="s">
        <v>27</v>
      </c>
      <c r="D142" s="35"/>
      <c r="E142" s="45">
        <v>2506371</v>
      </c>
      <c r="F142" s="45"/>
      <c r="G142" s="45">
        <v>15421461</v>
      </c>
      <c r="H142" s="45"/>
      <c r="I142" s="45">
        <v>554088</v>
      </c>
      <c r="J142" s="45"/>
      <c r="K142" s="45">
        <v>1545425</v>
      </c>
      <c r="L142" s="45"/>
      <c r="M142" s="45">
        <v>2136074</v>
      </c>
      <c r="N142" s="45"/>
      <c r="O142" s="45">
        <v>177035</v>
      </c>
      <c r="P142" s="45"/>
      <c r="Q142" s="45">
        <v>1234800</v>
      </c>
      <c r="R142" s="45"/>
      <c r="S142" s="44">
        <f t="shared" si="2"/>
        <v>896840</v>
      </c>
      <c r="T142" s="45"/>
      <c r="U142" s="45">
        <v>24472094</v>
      </c>
      <c r="V142" s="44"/>
      <c r="W142" s="45">
        <f>3690+750000</f>
        <v>753690</v>
      </c>
    </row>
    <row r="143" spans="1:23" s="116" customFormat="1" ht="12.75" customHeight="1">
      <c r="A143" s="44" t="s">
        <v>169</v>
      </c>
      <c r="C143" s="44" t="s">
        <v>103</v>
      </c>
      <c r="D143" s="35"/>
      <c r="E143" s="45">
        <v>5643510</v>
      </c>
      <c r="F143" s="45"/>
      <c r="G143" s="45">
        <v>17944573</v>
      </c>
      <c r="H143" s="45"/>
      <c r="I143" s="45">
        <v>0</v>
      </c>
      <c r="J143" s="45"/>
      <c r="K143" s="45">
        <v>4215736</v>
      </c>
      <c r="L143" s="45"/>
      <c r="M143" s="45">
        <v>18852974</v>
      </c>
      <c r="N143" s="45"/>
      <c r="O143" s="45">
        <v>491127</v>
      </c>
      <c r="P143" s="45"/>
      <c r="Q143" s="45">
        <f>451724+1574735</f>
        <v>2026459</v>
      </c>
      <c r="R143" s="45"/>
      <c r="S143" s="44">
        <f t="shared" si="2"/>
        <v>4195464</v>
      </c>
      <c r="T143" s="45"/>
      <c r="U143" s="45">
        <v>53369843</v>
      </c>
      <c r="V143" s="44"/>
      <c r="W143" s="45">
        <f>842431+107830</f>
        <v>950261</v>
      </c>
    </row>
    <row r="144" spans="1:23" s="116" customFormat="1" ht="12.75" customHeight="1">
      <c r="A144" s="44" t="s">
        <v>170</v>
      </c>
      <c r="C144" s="44" t="s">
        <v>171</v>
      </c>
      <c r="D144" s="35"/>
      <c r="E144" s="45">
        <v>2346611</v>
      </c>
      <c r="F144" s="45"/>
      <c r="G144" s="45">
        <v>2475944</v>
      </c>
      <c r="H144" s="45"/>
      <c r="I144" s="45">
        <v>182061</v>
      </c>
      <c r="J144" s="45"/>
      <c r="K144" s="45">
        <v>230875</v>
      </c>
      <c r="L144" s="45"/>
      <c r="M144" s="45">
        <v>1271855</v>
      </c>
      <c r="N144" s="45"/>
      <c r="O144" s="45">
        <v>0</v>
      </c>
      <c r="P144" s="45"/>
      <c r="Q144" s="45">
        <v>223991</v>
      </c>
      <c r="R144" s="45"/>
      <c r="S144" s="44">
        <f t="shared" si="2"/>
        <v>443543</v>
      </c>
      <c r="T144" s="45"/>
      <c r="U144" s="45">
        <v>7174880</v>
      </c>
      <c r="V144" s="44"/>
      <c r="W144" s="45">
        <v>661037</v>
      </c>
    </row>
    <row r="145" spans="1:23" s="116" customFormat="1" ht="12.75" customHeight="1">
      <c r="A145" s="44" t="s">
        <v>172</v>
      </c>
      <c r="C145" s="44" t="s">
        <v>103</v>
      </c>
      <c r="D145" s="35"/>
      <c r="E145" s="45">
        <v>2131720</v>
      </c>
      <c r="F145" s="45"/>
      <c r="G145" s="45">
        <v>5238256</v>
      </c>
      <c r="H145" s="45"/>
      <c r="I145" s="45">
        <v>416537</v>
      </c>
      <c r="J145" s="45"/>
      <c r="K145" s="45">
        <v>1184918</v>
      </c>
      <c r="L145" s="45"/>
      <c r="M145" s="45">
        <v>1885762</v>
      </c>
      <c r="N145" s="45"/>
      <c r="O145" s="45">
        <v>72463</v>
      </c>
      <c r="P145" s="45"/>
      <c r="Q145" s="45">
        <v>486814</v>
      </c>
      <c r="R145" s="45"/>
      <c r="S145" s="44">
        <f t="shared" si="2"/>
        <v>1113773</v>
      </c>
      <c r="T145" s="45"/>
      <c r="U145" s="45">
        <v>12530243</v>
      </c>
      <c r="V145" s="44"/>
      <c r="W145" s="45">
        <v>22500</v>
      </c>
    </row>
    <row r="146" spans="1:23" s="116" customFormat="1" ht="12.75" customHeight="1">
      <c r="A146" s="44" t="s">
        <v>66</v>
      </c>
      <c r="C146" s="44" t="s">
        <v>45</v>
      </c>
      <c r="D146" s="35"/>
      <c r="E146" s="45">
        <v>12044105</v>
      </c>
      <c r="F146" s="45"/>
      <c r="G146" s="45">
        <v>0</v>
      </c>
      <c r="H146" s="45"/>
      <c r="I146" s="45">
        <v>0</v>
      </c>
      <c r="J146" s="45"/>
      <c r="K146" s="45">
        <v>511409</v>
      </c>
      <c r="L146" s="45"/>
      <c r="M146" s="45">
        <v>1354153</v>
      </c>
      <c r="N146" s="45"/>
      <c r="O146" s="45">
        <v>268786</v>
      </c>
      <c r="P146" s="45"/>
      <c r="Q146" s="45">
        <v>414757</v>
      </c>
      <c r="R146" s="45"/>
      <c r="S146" s="44">
        <f t="shared" si="2"/>
        <v>1625786</v>
      </c>
      <c r="T146" s="45"/>
      <c r="U146" s="45">
        <v>16218996</v>
      </c>
      <c r="V146" s="44"/>
      <c r="W146" s="45">
        <v>11656</v>
      </c>
    </row>
    <row r="147" spans="1:23" s="116" customFormat="1" ht="12.75" customHeight="1">
      <c r="A147" s="44" t="s">
        <v>173</v>
      </c>
      <c r="C147" s="44" t="s">
        <v>66</v>
      </c>
      <c r="D147" s="35"/>
      <c r="E147" s="45">
        <v>772231</v>
      </c>
      <c r="F147" s="45"/>
      <c r="G147" s="45">
        <v>19244218</v>
      </c>
      <c r="H147" s="45"/>
      <c r="I147" s="45">
        <v>68705</v>
      </c>
      <c r="J147" s="45"/>
      <c r="K147" s="45">
        <v>842215</v>
      </c>
      <c r="L147" s="45"/>
      <c r="M147" s="45">
        <v>1023625</v>
      </c>
      <c r="N147" s="45"/>
      <c r="O147" s="45">
        <v>0</v>
      </c>
      <c r="P147" s="45"/>
      <c r="Q147" s="45">
        <v>338471</v>
      </c>
      <c r="R147" s="45"/>
      <c r="S147" s="44">
        <f t="shared" ref="S147:S213" si="3">+U147-SUM(E147:Q147)</f>
        <v>2544074</v>
      </c>
      <c r="T147" s="45"/>
      <c r="U147" s="45">
        <v>24833539</v>
      </c>
      <c r="V147" s="44"/>
      <c r="W147" s="45">
        <v>252537</v>
      </c>
    </row>
    <row r="148" spans="1:23" s="116" customFormat="1" ht="12.75" customHeight="1">
      <c r="A148" s="44" t="s">
        <v>174</v>
      </c>
      <c r="C148" s="44" t="s">
        <v>45</v>
      </c>
      <c r="D148" s="35"/>
      <c r="E148" s="45">
        <v>897322</v>
      </c>
      <c r="F148" s="45"/>
      <c r="G148" s="45">
        <v>1375407</v>
      </c>
      <c r="H148" s="45"/>
      <c r="I148" s="45">
        <v>60150</v>
      </c>
      <c r="J148" s="45"/>
      <c r="K148" s="45">
        <v>518016</v>
      </c>
      <c r="L148" s="45"/>
      <c r="M148" s="45">
        <v>791397</v>
      </c>
      <c r="N148" s="45"/>
      <c r="O148" s="45">
        <v>0</v>
      </c>
      <c r="P148" s="45"/>
      <c r="Q148" s="45">
        <v>150915</v>
      </c>
      <c r="R148" s="45"/>
      <c r="S148" s="44">
        <f t="shared" si="3"/>
        <v>143808</v>
      </c>
      <c r="T148" s="45"/>
      <c r="U148" s="45">
        <v>3937015</v>
      </c>
      <c r="V148" s="44"/>
      <c r="W148" s="45">
        <v>104200</v>
      </c>
    </row>
    <row r="149" spans="1:23" s="116" customFormat="1" ht="12.75" customHeight="1">
      <c r="A149" s="44" t="s">
        <v>175</v>
      </c>
      <c r="C149" s="44" t="s">
        <v>176</v>
      </c>
      <c r="D149" s="35"/>
      <c r="E149" s="45">
        <v>11440727</v>
      </c>
      <c r="F149" s="45"/>
      <c r="G149" s="45">
        <v>0</v>
      </c>
      <c r="H149" s="45"/>
      <c r="I149" s="45">
        <v>0</v>
      </c>
      <c r="J149" s="45"/>
      <c r="K149" s="45">
        <v>1422430</v>
      </c>
      <c r="L149" s="45"/>
      <c r="M149" s="45">
        <v>3138477</v>
      </c>
      <c r="N149" s="45"/>
      <c r="O149" s="45">
        <v>0</v>
      </c>
      <c r="P149" s="45"/>
      <c r="Q149" s="45">
        <v>783248</v>
      </c>
      <c r="R149" s="45"/>
      <c r="S149" s="44">
        <f t="shared" si="3"/>
        <v>1458323</v>
      </c>
      <c r="T149" s="45"/>
      <c r="U149" s="45">
        <v>18243205</v>
      </c>
      <c r="V149" s="44"/>
      <c r="W149" s="45">
        <v>3058688</v>
      </c>
    </row>
    <row r="150" spans="1:23" s="116" customFormat="1" ht="12.75" customHeight="1">
      <c r="A150" s="44" t="s">
        <v>177</v>
      </c>
      <c r="C150" s="44" t="s">
        <v>13</v>
      </c>
      <c r="D150" s="35"/>
      <c r="E150" s="45">
        <v>762089</v>
      </c>
      <c r="F150" s="45"/>
      <c r="G150" s="45">
        <v>1126964</v>
      </c>
      <c r="H150" s="45"/>
      <c r="I150" s="45">
        <v>18412</v>
      </c>
      <c r="J150" s="45"/>
      <c r="K150" s="45">
        <v>62095</v>
      </c>
      <c r="L150" s="45"/>
      <c r="M150" s="45">
        <v>292467</v>
      </c>
      <c r="N150" s="45"/>
      <c r="O150" s="45">
        <v>24964</v>
      </c>
      <c r="P150" s="45"/>
      <c r="Q150" s="45">
        <v>84292</v>
      </c>
      <c r="R150" s="45"/>
      <c r="S150" s="44">
        <f t="shared" si="3"/>
        <v>824809</v>
      </c>
      <c r="T150" s="45"/>
      <c r="U150" s="45">
        <v>3196092</v>
      </c>
      <c r="V150" s="44"/>
      <c r="W150" s="45">
        <v>136892</v>
      </c>
    </row>
    <row r="151" spans="1:23" s="116" customFormat="1" ht="12.75" customHeight="1">
      <c r="A151" s="44" t="s">
        <v>178</v>
      </c>
      <c r="C151" s="44" t="s">
        <v>179</v>
      </c>
      <c r="D151" s="35"/>
      <c r="E151" s="45">
        <v>464824</v>
      </c>
      <c r="F151" s="45"/>
      <c r="G151" s="45">
        <v>2498645</v>
      </c>
      <c r="H151" s="45"/>
      <c r="I151" s="45">
        <v>555353</v>
      </c>
      <c r="J151" s="45"/>
      <c r="K151" s="45">
        <v>660349</v>
      </c>
      <c r="L151" s="45"/>
      <c r="M151" s="45">
        <v>2187335</v>
      </c>
      <c r="N151" s="45"/>
      <c r="O151" s="45">
        <v>113080</v>
      </c>
      <c r="P151" s="45"/>
      <c r="Q151" s="45">
        <v>428151</v>
      </c>
      <c r="R151" s="45"/>
      <c r="S151" s="44">
        <f t="shared" si="3"/>
        <v>1086876</v>
      </c>
      <c r="T151" s="45"/>
      <c r="U151" s="45">
        <v>7994613</v>
      </c>
      <c r="V151" s="44"/>
      <c r="W151" s="45">
        <v>133991</v>
      </c>
    </row>
    <row r="152" spans="1:23" s="152" customFormat="1" ht="12.75" hidden="1" customHeight="1">
      <c r="A152" s="137" t="s">
        <v>180</v>
      </c>
      <c r="C152" s="137" t="s">
        <v>20</v>
      </c>
      <c r="D152" s="142"/>
      <c r="E152" s="143">
        <v>0</v>
      </c>
      <c r="F152" s="143"/>
      <c r="G152" s="143">
        <v>0</v>
      </c>
      <c r="H152" s="143"/>
      <c r="I152" s="143">
        <v>0</v>
      </c>
      <c r="J152" s="143"/>
      <c r="K152" s="143">
        <v>0</v>
      </c>
      <c r="L152" s="143"/>
      <c r="M152" s="143">
        <v>0</v>
      </c>
      <c r="N152" s="143"/>
      <c r="O152" s="143">
        <v>0</v>
      </c>
      <c r="P152" s="143"/>
      <c r="Q152" s="143">
        <v>0</v>
      </c>
      <c r="R152" s="143"/>
      <c r="S152" s="137">
        <f t="shared" si="3"/>
        <v>0</v>
      </c>
      <c r="T152" s="143"/>
      <c r="U152" s="143">
        <v>0</v>
      </c>
      <c r="V152" s="137"/>
      <c r="W152" s="143">
        <v>0</v>
      </c>
    </row>
    <row r="153" spans="1:23" s="116" customFormat="1" ht="12.75" customHeight="1">
      <c r="A153" s="44" t="s">
        <v>182</v>
      </c>
      <c r="C153" s="44" t="s">
        <v>183</v>
      </c>
      <c r="D153" s="35"/>
      <c r="E153" s="45">
        <v>474283</v>
      </c>
      <c r="F153" s="45"/>
      <c r="G153" s="45">
        <v>986779</v>
      </c>
      <c r="H153" s="45"/>
      <c r="I153" s="45">
        <v>27520</v>
      </c>
      <c r="J153" s="45"/>
      <c r="K153" s="45">
        <v>569376</v>
      </c>
      <c r="L153" s="45"/>
      <c r="M153" s="45">
        <v>560925</v>
      </c>
      <c r="N153" s="45"/>
      <c r="O153" s="45">
        <v>169976</v>
      </c>
      <c r="P153" s="45"/>
      <c r="Q153" s="45">
        <v>27192</v>
      </c>
      <c r="R153" s="45"/>
      <c r="S153" s="44">
        <f t="shared" si="3"/>
        <v>52158</v>
      </c>
      <c r="T153" s="45"/>
      <c r="U153" s="45">
        <v>2868209</v>
      </c>
      <c r="V153" s="44"/>
      <c r="W153" s="45">
        <v>0</v>
      </c>
    </row>
    <row r="154" spans="1:23" s="116" customFormat="1" ht="12.75" customHeight="1">
      <c r="A154" s="44" t="s">
        <v>491</v>
      </c>
      <c r="C154" s="44" t="s">
        <v>13</v>
      </c>
      <c r="D154" s="35"/>
      <c r="E154" s="45">
        <v>3917814</v>
      </c>
      <c r="F154" s="45"/>
      <c r="G154" s="45">
        <v>0</v>
      </c>
      <c r="H154" s="45"/>
      <c r="I154" s="45">
        <v>0</v>
      </c>
      <c r="J154" s="45"/>
      <c r="K154" s="45">
        <v>299105</v>
      </c>
      <c r="L154" s="45"/>
      <c r="M154" s="45">
        <v>2391082</v>
      </c>
      <c r="N154" s="45"/>
      <c r="O154" s="45">
        <v>11069</v>
      </c>
      <c r="P154" s="45"/>
      <c r="Q154" s="45">
        <v>108126</v>
      </c>
      <c r="R154" s="45"/>
      <c r="S154" s="44">
        <f>+U154-SUM(E154:Q154)</f>
        <v>181704</v>
      </c>
      <c r="T154" s="45"/>
      <c r="U154" s="45">
        <v>6908900</v>
      </c>
      <c r="V154" s="44"/>
      <c r="W154" s="45">
        <v>800</v>
      </c>
    </row>
    <row r="155" spans="1:23" s="116" customFormat="1" ht="12.75" customHeight="1">
      <c r="A155" s="44" t="s">
        <v>184</v>
      </c>
      <c r="C155" s="44" t="s">
        <v>89</v>
      </c>
      <c r="D155" s="35"/>
      <c r="E155" s="45">
        <v>1820298</v>
      </c>
      <c r="F155" s="45"/>
      <c r="G155" s="45">
        <v>6336235</v>
      </c>
      <c r="H155" s="45"/>
      <c r="I155" s="45">
        <v>0</v>
      </c>
      <c r="J155" s="45"/>
      <c r="K155" s="45">
        <v>1649577</v>
      </c>
      <c r="L155" s="45"/>
      <c r="M155" s="45">
        <v>4960082</v>
      </c>
      <c r="N155" s="45"/>
      <c r="O155" s="45">
        <v>59488</v>
      </c>
      <c r="P155" s="45"/>
      <c r="Q155" s="45">
        <v>1252359</v>
      </c>
      <c r="R155" s="45"/>
      <c r="S155" s="44">
        <f t="shared" si="3"/>
        <v>647491</v>
      </c>
      <c r="T155" s="45"/>
      <c r="U155" s="45">
        <v>16725530</v>
      </c>
      <c r="V155" s="44"/>
      <c r="W155" s="45">
        <v>1025</v>
      </c>
    </row>
    <row r="156" spans="1:23" s="116" customFormat="1" ht="12.75" customHeight="1">
      <c r="A156" s="44" t="s">
        <v>181</v>
      </c>
      <c r="C156" s="44" t="s">
        <v>125</v>
      </c>
      <c r="D156" s="35"/>
      <c r="E156" s="45">
        <v>23795166</v>
      </c>
      <c r="F156" s="45"/>
      <c r="G156" s="45">
        <v>0</v>
      </c>
      <c r="H156" s="45"/>
      <c r="I156" s="45">
        <v>0</v>
      </c>
      <c r="J156" s="45"/>
      <c r="K156" s="45">
        <v>1615096</v>
      </c>
      <c r="L156" s="45"/>
      <c r="M156" s="45">
        <v>10137168</v>
      </c>
      <c r="N156" s="45"/>
      <c r="O156" s="45">
        <v>71218</v>
      </c>
      <c r="P156" s="45"/>
      <c r="Q156" s="45">
        <v>3435792</v>
      </c>
      <c r="R156" s="45"/>
      <c r="S156" s="44">
        <f t="shared" si="3"/>
        <v>1790634</v>
      </c>
      <c r="T156" s="45"/>
      <c r="U156" s="45">
        <v>40845074</v>
      </c>
      <c r="V156" s="44"/>
      <c r="W156" s="45">
        <v>2298899</v>
      </c>
    </row>
    <row r="157" spans="1:23" s="116" customFormat="1" ht="12.75" customHeight="1">
      <c r="A157" s="44" t="s">
        <v>185</v>
      </c>
      <c r="C157" s="44" t="s">
        <v>80</v>
      </c>
      <c r="D157" s="35"/>
      <c r="E157" s="45">
        <v>2137168</v>
      </c>
      <c r="F157" s="45"/>
      <c r="G157" s="45">
        <v>6266174</v>
      </c>
      <c r="H157" s="45"/>
      <c r="I157" s="45">
        <v>0</v>
      </c>
      <c r="J157" s="45"/>
      <c r="K157" s="45">
        <v>863400</v>
      </c>
      <c r="L157" s="45"/>
      <c r="M157" s="45">
        <v>3279702</v>
      </c>
      <c r="N157" s="45"/>
      <c r="O157" s="45">
        <v>0</v>
      </c>
      <c r="P157" s="45"/>
      <c r="Q157" s="45">
        <v>884015</v>
      </c>
      <c r="R157" s="45"/>
      <c r="S157" s="44">
        <f t="shared" si="3"/>
        <v>2005639</v>
      </c>
      <c r="T157" s="45"/>
      <c r="U157" s="45">
        <v>15436098</v>
      </c>
      <c r="V157" s="44"/>
      <c r="W157" s="45">
        <v>0</v>
      </c>
    </row>
    <row r="158" spans="1:23" s="116" customFormat="1" ht="12.75" customHeight="1">
      <c r="A158" s="44" t="s">
        <v>186</v>
      </c>
      <c r="C158" s="44" t="s">
        <v>15</v>
      </c>
      <c r="D158" s="35"/>
      <c r="E158" s="45">
        <v>1765069</v>
      </c>
      <c r="F158" s="45"/>
      <c r="G158" s="45">
        <v>5864757</v>
      </c>
      <c r="H158" s="45"/>
      <c r="I158" s="45">
        <v>0</v>
      </c>
      <c r="J158" s="45"/>
      <c r="K158" s="45">
        <v>629079</v>
      </c>
      <c r="L158" s="45"/>
      <c r="M158" s="45">
        <v>4395082</v>
      </c>
      <c r="N158" s="45"/>
      <c r="O158" s="45">
        <v>0</v>
      </c>
      <c r="P158" s="45"/>
      <c r="Q158" s="45">
        <v>747060</v>
      </c>
      <c r="R158" s="45"/>
      <c r="S158" s="44">
        <f t="shared" si="3"/>
        <v>293577</v>
      </c>
      <c r="T158" s="45"/>
      <c r="U158" s="45">
        <v>13694624</v>
      </c>
      <c r="V158" s="44"/>
      <c r="W158" s="45">
        <v>1226041</v>
      </c>
    </row>
    <row r="159" spans="1:23" s="118" customFormat="1" ht="12.75" customHeight="1">
      <c r="A159" s="44" t="s">
        <v>187</v>
      </c>
      <c r="C159" s="44" t="s">
        <v>27</v>
      </c>
      <c r="D159" s="35"/>
      <c r="E159" s="45">
        <v>11300024</v>
      </c>
      <c r="F159" s="45"/>
      <c r="G159" s="45">
        <v>13347091</v>
      </c>
      <c r="H159" s="45"/>
      <c r="I159" s="45">
        <v>0</v>
      </c>
      <c r="J159" s="45"/>
      <c r="K159" s="45">
        <v>2429928</v>
      </c>
      <c r="L159" s="45"/>
      <c r="M159" s="45">
        <v>7020463</v>
      </c>
      <c r="N159" s="45"/>
      <c r="O159" s="45">
        <v>70000</v>
      </c>
      <c r="P159" s="45"/>
      <c r="Q159" s="45">
        <v>1336750</v>
      </c>
      <c r="R159" s="45"/>
      <c r="S159" s="44">
        <f t="shared" si="3"/>
        <v>1302611</v>
      </c>
      <c r="T159" s="45"/>
      <c r="U159" s="45">
        <v>36806867</v>
      </c>
      <c r="V159" s="44"/>
      <c r="W159" s="45">
        <v>1244267</v>
      </c>
    </row>
    <row r="160" spans="1:23" s="116" customFormat="1" ht="12.75" customHeight="1">
      <c r="A160" s="44" t="s">
        <v>189</v>
      </c>
      <c r="C160" s="44" t="s">
        <v>17</v>
      </c>
      <c r="D160" s="35"/>
      <c r="E160" s="45">
        <v>5416244</v>
      </c>
      <c r="F160" s="45"/>
      <c r="G160" s="45">
        <v>7556100</v>
      </c>
      <c r="H160" s="45"/>
      <c r="I160" s="45">
        <v>0</v>
      </c>
      <c r="J160" s="45"/>
      <c r="K160" s="45">
        <v>2148785</v>
      </c>
      <c r="L160" s="45"/>
      <c r="M160" s="45">
        <v>4397154</v>
      </c>
      <c r="N160" s="45"/>
      <c r="O160" s="45">
        <v>34786</v>
      </c>
      <c r="P160" s="45"/>
      <c r="Q160" s="45">
        <v>1422928</v>
      </c>
      <c r="R160" s="45"/>
      <c r="S160" s="44">
        <f t="shared" si="3"/>
        <v>1560992</v>
      </c>
      <c r="T160" s="45"/>
      <c r="U160" s="45">
        <v>22536989</v>
      </c>
      <c r="V160" s="44"/>
      <c r="W160" s="45">
        <v>2768143</v>
      </c>
    </row>
    <row r="161" spans="1:24" s="116" customFormat="1" ht="12.75" customHeight="1">
      <c r="A161" s="44" t="s">
        <v>188</v>
      </c>
      <c r="C161" s="44" t="s">
        <v>27</v>
      </c>
      <c r="D161" s="35"/>
      <c r="E161" s="45">
        <v>4649171</v>
      </c>
      <c r="F161" s="45"/>
      <c r="G161" s="45">
        <v>11623513</v>
      </c>
      <c r="H161" s="45"/>
      <c r="I161" s="45">
        <v>4219</v>
      </c>
      <c r="J161" s="45"/>
      <c r="K161" s="45">
        <v>1038030</v>
      </c>
      <c r="L161" s="45"/>
      <c r="M161" s="45">
        <v>5238786</v>
      </c>
      <c r="N161" s="45"/>
      <c r="O161" s="45">
        <v>155743</v>
      </c>
      <c r="P161" s="45"/>
      <c r="Q161" s="45">
        <v>1157304</v>
      </c>
      <c r="R161" s="45"/>
      <c r="S161" s="44">
        <f t="shared" si="3"/>
        <v>1134629</v>
      </c>
      <c r="T161" s="45"/>
      <c r="U161" s="45">
        <v>25001395</v>
      </c>
      <c r="V161" s="44"/>
      <c r="W161" s="45">
        <f>11348000+3040051</f>
        <v>14388051</v>
      </c>
    </row>
    <row r="162" spans="1:24" s="116" customFormat="1" ht="12.75" customHeight="1">
      <c r="A162" s="44" t="s">
        <v>190</v>
      </c>
      <c r="C162" s="44" t="s">
        <v>47</v>
      </c>
      <c r="D162" s="35"/>
      <c r="E162" s="45">
        <v>348880</v>
      </c>
      <c r="F162" s="45"/>
      <c r="G162" s="45">
        <v>4350644</v>
      </c>
      <c r="H162" s="45"/>
      <c r="I162" s="45">
        <v>61285</v>
      </c>
      <c r="J162" s="45"/>
      <c r="K162" s="45">
        <v>467096</v>
      </c>
      <c r="L162" s="45"/>
      <c r="M162" s="45">
        <v>2115238</v>
      </c>
      <c r="N162" s="45"/>
      <c r="O162" s="45">
        <v>112938</v>
      </c>
      <c r="P162" s="45"/>
      <c r="Q162" s="45">
        <v>326574</v>
      </c>
      <c r="R162" s="45"/>
      <c r="S162" s="44">
        <f t="shared" si="3"/>
        <v>552011</v>
      </c>
      <c r="T162" s="45"/>
      <c r="U162" s="45">
        <v>8334666</v>
      </c>
      <c r="V162" s="44"/>
      <c r="W162" s="45">
        <v>2200500</v>
      </c>
    </row>
    <row r="163" spans="1:24" s="116" customFormat="1" ht="12.75" customHeight="1">
      <c r="A163" s="44" t="s">
        <v>191</v>
      </c>
      <c r="C163" s="44" t="s">
        <v>13</v>
      </c>
      <c r="D163" s="35"/>
      <c r="E163" s="45">
        <v>1164082</v>
      </c>
      <c r="F163" s="45"/>
      <c r="G163" s="45">
        <v>3880264</v>
      </c>
      <c r="H163" s="45"/>
      <c r="I163" s="45">
        <v>0</v>
      </c>
      <c r="J163" s="45"/>
      <c r="K163" s="45">
        <v>720637</v>
      </c>
      <c r="L163" s="45"/>
      <c r="M163" s="45">
        <v>2253245</v>
      </c>
      <c r="N163" s="45"/>
      <c r="O163" s="45">
        <v>71790</v>
      </c>
      <c r="P163" s="45"/>
      <c r="Q163" s="45">
        <v>273193</v>
      </c>
      <c r="R163" s="45"/>
      <c r="S163" s="44">
        <f t="shared" si="3"/>
        <v>299607</v>
      </c>
      <c r="T163" s="45"/>
      <c r="U163" s="45">
        <v>8662818</v>
      </c>
      <c r="V163" s="44"/>
      <c r="W163" s="45">
        <v>0</v>
      </c>
    </row>
    <row r="164" spans="1:24" s="116" customFormat="1" ht="12.75" customHeight="1">
      <c r="A164" s="44" t="s">
        <v>192</v>
      </c>
      <c r="C164" s="44" t="s">
        <v>38</v>
      </c>
      <c r="D164" s="35"/>
      <c r="E164" s="45">
        <v>1562972</v>
      </c>
      <c r="F164" s="45"/>
      <c r="G164" s="45">
        <v>5377081</v>
      </c>
      <c r="H164" s="45"/>
      <c r="I164" s="45">
        <v>0</v>
      </c>
      <c r="J164" s="45"/>
      <c r="K164" s="45">
        <v>1085117</v>
      </c>
      <c r="L164" s="45"/>
      <c r="M164" s="45">
        <v>2683203</v>
      </c>
      <c r="N164" s="45"/>
      <c r="O164" s="45">
        <v>138279</v>
      </c>
      <c r="P164" s="45"/>
      <c r="Q164" s="45">
        <v>937372</v>
      </c>
      <c r="R164" s="45"/>
      <c r="S164" s="44">
        <f>+U164-SUM(E164:Q164)</f>
        <v>1029400</v>
      </c>
      <c r="T164" s="45"/>
      <c r="U164" s="45">
        <v>12813424</v>
      </c>
      <c r="V164" s="44"/>
      <c r="W164" s="45">
        <v>0</v>
      </c>
    </row>
    <row r="165" spans="1:24" s="152" customFormat="1" ht="12.75" hidden="1" customHeight="1">
      <c r="A165" s="137" t="s">
        <v>193</v>
      </c>
      <c r="C165" s="137" t="s">
        <v>45</v>
      </c>
      <c r="D165" s="142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37">
        <f t="shared" si="3"/>
        <v>0</v>
      </c>
      <c r="T165" s="143"/>
      <c r="U165" s="143"/>
      <c r="V165" s="137"/>
      <c r="W165" s="143"/>
      <c r="X165" s="154"/>
    </row>
    <row r="166" spans="1:24" s="116" customFormat="1" ht="12.75" customHeight="1">
      <c r="A166" s="44" t="s">
        <v>194</v>
      </c>
      <c r="C166" s="44" t="s">
        <v>66</v>
      </c>
      <c r="D166" s="35"/>
      <c r="E166" s="45">
        <v>1885004</v>
      </c>
      <c r="F166" s="45"/>
      <c r="G166" s="45">
        <v>5580572</v>
      </c>
      <c r="H166" s="45"/>
      <c r="I166" s="45">
        <v>282986</v>
      </c>
      <c r="J166" s="45"/>
      <c r="K166" s="45">
        <v>1099649</v>
      </c>
      <c r="L166" s="45"/>
      <c r="M166" s="45">
        <v>11067158</v>
      </c>
      <c r="N166" s="45"/>
      <c r="O166" s="45">
        <v>138783</v>
      </c>
      <c r="P166" s="45"/>
      <c r="Q166" s="45">
        <v>155787</v>
      </c>
      <c r="R166" s="45"/>
      <c r="S166" s="44">
        <f t="shared" si="3"/>
        <v>1362385</v>
      </c>
      <c r="T166" s="45"/>
      <c r="U166" s="45">
        <v>21572324</v>
      </c>
      <c r="V166" s="44"/>
      <c r="W166" s="45">
        <v>0</v>
      </c>
    </row>
    <row r="167" spans="1:24" s="116" customFormat="1" ht="12.75" customHeight="1">
      <c r="A167" s="44" t="s">
        <v>195</v>
      </c>
      <c r="C167" s="44" t="s">
        <v>17</v>
      </c>
      <c r="D167" s="35"/>
      <c r="E167" s="45">
        <v>819590</v>
      </c>
      <c r="F167" s="45"/>
      <c r="G167" s="45">
        <v>4965833</v>
      </c>
      <c r="H167" s="45"/>
      <c r="I167" s="45">
        <v>1277234</v>
      </c>
      <c r="J167" s="45"/>
      <c r="K167" s="45">
        <v>174086</v>
      </c>
      <c r="L167" s="45"/>
      <c r="M167" s="45">
        <v>2685462</v>
      </c>
      <c r="N167" s="45"/>
      <c r="O167" s="45">
        <v>30186</v>
      </c>
      <c r="P167" s="45"/>
      <c r="Q167" s="45">
        <v>983811</v>
      </c>
      <c r="R167" s="45"/>
      <c r="S167" s="44">
        <f t="shared" si="3"/>
        <v>952074</v>
      </c>
      <c r="T167" s="45"/>
      <c r="U167" s="45">
        <v>11888276</v>
      </c>
      <c r="V167" s="44"/>
      <c r="W167" s="45">
        <v>4305390</v>
      </c>
    </row>
    <row r="168" spans="1:24" s="152" customFormat="1" ht="12.75" hidden="1" customHeight="1">
      <c r="A168" s="137" t="s">
        <v>402</v>
      </c>
      <c r="C168" s="137" t="s">
        <v>153</v>
      </c>
      <c r="D168" s="142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  <c r="S168" s="137">
        <f t="shared" si="3"/>
        <v>0</v>
      </c>
      <c r="T168" s="143"/>
      <c r="U168" s="143"/>
      <c r="V168" s="137"/>
      <c r="W168" s="143"/>
    </row>
    <row r="169" spans="1:24" s="152" customFormat="1" ht="12.75" hidden="1" customHeight="1">
      <c r="A169" s="137"/>
      <c r="C169" s="137"/>
      <c r="D169" s="142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37"/>
      <c r="T169" s="143"/>
      <c r="U169" s="143"/>
      <c r="V169" s="137"/>
      <c r="W169" s="143"/>
    </row>
    <row r="170" spans="1:24" s="117" customFormat="1" ht="12.75" customHeight="1">
      <c r="A170" s="44" t="s">
        <v>197</v>
      </c>
      <c r="B170" s="116"/>
      <c r="C170" s="44" t="s">
        <v>163</v>
      </c>
      <c r="D170" s="35"/>
      <c r="E170" s="45">
        <v>1841600</v>
      </c>
      <c r="F170" s="45"/>
      <c r="G170" s="45">
        <v>17770221</v>
      </c>
      <c r="H170" s="45"/>
      <c r="I170" s="45">
        <v>1482563</v>
      </c>
      <c r="J170" s="45"/>
      <c r="K170" s="45">
        <v>720906</v>
      </c>
      <c r="L170" s="45"/>
      <c r="M170" s="45">
        <v>4191723</v>
      </c>
      <c r="N170" s="45"/>
      <c r="O170" s="45">
        <v>799593</v>
      </c>
      <c r="P170" s="45"/>
      <c r="Q170" s="45">
        <v>914889</v>
      </c>
      <c r="R170" s="45"/>
      <c r="S170" s="44">
        <f t="shared" si="3"/>
        <v>1145947</v>
      </c>
      <c r="T170" s="45"/>
      <c r="U170" s="45">
        <v>28867442</v>
      </c>
      <c r="V170" s="44"/>
      <c r="W170" s="45">
        <v>1986859</v>
      </c>
    </row>
    <row r="171" spans="1:24" s="116" customFormat="1" ht="12.75" customHeight="1">
      <c r="A171" s="44" t="s">
        <v>198</v>
      </c>
      <c r="C171" s="44" t="s">
        <v>199</v>
      </c>
      <c r="D171" s="35"/>
      <c r="E171" s="45">
        <v>479755</v>
      </c>
      <c r="F171" s="45"/>
      <c r="G171" s="45">
        <v>4210991</v>
      </c>
      <c r="H171" s="45"/>
      <c r="I171" s="45">
        <v>1253330</v>
      </c>
      <c r="J171" s="45"/>
      <c r="K171" s="45">
        <v>609929</v>
      </c>
      <c r="L171" s="45"/>
      <c r="M171" s="45">
        <v>2036256</v>
      </c>
      <c r="N171" s="45"/>
      <c r="O171" s="45">
        <v>22759</v>
      </c>
      <c r="P171" s="45"/>
      <c r="Q171" s="45">
        <v>40170</v>
      </c>
      <c r="R171" s="45"/>
      <c r="S171" s="44">
        <f t="shared" si="3"/>
        <v>20503</v>
      </c>
      <c r="T171" s="45"/>
      <c r="U171" s="45">
        <v>8673693</v>
      </c>
      <c r="V171" s="44"/>
      <c r="W171" s="45">
        <v>602637</v>
      </c>
    </row>
    <row r="172" spans="1:24" s="116" customFormat="1" ht="12.75" customHeight="1">
      <c r="A172" s="44" t="s">
        <v>200</v>
      </c>
      <c r="C172" s="44" t="s">
        <v>103</v>
      </c>
      <c r="D172" s="35"/>
      <c r="E172" s="45">
        <v>1159315</v>
      </c>
      <c r="F172" s="45"/>
      <c r="G172" s="45">
        <v>6190198</v>
      </c>
      <c r="H172" s="45"/>
      <c r="I172" s="45">
        <v>770741</v>
      </c>
      <c r="J172" s="45"/>
      <c r="K172" s="45">
        <v>1100505</v>
      </c>
      <c r="L172" s="45"/>
      <c r="M172" s="45">
        <v>4733019</v>
      </c>
      <c r="N172" s="45"/>
      <c r="O172" s="45">
        <v>0</v>
      </c>
      <c r="P172" s="45"/>
      <c r="Q172" s="45">
        <v>779492</v>
      </c>
      <c r="R172" s="45"/>
      <c r="S172" s="44">
        <f t="shared" si="3"/>
        <v>210538</v>
      </c>
      <c r="T172" s="45"/>
      <c r="U172" s="45">
        <v>14943808</v>
      </c>
      <c r="V172" s="44"/>
      <c r="W172" s="45">
        <v>0</v>
      </c>
    </row>
    <row r="173" spans="1:24" s="116" customFormat="1" ht="12.75" customHeight="1">
      <c r="A173" s="44" t="s">
        <v>201</v>
      </c>
      <c r="C173" s="44" t="s">
        <v>92</v>
      </c>
      <c r="D173" s="35"/>
      <c r="E173" s="45">
        <v>883993</v>
      </c>
      <c r="F173" s="45"/>
      <c r="G173" s="45">
        <v>8431682</v>
      </c>
      <c r="H173" s="45"/>
      <c r="I173" s="45">
        <v>1930229</v>
      </c>
      <c r="J173" s="45"/>
      <c r="K173" s="45">
        <v>658104</v>
      </c>
      <c r="L173" s="45"/>
      <c r="M173" s="45">
        <v>2928630</v>
      </c>
      <c r="N173" s="45"/>
      <c r="O173" s="45">
        <v>85079</v>
      </c>
      <c r="P173" s="45"/>
      <c r="Q173" s="45">
        <v>1679941</v>
      </c>
      <c r="R173" s="45"/>
      <c r="S173" s="44">
        <f t="shared" si="3"/>
        <v>725957</v>
      </c>
      <c r="T173" s="45"/>
      <c r="U173" s="45">
        <v>17323615</v>
      </c>
      <c r="V173" s="44"/>
      <c r="W173" s="45">
        <v>3703500</v>
      </c>
    </row>
    <row r="174" spans="1:24" s="116" customFormat="1" ht="12.75" customHeight="1">
      <c r="A174" s="44" t="s">
        <v>202</v>
      </c>
      <c r="C174" s="44" t="s">
        <v>27</v>
      </c>
      <c r="D174" s="35"/>
      <c r="E174" s="45">
        <v>10578329</v>
      </c>
      <c r="F174" s="45"/>
      <c r="G174" s="45">
        <v>34384523</v>
      </c>
      <c r="H174" s="45"/>
      <c r="I174" s="45">
        <v>0</v>
      </c>
      <c r="J174" s="45"/>
      <c r="K174" s="45">
        <v>2471391</v>
      </c>
      <c r="L174" s="45"/>
      <c r="M174" s="45">
        <v>17393913</v>
      </c>
      <c r="N174" s="45"/>
      <c r="O174" s="45">
        <v>1089930</v>
      </c>
      <c r="P174" s="45"/>
      <c r="Q174" s="45">
        <v>3836320</v>
      </c>
      <c r="R174" s="45"/>
      <c r="S174" s="44">
        <f t="shared" si="3"/>
        <v>2321267</v>
      </c>
      <c r="T174" s="45"/>
      <c r="U174" s="45">
        <v>72075673</v>
      </c>
      <c r="V174" s="44"/>
      <c r="W174" s="45">
        <v>1598235</v>
      </c>
    </row>
    <row r="175" spans="1:24" s="116" customFormat="1" ht="12.75" customHeight="1">
      <c r="A175" s="44" t="s">
        <v>203</v>
      </c>
      <c r="C175" s="44" t="s">
        <v>27</v>
      </c>
      <c r="D175" s="35"/>
      <c r="E175" s="45">
        <v>10578329</v>
      </c>
      <c r="F175" s="45"/>
      <c r="G175" s="45">
        <v>34384523</v>
      </c>
      <c r="H175" s="45"/>
      <c r="I175" s="45">
        <v>1215464</v>
      </c>
      <c r="J175" s="45"/>
      <c r="K175" s="45">
        <v>2471391</v>
      </c>
      <c r="L175" s="45"/>
      <c r="M175" s="45">
        <v>17393913</v>
      </c>
      <c r="N175" s="45"/>
      <c r="O175" s="45">
        <v>1089930</v>
      </c>
      <c r="P175" s="45"/>
      <c r="Q175" s="45">
        <v>3836320</v>
      </c>
      <c r="R175" s="45"/>
      <c r="S175" s="44">
        <f t="shared" si="3"/>
        <v>1105803</v>
      </c>
      <c r="T175" s="45"/>
      <c r="U175" s="45">
        <v>72075673</v>
      </c>
      <c r="V175" s="44"/>
      <c r="W175" s="45">
        <v>1598235</v>
      </c>
    </row>
    <row r="176" spans="1:24" s="116" customFormat="1" ht="12.75" customHeight="1">
      <c r="A176" s="44" t="s">
        <v>204</v>
      </c>
      <c r="C176" s="44" t="s">
        <v>125</v>
      </c>
      <c r="D176" s="35"/>
      <c r="E176" s="45">
        <v>2169911</v>
      </c>
      <c r="F176" s="45"/>
      <c r="G176" s="45">
        <v>0</v>
      </c>
      <c r="H176" s="45"/>
      <c r="I176" s="45">
        <v>141600</v>
      </c>
      <c r="J176" s="45"/>
      <c r="K176" s="45">
        <v>175982</v>
      </c>
      <c r="L176" s="45"/>
      <c r="M176" s="45">
        <v>1600086</v>
      </c>
      <c r="N176" s="45"/>
      <c r="O176" s="45">
        <v>0</v>
      </c>
      <c r="P176" s="45"/>
      <c r="Q176" s="45">
        <v>210730</v>
      </c>
      <c r="R176" s="45"/>
      <c r="S176" s="44">
        <f t="shared" si="3"/>
        <v>355470</v>
      </c>
      <c r="T176" s="45"/>
      <c r="U176" s="45">
        <v>4653779</v>
      </c>
      <c r="V176" s="44"/>
      <c r="W176" s="45">
        <v>524980</v>
      </c>
    </row>
    <row r="177" spans="1:23" s="116" customFormat="1" ht="12.75" customHeight="1">
      <c r="A177" s="46" t="s">
        <v>205</v>
      </c>
      <c r="B177" s="117"/>
      <c r="C177" s="46" t="s">
        <v>27</v>
      </c>
      <c r="D177" s="64"/>
      <c r="E177" s="45">
        <v>3545393</v>
      </c>
      <c r="F177" s="45"/>
      <c r="G177" s="45">
        <v>4026993</v>
      </c>
      <c r="H177" s="45"/>
      <c r="I177" s="45">
        <v>2464586</v>
      </c>
      <c r="J177" s="45"/>
      <c r="K177" s="45">
        <v>372133</v>
      </c>
      <c r="L177" s="45"/>
      <c r="M177" s="45">
        <v>905244</v>
      </c>
      <c r="N177" s="45"/>
      <c r="O177" s="45">
        <v>102496</v>
      </c>
      <c r="P177" s="45"/>
      <c r="Q177" s="45">
        <v>70102</v>
      </c>
      <c r="R177" s="45"/>
      <c r="S177" s="44">
        <f t="shared" si="3"/>
        <v>811855</v>
      </c>
      <c r="T177" s="45"/>
      <c r="U177" s="45">
        <v>12298802</v>
      </c>
      <c r="V177" s="44"/>
      <c r="W177" s="45">
        <v>8337098</v>
      </c>
    </row>
    <row r="178" spans="1:23" s="116" customFormat="1" ht="12.75" customHeight="1">
      <c r="A178" s="44" t="s">
        <v>206</v>
      </c>
      <c r="C178" s="44" t="s">
        <v>47</v>
      </c>
      <c r="D178" s="35"/>
      <c r="E178" s="45">
        <v>3020575</v>
      </c>
      <c r="F178" s="45"/>
      <c r="G178" s="45">
        <v>13343420</v>
      </c>
      <c r="H178" s="45"/>
      <c r="I178" s="45">
        <v>155418</v>
      </c>
      <c r="J178" s="45"/>
      <c r="K178" s="45">
        <v>595388</v>
      </c>
      <c r="L178" s="45"/>
      <c r="M178" s="45">
        <v>2682122</v>
      </c>
      <c r="N178" s="45"/>
      <c r="O178" s="45">
        <v>221916</v>
      </c>
      <c r="P178" s="45"/>
      <c r="Q178" s="45">
        <v>1234572</v>
      </c>
      <c r="R178" s="45"/>
      <c r="S178" s="44">
        <f t="shared" si="3"/>
        <v>249945</v>
      </c>
      <c r="T178" s="45"/>
      <c r="U178" s="45">
        <v>21503356</v>
      </c>
      <c r="V178" s="44"/>
      <c r="W178" s="45">
        <v>0</v>
      </c>
    </row>
    <row r="179" spans="1:23" s="116" customFormat="1" ht="12.75" customHeight="1">
      <c r="A179" s="44" t="s">
        <v>207</v>
      </c>
      <c r="C179" s="44" t="s">
        <v>102</v>
      </c>
      <c r="D179" s="35"/>
      <c r="E179" s="45">
        <v>2464442</v>
      </c>
      <c r="F179" s="45"/>
      <c r="G179" s="45">
        <v>4111715</v>
      </c>
      <c r="H179" s="45"/>
      <c r="I179" s="45">
        <v>909962</v>
      </c>
      <c r="J179" s="45"/>
      <c r="K179" s="45">
        <v>467173</v>
      </c>
      <c r="L179" s="45"/>
      <c r="M179" s="45">
        <v>1590508</v>
      </c>
      <c r="N179" s="45"/>
      <c r="O179" s="45">
        <v>0</v>
      </c>
      <c r="P179" s="45"/>
      <c r="Q179" s="45">
        <v>1165699</v>
      </c>
      <c r="R179" s="45"/>
      <c r="S179" s="44">
        <f t="shared" si="3"/>
        <v>281239</v>
      </c>
      <c r="T179" s="45"/>
      <c r="U179" s="45">
        <v>10990738</v>
      </c>
      <c r="V179" s="44"/>
      <c r="W179" s="45">
        <v>1146733</v>
      </c>
    </row>
    <row r="180" spans="1:23" s="116" customFormat="1" ht="12.75" customHeight="1">
      <c r="A180" s="44" t="s">
        <v>208</v>
      </c>
      <c r="C180" s="44" t="s">
        <v>209</v>
      </c>
      <c r="D180" s="35"/>
      <c r="E180" s="45">
        <v>1466214</v>
      </c>
      <c r="F180" s="45"/>
      <c r="G180" s="45">
        <v>8260918</v>
      </c>
      <c r="H180" s="45"/>
      <c r="I180" s="45">
        <v>1783708</v>
      </c>
      <c r="J180" s="45"/>
      <c r="K180" s="45">
        <v>0</v>
      </c>
      <c r="L180" s="45"/>
      <c r="M180" s="45">
        <v>2530167</v>
      </c>
      <c r="N180" s="45"/>
      <c r="O180" s="45">
        <v>0</v>
      </c>
      <c r="P180" s="45"/>
      <c r="Q180" s="45">
        <v>1073084</v>
      </c>
      <c r="R180" s="45"/>
      <c r="S180" s="44">
        <f t="shared" si="3"/>
        <v>6618064</v>
      </c>
      <c r="T180" s="45"/>
      <c r="U180" s="45">
        <v>21732155</v>
      </c>
      <c r="V180" s="44"/>
      <c r="W180" s="45">
        <v>2239544</v>
      </c>
    </row>
    <row r="181" spans="1:23" s="117" customFormat="1" ht="12.75" customHeight="1">
      <c r="A181" s="44" t="s">
        <v>210</v>
      </c>
      <c r="B181" s="116"/>
      <c r="C181" s="44" t="s">
        <v>211</v>
      </c>
      <c r="D181" s="35"/>
      <c r="E181" s="45">
        <v>832147</v>
      </c>
      <c r="F181" s="45"/>
      <c r="G181" s="45">
        <v>2184884</v>
      </c>
      <c r="H181" s="45"/>
      <c r="I181" s="45">
        <v>136511</v>
      </c>
      <c r="J181" s="45"/>
      <c r="K181" s="45">
        <v>240713</v>
      </c>
      <c r="L181" s="45"/>
      <c r="M181" s="45">
        <v>1217669</v>
      </c>
      <c r="N181" s="45"/>
      <c r="O181" s="45">
        <v>19570</v>
      </c>
      <c r="P181" s="45"/>
      <c r="Q181" s="45">
        <v>86948</v>
      </c>
      <c r="R181" s="45"/>
      <c r="S181" s="44">
        <f t="shared" si="3"/>
        <v>313446</v>
      </c>
      <c r="T181" s="45"/>
      <c r="U181" s="45">
        <v>5031888</v>
      </c>
      <c r="V181" s="44"/>
      <c r="W181" s="45">
        <v>296510</v>
      </c>
    </row>
    <row r="182" spans="1:23" s="116" customFormat="1" ht="12.75" customHeight="1">
      <c r="A182" s="44" t="s">
        <v>212</v>
      </c>
      <c r="C182" s="44" t="s">
        <v>213</v>
      </c>
      <c r="D182" s="35"/>
      <c r="E182" s="45">
        <v>8705227</v>
      </c>
      <c r="F182" s="45"/>
      <c r="G182" s="45">
        <v>0</v>
      </c>
      <c r="H182" s="45"/>
      <c r="I182" s="45">
        <v>0</v>
      </c>
      <c r="J182" s="45"/>
      <c r="K182" s="45">
        <v>0</v>
      </c>
      <c r="L182" s="45"/>
      <c r="M182" s="45">
        <v>5442279</v>
      </c>
      <c r="N182" s="45"/>
      <c r="O182" s="45">
        <v>0</v>
      </c>
      <c r="P182" s="45"/>
      <c r="Q182" s="45">
        <f>255533+1251120</f>
        <v>1506653</v>
      </c>
      <c r="R182" s="45"/>
      <c r="S182" s="44">
        <f t="shared" si="3"/>
        <v>1278223</v>
      </c>
      <c r="T182" s="45"/>
      <c r="U182" s="45">
        <v>16932382</v>
      </c>
      <c r="V182" s="44"/>
      <c r="W182" s="45">
        <f>724000-168000</f>
        <v>556000</v>
      </c>
    </row>
    <row r="183" spans="1:23" s="118" customFormat="1" ht="12.75" customHeight="1">
      <c r="A183" s="44" t="s">
        <v>214</v>
      </c>
      <c r="B183" s="116"/>
      <c r="C183" s="44" t="s">
        <v>86</v>
      </c>
      <c r="D183" s="35"/>
      <c r="E183" s="45">
        <v>1513111</v>
      </c>
      <c r="F183" s="45"/>
      <c r="G183" s="45">
        <v>3655321</v>
      </c>
      <c r="H183" s="45"/>
      <c r="I183" s="45">
        <v>233061</v>
      </c>
      <c r="J183" s="45"/>
      <c r="K183" s="45">
        <v>0</v>
      </c>
      <c r="L183" s="45"/>
      <c r="M183" s="45">
        <v>825285</v>
      </c>
      <c r="N183" s="45"/>
      <c r="O183" s="45">
        <v>0</v>
      </c>
      <c r="P183" s="45"/>
      <c r="Q183" s="45">
        <v>1163063</v>
      </c>
      <c r="R183" s="45"/>
      <c r="S183" s="44">
        <f t="shared" si="3"/>
        <v>1531091</v>
      </c>
      <c r="T183" s="45"/>
      <c r="U183" s="45">
        <v>8920932</v>
      </c>
      <c r="V183" s="44"/>
      <c r="W183" s="45">
        <v>0</v>
      </c>
    </row>
    <row r="184" spans="1:23" s="116" customFormat="1" ht="12.75" customHeight="1">
      <c r="A184" s="44" t="s">
        <v>215</v>
      </c>
      <c r="C184" s="44" t="s">
        <v>22</v>
      </c>
      <c r="D184" s="35"/>
      <c r="E184" s="45">
        <v>758049</v>
      </c>
      <c r="F184" s="45"/>
      <c r="G184" s="45">
        <v>7194344</v>
      </c>
      <c r="H184" s="45"/>
      <c r="I184" s="45">
        <v>551057</v>
      </c>
      <c r="J184" s="45"/>
      <c r="K184" s="45">
        <v>1052240</v>
      </c>
      <c r="L184" s="45"/>
      <c r="M184" s="45">
        <v>3138798</v>
      </c>
      <c r="N184" s="45"/>
      <c r="O184" s="45">
        <v>62309</v>
      </c>
      <c r="P184" s="45"/>
      <c r="Q184" s="45">
        <v>380859</v>
      </c>
      <c r="R184" s="45"/>
      <c r="S184" s="44">
        <f>+U184-SUM(E184:Q184)</f>
        <v>215390</v>
      </c>
      <c r="T184" s="45"/>
      <c r="U184" s="45">
        <v>13353046</v>
      </c>
      <c r="V184" s="44"/>
      <c r="W184" s="45">
        <v>0</v>
      </c>
    </row>
    <row r="185" spans="1:23" s="116" customFormat="1" ht="12.75" customHeight="1">
      <c r="A185" s="44" t="s">
        <v>216</v>
      </c>
      <c r="C185" s="44" t="s">
        <v>45</v>
      </c>
      <c r="D185" s="35"/>
      <c r="E185" s="45">
        <v>7125650</v>
      </c>
      <c r="F185" s="45"/>
      <c r="G185" s="45">
        <v>0</v>
      </c>
      <c r="H185" s="45"/>
      <c r="I185" s="45">
        <v>198487</v>
      </c>
      <c r="J185" s="45"/>
      <c r="K185" s="45">
        <v>833277</v>
      </c>
      <c r="L185" s="45"/>
      <c r="M185" s="45">
        <v>2071605</v>
      </c>
      <c r="N185" s="45"/>
      <c r="O185" s="45">
        <v>2340</v>
      </c>
      <c r="P185" s="45"/>
      <c r="Q185" s="45">
        <v>384009</v>
      </c>
      <c r="R185" s="45"/>
      <c r="S185" s="44">
        <f t="shared" si="3"/>
        <v>213563</v>
      </c>
      <c r="T185" s="45"/>
      <c r="U185" s="45">
        <v>10828931</v>
      </c>
      <c r="V185" s="44"/>
      <c r="W185" s="45">
        <v>0</v>
      </c>
    </row>
    <row r="186" spans="1:23" s="116" customFormat="1" ht="12.75" customHeight="1">
      <c r="A186" s="44" t="s">
        <v>217</v>
      </c>
      <c r="C186" s="44" t="s">
        <v>43</v>
      </c>
      <c r="D186" s="35"/>
      <c r="E186" s="45">
        <v>11426247</v>
      </c>
      <c r="F186" s="45"/>
      <c r="G186" s="45">
        <v>0</v>
      </c>
      <c r="H186" s="45"/>
      <c r="I186" s="45">
        <v>1397864</v>
      </c>
      <c r="J186" s="45"/>
      <c r="K186" s="45">
        <v>465386</v>
      </c>
      <c r="L186" s="45"/>
      <c r="M186" s="45">
        <v>3913526</v>
      </c>
      <c r="N186" s="45"/>
      <c r="O186" s="45">
        <v>54484</v>
      </c>
      <c r="P186" s="45"/>
      <c r="Q186" s="45">
        <v>853412</v>
      </c>
      <c r="R186" s="45"/>
      <c r="S186" s="44">
        <f t="shared" si="3"/>
        <v>366610</v>
      </c>
      <c r="T186" s="45"/>
      <c r="U186" s="45">
        <v>18477529</v>
      </c>
      <c r="V186" s="44"/>
      <c r="W186" s="45">
        <v>7227</v>
      </c>
    </row>
    <row r="187" spans="1:23" s="116" customFormat="1" ht="12.75" hidden="1" customHeight="1">
      <c r="A187" s="44" t="s">
        <v>218</v>
      </c>
      <c r="B187" s="118"/>
      <c r="C187" s="44" t="s">
        <v>27</v>
      </c>
      <c r="D187" s="35"/>
      <c r="E187" s="45">
        <v>3153100</v>
      </c>
      <c r="F187" s="45"/>
      <c r="G187" s="45">
        <v>4565764</v>
      </c>
      <c r="H187" s="45"/>
      <c r="I187" s="45">
        <v>652807</v>
      </c>
      <c r="J187" s="45"/>
      <c r="K187" s="45">
        <v>431932</v>
      </c>
      <c r="L187" s="45"/>
      <c r="M187" s="45">
        <v>1579077</v>
      </c>
      <c r="N187" s="45"/>
      <c r="O187" s="45">
        <v>566411</v>
      </c>
      <c r="P187" s="45"/>
      <c r="Q187" s="45">
        <v>440881</v>
      </c>
      <c r="R187" s="45"/>
      <c r="S187" s="44">
        <f t="shared" si="3"/>
        <v>424165</v>
      </c>
      <c r="T187" s="45"/>
      <c r="U187" s="45">
        <v>11814137</v>
      </c>
      <c r="V187" s="44"/>
      <c r="W187" s="45">
        <v>5259471</v>
      </c>
    </row>
    <row r="188" spans="1:23" s="116" customFormat="1" ht="12.75" customHeight="1">
      <c r="A188" s="44" t="s">
        <v>219</v>
      </c>
      <c r="C188" s="44" t="s">
        <v>199</v>
      </c>
      <c r="D188" s="35"/>
      <c r="E188" s="45">
        <v>718492</v>
      </c>
      <c r="F188" s="45"/>
      <c r="G188" s="45">
        <v>1005707</v>
      </c>
      <c r="H188" s="45"/>
      <c r="I188" s="45">
        <v>195868</v>
      </c>
      <c r="J188" s="45"/>
      <c r="K188" s="45">
        <v>1026629</v>
      </c>
      <c r="L188" s="45"/>
      <c r="M188" s="45">
        <v>1158774</v>
      </c>
      <c r="N188" s="45"/>
      <c r="O188" s="45">
        <v>17447</v>
      </c>
      <c r="P188" s="45"/>
      <c r="Q188" s="45">
        <v>95619</v>
      </c>
      <c r="R188" s="45"/>
      <c r="S188" s="44">
        <f t="shared" si="3"/>
        <v>86748</v>
      </c>
      <c r="T188" s="45"/>
      <c r="U188" s="45">
        <v>4305284</v>
      </c>
      <c r="V188" s="44"/>
      <c r="W188" s="45">
        <v>506000</v>
      </c>
    </row>
    <row r="189" spans="1:23" s="116" customFormat="1" ht="12.75" customHeight="1">
      <c r="A189" s="44" t="s">
        <v>220</v>
      </c>
      <c r="C189" s="44" t="s">
        <v>66</v>
      </c>
      <c r="D189" s="35"/>
      <c r="E189" s="45">
        <v>2366897</v>
      </c>
      <c r="F189" s="45"/>
      <c r="G189" s="45">
        <v>5139761</v>
      </c>
      <c r="H189" s="45"/>
      <c r="I189" s="45">
        <v>247319</v>
      </c>
      <c r="J189" s="45"/>
      <c r="K189" s="45">
        <v>1748288</v>
      </c>
      <c r="L189" s="45"/>
      <c r="M189" s="45">
        <v>3197971</v>
      </c>
      <c r="N189" s="45"/>
      <c r="O189" s="45">
        <v>250267</v>
      </c>
      <c r="P189" s="45"/>
      <c r="Q189" s="45">
        <v>77727</v>
      </c>
      <c r="R189" s="45"/>
      <c r="S189" s="44">
        <f t="shared" si="3"/>
        <v>475466</v>
      </c>
      <c r="T189" s="45"/>
      <c r="U189" s="45">
        <v>13503696</v>
      </c>
      <c r="V189" s="44"/>
      <c r="W189" s="45">
        <v>0</v>
      </c>
    </row>
    <row r="190" spans="1:23" s="116" customFormat="1" ht="12.75" customHeight="1">
      <c r="A190" s="44" t="s">
        <v>221</v>
      </c>
      <c r="C190" s="44" t="s">
        <v>27</v>
      </c>
      <c r="D190" s="35"/>
      <c r="E190" s="45">
        <v>7860689</v>
      </c>
      <c r="F190" s="45"/>
      <c r="G190" s="45">
        <v>8524272</v>
      </c>
      <c r="H190" s="45"/>
      <c r="I190" s="45">
        <v>1301139</v>
      </c>
      <c r="J190" s="45"/>
      <c r="K190" s="45">
        <v>2362258</v>
      </c>
      <c r="L190" s="45"/>
      <c r="M190" s="45">
        <v>4657429</v>
      </c>
      <c r="N190" s="45"/>
      <c r="O190" s="45">
        <v>69545</v>
      </c>
      <c r="P190" s="45"/>
      <c r="Q190" s="45">
        <v>2870455</v>
      </c>
      <c r="R190" s="45"/>
      <c r="S190" s="44">
        <f t="shared" si="3"/>
        <v>619883</v>
      </c>
      <c r="T190" s="45"/>
      <c r="U190" s="45">
        <v>28265670</v>
      </c>
      <c r="V190" s="44"/>
      <c r="W190" s="45">
        <v>32740</v>
      </c>
    </row>
    <row r="191" spans="1:23" s="116" customFormat="1" ht="12.75" customHeight="1">
      <c r="A191" s="44" t="s">
        <v>222</v>
      </c>
      <c r="C191" s="44" t="s">
        <v>47</v>
      </c>
      <c r="D191" s="35"/>
      <c r="E191" s="45">
        <v>1628994</v>
      </c>
      <c r="F191" s="45"/>
      <c r="G191" s="45">
        <v>2831306</v>
      </c>
      <c r="H191" s="45"/>
      <c r="I191" s="45">
        <v>507268</v>
      </c>
      <c r="J191" s="45"/>
      <c r="K191" s="45">
        <v>179533</v>
      </c>
      <c r="L191" s="45"/>
      <c r="M191" s="45">
        <v>1141428</v>
      </c>
      <c r="N191" s="45"/>
      <c r="O191" s="45">
        <v>829910</v>
      </c>
      <c r="P191" s="45"/>
      <c r="Q191" s="45">
        <v>70351</v>
      </c>
      <c r="R191" s="45"/>
      <c r="S191" s="44">
        <f t="shared" si="3"/>
        <v>75216</v>
      </c>
      <c r="T191" s="45"/>
      <c r="U191" s="45">
        <v>7264006</v>
      </c>
      <c r="V191" s="44"/>
      <c r="W191" s="45">
        <v>0</v>
      </c>
    </row>
    <row r="192" spans="1:23" s="116" customFormat="1" ht="12.75" customHeight="1">
      <c r="A192" s="44" t="s">
        <v>223</v>
      </c>
      <c r="C192" s="44" t="s">
        <v>94</v>
      </c>
      <c r="D192" s="35"/>
      <c r="E192" s="45">
        <v>5188880</v>
      </c>
      <c r="F192" s="45"/>
      <c r="G192" s="45">
        <v>0</v>
      </c>
      <c r="H192" s="45"/>
      <c r="I192" s="45">
        <v>723648</v>
      </c>
      <c r="J192" s="45"/>
      <c r="K192" s="45">
        <v>73419</v>
      </c>
      <c r="L192" s="45"/>
      <c r="M192" s="45">
        <v>1576559</v>
      </c>
      <c r="N192" s="45"/>
      <c r="O192" s="45">
        <v>20335</v>
      </c>
      <c r="P192" s="45"/>
      <c r="Q192" s="45">
        <v>162248</v>
      </c>
      <c r="R192" s="45"/>
      <c r="S192" s="44">
        <f t="shared" si="3"/>
        <v>109586</v>
      </c>
      <c r="T192" s="45"/>
      <c r="U192" s="45">
        <v>7854675</v>
      </c>
      <c r="V192" s="44"/>
      <c r="W192" s="45">
        <v>330824</v>
      </c>
    </row>
    <row r="193" spans="1:23" s="116" customFormat="1" ht="12.75" customHeight="1">
      <c r="A193" s="44" t="s">
        <v>76</v>
      </c>
      <c r="C193" s="44" t="s">
        <v>132</v>
      </c>
      <c r="D193" s="35"/>
      <c r="E193" s="45">
        <v>2537843</v>
      </c>
      <c r="F193" s="45"/>
      <c r="G193" s="45">
        <v>7387718</v>
      </c>
      <c r="H193" s="45"/>
      <c r="I193" s="45">
        <v>4155563</v>
      </c>
      <c r="J193" s="45"/>
      <c r="K193" s="45">
        <v>1562798</v>
      </c>
      <c r="L193" s="45"/>
      <c r="M193" s="45">
        <v>6007797</v>
      </c>
      <c r="N193" s="45"/>
      <c r="O193" s="45">
        <v>514373</v>
      </c>
      <c r="P193" s="45"/>
      <c r="Q193" s="45">
        <v>1778753</v>
      </c>
      <c r="R193" s="45"/>
      <c r="S193" s="44">
        <f t="shared" si="3"/>
        <v>2756887</v>
      </c>
      <c r="T193" s="45"/>
      <c r="U193" s="45">
        <v>26701732</v>
      </c>
      <c r="V193" s="44"/>
      <c r="W193" s="45">
        <v>2028042</v>
      </c>
    </row>
    <row r="194" spans="1:23" s="116" customFormat="1" ht="12.75" customHeight="1">
      <c r="A194" s="44" t="s">
        <v>224</v>
      </c>
      <c r="C194" s="44" t="s">
        <v>27</v>
      </c>
      <c r="D194" s="35"/>
      <c r="E194" s="45">
        <v>7431343</v>
      </c>
      <c r="F194" s="45"/>
      <c r="G194" s="45">
        <v>0</v>
      </c>
      <c r="H194" s="45"/>
      <c r="I194" s="45">
        <v>0</v>
      </c>
      <c r="J194" s="45"/>
      <c r="K194" s="45">
        <v>939512</v>
      </c>
      <c r="L194" s="45"/>
      <c r="M194" s="45">
        <v>1863452</v>
      </c>
      <c r="N194" s="45"/>
      <c r="O194" s="45">
        <v>82106</v>
      </c>
      <c r="P194" s="45"/>
      <c r="Q194" s="45">
        <v>539758</v>
      </c>
      <c r="R194" s="45"/>
      <c r="S194" s="44">
        <f t="shared" si="3"/>
        <v>639644</v>
      </c>
      <c r="T194" s="45"/>
      <c r="U194" s="45">
        <v>11495815</v>
      </c>
      <c r="V194" s="44"/>
      <c r="W194" s="45">
        <v>31162</v>
      </c>
    </row>
    <row r="195" spans="1:23" s="116" customFormat="1" ht="12.75" customHeight="1">
      <c r="A195" s="44" t="s">
        <v>225</v>
      </c>
      <c r="C195" s="44" t="s">
        <v>27</v>
      </c>
      <c r="D195" s="35"/>
      <c r="E195" s="45">
        <v>8889841</v>
      </c>
      <c r="F195" s="45"/>
      <c r="G195" s="45">
        <v>20246324</v>
      </c>
      <c r="H195" s="45"/>
      <c r="I195" s="45">
        <v>68772</v>
      </c>
      <c r="J195" s="45"/>
      <c r="K195" s="45">
        <v>6508530</v>
      </c>
      <c r="L195" s="45"/>
      <c r="M195" s="45">
        <v>10684126</v>
      </c>
      <c r="N195" s="45"/>
      <c r="O195" s="45">
        <v>1437429</v>
      </c>
      <c r="P195" s="45"/>
      <c r="Q195" s="45">
        <f>746352+1007083</f>
        <v>1753435</v>
      </c>
      <c r="R195" s="45"/>
      <c r="S195" s="44">
        <f t="shared" si="3"/>
        <v>2485188</v>
      </c>
      <c r="T195" s="45"/>
      <c r="U195" s="45">
        <v>52073645</v>
      </c>
      <c r="V195" s="44"/>
      <c r="W195" s="45">
        <f>2265000+3748042</f>
        <v>6013042</v>
      </c>
    </row>
    <row r="196" spans="1:23" s="116" customFormat="1" ht="12.75" customHeight="1">
      <c r="A196" s="44" t="s">
        <v>226</v>
      </c>
      <c r="C196" s="44" t="s">
        <v>45</v>
      </c>
      <c r="D196" s="64"/>
      <c r="E196" s="45">
        <v>20290549</v>
      </c>
      <c r="F196" s="45"/>
      <c r="G196" s="45">
        <v>0</v>
      </c>
      <c r="H196" s="45"/>
      <c r="I196" s="45">
        <v>0</v>
      </c>
      <c r="J196" s="45"/>
      <c r="K196" s="45">
        <v>867879</v>
      </c>
      <c r="L196" s="45"/>
      <c r="M196" s="45">
        <v>3261644</v>
      </c>
      <c r="N196" s="45"/>
      <c r="O196" s="45">
        <v>130725</v>
      </c>
      <c r="P196" s="45"/>
      <c r="Q196" s="45">
        <v>893721</v>
      </c>
      <c r="R196" s="45"/>
      <c r="S196" s="44">
        <f t="shared" si="3"/>
        <v>789514</v>
      </c>
      <c r="T196" s="45"/>
      <c r="U196" s="45">
        <v>26234032</v>
      </c>
      <c r="V196" s="44"/>
      <c r="W196" s="45">
        <v>30572</v>
      </c>
    </row>
    <row r="197" spans="1:23" s="116" customFormat="1" ht="12.75" customHeight="1">
      <c r="A197" s="44" t="s">
        <v>472</v>
      </c>
      <c r="C197" s="44"/>
      <c r="D197" s="64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4"/>
      <c r="T197" s="45"/>
      <c r="U197" s="45"/>
      <c r="V197" s="44"/>
      <c r="W197" s="48" t="s">
        <v>485</v>
      </c>
    </row>
    <row r="198" spans="1:23" s="117" customFormat="1" ht="12.75" customHeight="1">
      <c r="A198" s="46" t="s">
        <v>227</v>
      </c>
      <c r="C198" s="46" t="s">
        <v>17</v>
      </c>
      <c r="D198" s="64"/>
      <c r="E198" s="94">
        <v>1450281</v>
      </c>
      <c r="F198" s="94"/>
      <c r="G198" s="94">
        <v>2045851</v>
      </c>
      <c r="H198" s="94"/>
      <c r="I198" s="94">
        <v>0</v>
      </c>
      <c r="J198" s="94"/>
      <c r="K198" s="94">
        <v>924778</v>
      </c>
      <c r="L198" s="94"/>
      <c r="M198" s="94">
        <v>1739932</v>
      </c>
      <c r="N198" s="94"/>
      <c r="O198" s="94">
        <v>25259</v>
      </c>
      <c r="P198" s="94"/>
      <c r="Q198" s="94">
        <v>148244</v>
      </c>
      <c r="R198" s="94"/>
      <c r="S198" s="46">
        <f t="shared" si="3"/>
        <v>163275</v>
      </c>
      <c r="T198" s="94"/>
      <c r="U198" s="94">
        <v>6497620</v>
      </c>
      <c r="V198" s="46"/>
      <c r="W198" s="94">
        <v>1238339</v>
      </c>
    </row>
    <row r="199" spans="1:23" s="116" customFormat="1" ht="12.75" customHeight="1">
      <c r="A199" s="44" t="s">
        <v>228</v>
      </c>
      <c r="C199" s="44" t="s">
        <v>153</v>
      </c>
      <c r="D199" s="35"/>
      <c r="E199" s="45">
        <v>1201540</v>
      </c>
      <c r="F199" s="45"/>
      <c r="G199" s="45">
        <v>2932242</v>
      </c>
      <c r="H199" s="45"/>
      <c r="I199" s="45">
        <v>0</v>
      </c>
      <c r="J199" s="45"/>
      <c r="K199" s="45">
        <v>453918</v>
      </c>
      <c r="L199" s="45"/>
      <c r="M199" s="45">
        <v>2158297</v>
      </c>
      <c r="N199" s="45"/>
      <c r="O199" s="45">
        <v>92801</v>
      </c>
      <c r="P199" s="45"/>
      <c r="Q199" s="45">
        <v>297599</v>
      </c>
      <c r="R199" s="45"/>
      <c r="S199" s="44">
        <f t="shared" si="3"/>
        <v>892327</v>
      </c>
      <c r="T199" s="45"/>
      <c r="U199" s="45">
        <v>8028724</v>
      </c>
      <c r="V199" s="44"/>
      <c r="W199" s="45">
        <v>891380</v>
      </c>
    </row>
    <row r="200" spans="1:23" s="116" customFormat="1" ht="12.75" customHeight="1">
      <c r="A200" s="44" t="s">
        <v>229</v>
      </c>
      <c r="C200" s="44" t="s">
        <v>228</v>
      </c>
      <c r="D200" s="35"/>
      <c r="E200" s="45">
        <v>14988112</v>
      </c>
      <c r="F200" s="45"/>
      <c r="G200" s="45">
        <v>0</v>
      </c>
      <c r="H200" s="45"/>
      <c r="I200" s="45">
        <v>0</v>
      </c>
      <c r="J200" s="45"/>
      <c r="K200" s="45">
        <v>1737641</v>
      </c>
      <c r="L200" s="45"/>
      <c r="M200" s="45">
        <v>3788406</v>
      </c>
      <c r="N200" s="45"/>
      <c r="O200" s="45">
        <v>258866</v>
      </c>
      <c r="P200" s="45"/>
      <c r="Q200" s="45">
        <v>267507</v>
      </c>
      <c r="R200" s="45"/>
      <c r="S200" s="44">
        <f t="shared" si="3"/>
        <v>1677717</v>
      </c>
      <c r="T200" s="45"/>
      <c r="U200" s="45">
        <v>22718249</v>
      </c>
      <c r="V200" s="44"/>
      <c r="W200" s="45">
        <v>0</v>
      </c>
    </row>
    <row r="201" spans="1:23" s="116" customFormat="1" ht="12.75" customHeight="1">
      <c r="A201" s="46" t="s">
        <v>230</v>
      </c>
      <c r="B201" s="117"/>
      <c r="C201" s="46" t="s">
        <v>45</v>
      </c>
      <c r="D201" s="35"/>
      <c r="E201" s="45">
        <v>647741</v>
      </c>
      <c r="F201" s="45"/>
      <c r="G201" s="45">
        <v>1694376</v>
      </c>
      <c r="H201" s="45"/>
      <c r="I201" s="45">
        <v>0</v>
      </c>
      <c r="J201" s="45"/>
      <c r="K201" s="45">
        <v>237291</v>
      </c>
      <c r="L201" s="45"/>
      <c r="M201" s="45">
        <v>796753</v>
      </c>
      <c r="N201" s="45"/>
      <c r="O201" s="45">
        <v>0</v>
      </c>
      <c r="P201" s="45"/>
      <c r="Q201" s="45">
        <v>120300</v>
      </c>
      <c r="R201" s="45"/>
      <c r="S201" s="44">
        <f t="shared" si="3"/>
        <v>225993</v>
      </c>
      <c r="T201" s="45"/>
      <c r="U201" s="45">
        <v>3722454</v>
      </c>
      <c r="V201" s="44"/>
      <c r="W201" s="45">
        <v>284819</v>
      </c>
    </row>
    <row r="202" spans="1:23" s="116" customFormat="1" ht="12.75" customHeight="1">
      <c r="A202" s="44" t="s">
        <v>231</v>
      </c>
      <c r="C202" s="44" t="s">
        <v>27</v>
      </c>
      <c r="D202" s="35"/>
      <c r="E202" s="45">
        <v>5167986</v>
      </c>
      <c r="F202" s="45"/>
      <c r="G202" s="45">
        <v>38530269</v>
      </c>
      <c r="H202" s="45"/>
      <c r="I202" s="45">
        <v>0</v>
      </c>
      <c r="J202" s="45"/>
      <c r="K202" s="45">
        <v>3714454</v>
      </c>
      <c r="L202" s="45"/>
      <c r="M202" s="45">
        <v>3127153</v>
      </c>
      <c r="N202" s="45"/>
      <c r="O202" s="45">
        <v>1003236</v>
      </c>
      <c r="P202" s="45"/>
      <c r="Q202" s="45">
        <v>1343023</v>
      </c>
      <c r="R202" s="45"/>
      <c r="S202" s="44">
        <f t="shared" si="3"/>
        <v>3757386</v>
      </c>
      <c r="T202" s="45"/>
      <c r="U202" s="45">
        <v>56643507</v>
      </c>
      <c r="V202" s="44"/>
      <c r="W202" s="45">
        <v>0</v>
      </c>
    </row>
    <row r="203" spans="1:23" s="116" customFormat="1" ht="12.75" customHeight="1">
      <c r="A203" s="44" t="s">
        <v>232</v>
      </c>
      <c r="C203" s="44" t="s">
        <v>27</v>
      </c>
      <c r="D203" s="35"/>
      <c r="E203" s="45">
        <v>5501086</v>
      </c>
      <c r="F203" s="45"/>
      <c r="G203" s="45">
        <v>8674233</v>
      </c>
      <c r="H203" s="45"/>
      <c r="I203" s="45">
        <v>0</v>
      </c>
      <c r="J203" s="45"/>
      <c r="K203" s="45">
        <v>587344</v>
      </c>
      <c r="L203" s="45"/>
      <c r="M203" s="45">
        <v>3886187</v>
      </c>
      <c r="N203" s="45"/>
      <c r="O203" s="45">
        <v>3019836</v>
      </c>
      <c r="P203" s="45"/>
      <c r="Q203" s="45">
        <v>1014009</v>
      </c>
      <c r="R203" s="45"/>
      <c r="S203" s="44">
        <f t="shared" si="3"/>
        <v>1856547</v>
      </c>
      <c r="T203" s="45"/>
      <c r="U203" s="45">
        <v>24539242</v>
      </c>
      <c r="V203" s="44"/>
      <c r="W203" s="45">
        <v>19059839</v>
      </c>
    </row>
    <row r="204" spans="1:23" s="116" customFormat="1" ht="12.75" customHeight="1">
      <c r="A204" s="44" t="s">
        <v>233</v>
      </c>
      <c r="C204" s="44" t="s">
        <v>111</v>
      </c>
      <c r="D204" s="35"/>
      <c r="E204" s="45">
        <v>802737</v>
      </c>
      <c r="F204" s="45"/>
      <c r="G204" s="45">
        <v>9706915</v>
      </c>
      <c r="H204" s="45"/>
      <c r="I204" s="45">
        <v>384014</v>
      </c>
      <c r="J204" s="45"/>
      <c r="K204" s="45">
        <v>961574</v>
      </c>
      <c r="L204" s="45"/>
      <c r="M204" s="45">
        <v>1268711</v>
      </c>
      <c r="N204" s="45"/>
      <c r="O204" s="45">
        <v>350886</v>
      </c>
      <c r="P204" s="45"/>
      <c r="Q204" s="45">
        <v>542849</v>
      </c>
      <c r="R204" s="45"/>
      <c r="S204" s="44">
        <f t="shared" si="3"/>
        <v>1110480</v>
      </c>
      <c r="T204" s="45"/>
      <c r="U204" s="45">
        <v>15128166</v>
      </c>
      <c r="V204" s="44"/>
      <c r="W204" s="45">
        <v>0</v>
      </c>
    </row>
    <row r="205" spans="1:23" s="116" customFormat="1" ht="12.75" customHeight="1">
      <c r="A205" s="44" t="s">
        <v>234</v>
      </c>
      <c r="C205" s="44" t="s">
        <v>45</v>
      </c>
      <c r="D205" s="35"/>
      <c r="E205" s="45">
        <v>1814939</v>
      </c>
      <c r="F205" s="45"/>
      <c r="G205" s="45">
        <v>14404184</v>
      </c>
      <c r="H205" s="45"/>
      <c r="I205" s="45">
        <v>822556</v>
      </c>
      <c r="J205" s="45"/>
      <c r="K205" s="45">
        <v>300654</v>
      </c>
      <c r="L205" s="45"/>
      <c r="M205" s="45">
        <v>5026769</v>
      </c>
      <c r="N205" s="45"/>
      <c r="O205" s="45">
        <v>39226</v>
      </c>
      <c r="P205" s="45"/>
      <c r="Q205" s="45">
        <v>878413</v>
      </c>
      <c r="R205" s="45"/>
      <c r="S205" s="44">
        <f t="shared" si="3"/>
        <v>848042</v>
      </c>
      <c r="T205" s="45"/>
      <c r="U205" s="45">
        <v>24134783</v>
      </c>
      <c r="V205" s="44"/>
      <c r="W205" s="45">
        <v>14782</v>
      </c>
    </row>
    <row r="206" spans="1:23" s="116" customFormat="1" ht="12.75" customHeight="1">
      <c r="A206" s="44" t="s">
        <v>235</v>
      </c>
      <c r="C206" s="44" t="s">
        <v>183</v>
      </c>
      <c r="D206" s="35"/>
      <c r="E206" s="45">
        <v>2764717</v>
      </c>
      <c r="F206" s="45"/>
      <c r="G206" s="45">
        <v>28648895</v>
      </c>
      <c r="H206" s="45"/>
      <c r="I206" s="45">
        <v>9244111</v>
      </c>
      <c r="J206" s="45"/>
      <c r="K206" s="45">
        <v>3377085</v>
      </c>
      <c r="L206" s="45"/>
      <c r="M206" s="45">
        <v>11343719</v>
      </c>
      <c r="N206" s="45"/>
      <c r="O206" s="45">
        <v>195324</v>
      </c>
      <c r="P206" s="45"/>
      <c r="Q206" s="45">
        <v>5113657</v>
      </c>
      <c r="R206" s="45"/>
      <c r="S206" s="44">
        <f t="shared" si="3"/>
        <v>8018856</v>
      </c>
      <c r="T206" s="45"/>
      <c r="U206" s="45">
        <v>68706364</v>
      </c>
      <c r="V206" s="44"/>
      <c r="W206" s="45">
        <f>3341500+728488+5972215</f>
        <v>10042203</v>
      </c>
    </row>
    <row r="207" spans="1:23" s="116" customFormat="1" ht="12.75" customHeight="1">
      <c r="A207" s="44" t="s">
        <v>236</v>
      </c>
      <c r="B207" s="118"/>
      <c r="C207" s="44" t="s">
        <v>45</v>
      </c>
      <c r="D207" s="35"/>
      <c r="E207" s="45">
        <v>10493179</v>
      </c>
      <c r="F207" s="45"/>
      <c r="G207" s="45">
        <v>0</v>
      </c>
      <c r="H207" s="45"/>
      <c r="I207" s="45">
        <v>326805</v>
      </c>
      <c r="J207" s="45"/>
      <c r="K207" s="45">
        <v>229252</v>
      </c>
      <c r="L207" s="45"/>
      <c r="M207" s="45">
        <v>1588106</v>
      </c>
      <c r="N207" s="45"/>
      <c r="O207" s="45">
        <v>0</v>
      </c>
      <c r="P207" s="45"/>
      <c r="Q207" s="45">
        <v>106634</v>
      </c>
      <c r="R207" s="45"/>
      <c r="S207" s="44">
        <f t="shared" si="3"/>
        <v>195188</v>
      </c>
      <c r="T207" s="45"/>
      <c r="U207" s="45">
        <v>12939164</v>
      </c>
      <c r="V207" s="44"/>
      <c r="W207" s="45">
        <v>618023</v>
      </c>
    </row>
    <row r="208" spans="1:23" s="116" customFormat="1" ht="12.75" customHeight="1">
      <c r="A208" s="44" t="s">
        <v>237</v>
      </c>
      <c r="C208" s="44" t="s">
        <v>33</v>
      </c>
      <c r="D208" s="35"/>
      <c r="E208" s="45">
        <v>799568</v>
      </c>
      <c r="F208" s="45"/>
      <c r="G208" s="45">
        <v>0</v>
      </c>
      <c r="H208" s="45"/>
      <c r="I208" s="45">
        <v>350283</v>
      </c>
      <c r="J208" s="45"/>
      <c r="K208" s="45">
        <v>114885</v>
      </c>
      <c r="L208" s="45"/>
      <c r="M208" s="45">
        <v>1381917</v>
      </c>
      <c r="N208" s="45"/>
      <c r="O208" s="45">
        <v>18084</v>
      </c>
      <c r="P208" s="45"/>
      <c r="Q208" s="45">
        <v>302238</v>
      </c>
      <c r="R208" s="45"/>
      <c r="S208" s="44">
        <f t="shared" si="3"/>
        <v>93752</v>
      </c>
      <c r="T208" s="45"/>
      <c r="U208" s="45">
        <v>3060727</v>
      </c>
      <c r="V208" s="44"/>
      <c r="W208" s="45">
        <v>365487</v>
      </c>
    </row>
    <row r="209" spans="1:23" s="116" customFormat="1" ht="12.75" customHeight="1">
      <c r="A209" s="44" t="s">
        <v>238</v>
      </c>
      <c r="C209" s="44" t="s">
        <v>239</v>
      </c>
      <c r="D209" s="35"/>
      <c r="E209" s="45">
        <v>1284897</v>
      </c>
      <c r="F209" s="45"/>
      <c r="G209" s="45">
        <v>4476838</v>
      </c>
      <c r="H209" s="45"/>
      <c r="I209" s="45">
        <v>0</v>
      </c>
      <c r="J209" s="45"/>
      <c r="K209" s="45">
        <v>491328</v>
      </c>
      <c r="L209" s="45"/>
      <c r="M209" s="45">
        <v>1281295</v>
      </c>
      <c r="N209" s="45"/>
      <c r="O209" s="45">
        <v>152376</v>
      </c>
      <c r="P209" s="45"/>
      <c r="Q209" s="45">
        <v>89014</v>
      </c>
      <c r="R209" s="45"/>
      <c r="S209" s="44">
        <f t="shared" si="3"/>
        <v>950536</v>
      </c>
      <c r="T209" s="45"/>
      <c r="U209" s="45">
        <v>8726284</v>
      </c>
      <c r="V209" s="44"/>
      <c r="W209" s="45">
        <v>710876</v>
      </c>
    </row>
    <row r="210" spans="1:23" s="116" customFormat="1" ht="12.75" customHeight="1">
      <c r="A210" s="44" t="s">
        <v>487</v>
      </c>
      <c r="C210" s="44" t="s">
        <v>249</v>
      </c>
      <c r="D210" s="35"/>
      <c r="E210" s="45">
        <v>1673776</v>
      </c>
      <c r="F210" s="45"/>
      <c r="G210" s="45">
        <v>8935638</v>
      </c>
      <c r="H210" s="45"/>
      <c r="I210" s="45">
        <v>0</v>
      </c>
      <c r="J210" s="45"/>
      <c r="K210" s="45">
        <v>115666</v>
      </c>
      <c r="L210" s="45"/>
      <c r="M210" s="45">
        <v>5279620</v>
      </c>
      <c r="N210" s="45"/>
      <c r="O210" s="45">
        <v>19532</v>
      </c>
      <c r="P210" s="45"/>
      <c r="Q210" s="45">
        <v>968008</v>
      </c>
      <c r="R210" s="45"/>
      <c r="S210" s="44">
        <f>+U210-SUM(E210:Q210)</f>
        <v>3393713</v>
      </c>
      <c r="T210" s="45"/>
      <c r="U210" s="45">
        <v>20385953</v>
      </c>
      <c r="V210" s="44"/>
      <c r="W210" s="45">
        <v>788296</v>
      </c>
    </row>
    <row r="211" spans="1:23" s="116" customFormat="1" ht="12.75" customHeight="1">
      <c r="A211" s="44" t="s">
        <v>240</v>
      </c>
      <c r="C211" s="44" t="s">
        <v>13</v>
      </c>
      <c r="D211" s="35"/>
      <c r="E211" s="45">
        <v>7429309</v>
      </c>
      <c r="F211" s="45"/>
      <c r="G211" s="45">
        <v>12595578</v>
      </c>
      <c r="H211" s="45"/>
      <c r="I211" s="45">
        <v>0</v>
      </c>
      <c r="J211" s="45"/>
      <c r="K211" s="45">
        <v>913908</v>
      </c>
      <c r="L211" s="45"/>
      <c r="M211" s="45">
        <v>6910284</v>
      </c>
      <c r="N211" s="45"/>
      <c r="O211" s="45">
        <v>72689</v>
      </c>
      <c r="P211" s="45"/>
      <c r="Q211" s="45">
        <v>833168</v>
      </c>
      <c r="R211" s="45"/>
      <c r="S211" s="44">
        <f t="shared" si="3"/>
        <v>2230135</v>
      </c>
      <c r="T211" s="45"/>
      <c r="U211" s="45">
        <v>30985071</v>
      </c>
      <c r="V211" s="44"/>
      <c r="W211" s="45">
        <v>18761674</v>
      </c>
    </row>
    <row r="212" spans="1:23" s="152" customFormat="1" ht="12.75" hidden="1" customHeight="1">
      <c r="A212" s="137" t="s">
        <v>241</v>
      </c>
      <c r="C212" s="137" t="s">
        <v>22</v>
      </c>
      <c r="D212" s="142"/>
      <c r="E212" s="143">
        <v>0</v>
      </c>
      <c r="F212" s="143"/>
      <c r="G212" s="143">
        <v>0</v>
      </c>
      <c r="H212" s="143"/>
      <c r="I212" s="143">
        <v>0</v>
      </c>
      <c r="J212" s="143"/>
      <c r="K212" s="143">
        <v>0</v>
      </c>
      <c r="L212" s="143"/>
      <c r="M212" s="143">
        <v>0</v>
      </c>
      <c r="N212" s="143"/>
      <c r="O212" s="143">
        <v>0</v>
      </c>
      <c r="P212" s="143"/>
      <c r="Q212" s="143">
        <v>0</v>
      </c>
      <c r="R212" s="143"/>
      <c r="S212" s="137">
        <f t="shared" si="3"/>
        <v>0</v>
      </c>
      <c r="T212" s="143"/>
      <c r="U212" s="143">
        <v>0</v>
      </c>
      <c r="V212" s="137"/>
      <c r="W212" s="143">
        <v>0</v>
      </c>
    </row>
    <row r="213" spans="1:23" s="116" customFormat="1" ht="12.75" customHeight="1">
      <c r="A213" s="44" t="s">
        <v>242</v>
      </c>
      <c r="C213" s="44" t="s">
        <v>27</v>
      </c>
      <c r="D213" s="35"/>
      <c r="E213" s="45">
        <v>8928671</v>
      </c>
      <c r="F213" s="45"/>
      <c r="G213" s="45">
        <v>27508910</v>
      </c>
      <c r="H213" s="45"/>
      <c r="I213" s="45">
        <v>2404471</v>
      </c>
      <c r="J213" s="45"/>
      <c r="K213" s="45">
        <v>4754916</v>
      </c>
      <c r="L213" s="45"/>
      <c r="M213" s="45">
        <v>4180607</v>
      </c>
      <c r="N213" s="45"/>
      <c r="O213" s="45">
        <v>140000</v>
      </c>
      <c r="P213" s="45"/>
      <c r="Q213" s="45">
        <v>1365786</v>
      </c>
      <c r="R213" s="45"/>
      <c r="S213" s="44">
        <f t="shared" si="3"/>
        <v>2192110</v>
      </c>
      <c r="T213" s="45"/>
      <c r="U213" s="45">
        <v>51475471</v>
      </c>
      <c r="V213" s="44"/>
      <c r="W213" s="45">
        <v>30850</v>
      </c>
    </row>
    <row r="214" spans="1:23" s="116" customFormat="1" ht="12.75" customHeight="1">
      <c r="A214" s="44" t="s">
        <v>243</v>
      </c>
      <c r="C214" s="44" t="s">
        <v>163</v>
      </c>
      <c r="D214" s="35"/>
      <c r="E214" s="45">
        <v>1784633</v>
      </c>
      <c r="F214" s="45"/>
      <c r="G214" s="45">
        <v>7910012</v>
      </c>
      <c r="H214" s="45"/>
      <c r="I214" s="45">
        <v>0</v>
      </c>
      <c r="J214" s="45"/>
      <c r="K214" s="45">
        <v>416533</v>
      </c>
      <c r="L214" s="45"/>
      <c r="M214" s="45">
        <v>3912928</v>
      </c>
      <c r="N214" s="45"/>
      <c r="O214" s="45">
        <v>676215</v>
      </c>
      <c r="P214" s="45"/>
      <c r="Q214" s="45">
        <v>1283744</v>
      </c>
      <c r="R214" s="45"/>
      <c r="S214" s="44">
        <f t="shared" ref="S214:S236" si="4">+U214-SUM(E214:Q214)</f>
        <v>1923609</v>
      </c>
      <c r="T214" s="45"/>
      <c r="U214" s="45">
        <v>17907674</v>
      </c>
      <c r="V214" s="44"/>
      <c r="W214" s="45">
        <v>4739533</v>
      </c>
    </row>
    <row r="215" spans="1:23" s="116" customFormat="1" ht="12.75" customHeight="1">
      <c r="A215" s="44" t="s">
        <v>244</v>
      </c>
      <c r="C215" s="44" t="s">
        <v>13</v>
      </c>
      <c r="D215" s="35"/>
      <c r="E215" s="45">
        <v>2141540</v>
      </c>
      <c r="F215" s="45"/>
      <c r="G215" s="45">
        <v>7731243</v>
      </c>
      <c r="H215" s="45"/>
      <c r="I215" s="45">
        <v>0</v>
      </c>
      <c r="J215" s="45"/>
      <c r="K215" s="45">
        <v>1982851</v>
      </c>
      <c r="L215" s="45"/>
      <c r="M215" s="45">
        <v>3199101</v>
      </c>
      <c r="N215" s="45"/>
      <c r="O215" s="45">
        <v>206524</v>
      </c>
      <c r="P215" s="45"/>
      <c r="Q215" s="45">
        <v>434971</v>
      </c>
      <c r="R215" s="45"/>
      <c r="S215" s="44">
        <f t="shared" si="4"/>
        <v>458892</v>
      </c>
      <c r="T215" s="45"/>
      <c r="U215" s="45">
        <v>16155122</v>
      </c>
      <c r="V215" s="44"/>
      <c r="W215" s="45">
        <v>127343</v>
      </c>
    </row>
    <row r="216" spans="1:23" s="116" customFormat="1" ht="12.75" customHeight="1">
      <c r="A216" s="44" t="s">
        <v>245</v>
      </c>
      <c r="C216" s="44" t="s">
        <v>110</v>
      </c>
      <c r="D216" s="35"/>
      <c r="E216" s="45">
        <v>1163322</v>
      </c>
      <c r="F216" s="45"/>
      <c r="G216" s="45">
        <v>7247139</v>
      </c>
      <c r="H216" s="45"/>
      <c r="I216" s="45">
        <v>0</v>
      </c>
      <c r="J216" s="45"/>
      <c r="K216" s="45">
        <v>456523</v>
      </c>
      <c r="L216" s="45"/>
      <c r="M216" s="45">
        <v>2584235</v>
      </c>
      <c r="N216" s="45"/>
      <c r="O216" s="45">
        <v>168503</v>
      </c>
      <c r="P216" s="45"/>
      <c r="Q216" s="45">
        <v>606724</v>
      </c>
      <c r="R216" s="45"/>
      <c r="S216" s="44">
        <f t="shared" si="4"/>
        <v>361198</v>
      </c>
      <c r="T216" s="45"/>
      <c r="U216" s="45">
        <v>12587644</v>
      </c>
      <c r="V216" s="44"/>
      <c r="W216" s="45">
        <v>516215</v>
      </c>
    </row>
    <row r="217" spans="1:23" s="116" customFormat="1" ht="12.75" customHeight="1">
      <c r="A217" s="44" t="s">
        <v>246</v>
      </c>
      <c r="C217" s="44" t="s">
        <v>209</v>
      </c>
      <c r="D217" s="35"/>
      <c r="E217" s="45">
        <v>3713187</v>
      </c>
      <c r="F217" s="45"/>
      <c r="G217" s="45">
        <v>0</v>
      </c>
      <c r="H217" s="45"/>
      <c r="I217" s="45">
        <v>0</v>
      </c>
      <c r="J217" s="45"/>
      <c r="K217" s="45">
        <v>956560</v>
      </c>
      <c r="L217" s="45"/>
      <c r="M217" s="45">
        <v>2523552</v>
      </c>
      <c r="N217" s="45"/>
      <c r="O217" s="45">
        <v>146551</v>
      </c>
      <c r="P217" s="45"/>
      <c r="Q217" s="45">
        <v>108847</v>
      </c>
      <c r="R217" s="45"/>
      <c r="S217" s="44">
        <f t="shared" si="4"/>
        <v>954412</v>
      </c>
      <c r="T217" s="45"/>
      <c r="U217" s="45">
        <v>8403109</v>
      </c>
      <c r="V217" s="44"/>
      <c r="W217" s="45">
        <v>729509</v>
      </c>
    </row>
    <row r="218" spans="1:23" s="116" customFormat="1" ht="12.75" customHeight="1">
      <c r="A218" s="44" t="s">
        <v>247</v>
      </c>
      <c r="C218" s="44" t="s">
        <v>163</v>
      </c>
      <c r="D218" s="35"/>
      <c r="E218" s="45">
        <v>19424000</v>
      </c>
      <c r="F218" s="45"/>
      <c r="G218" s="45">
        <v>169689000</v>
      </c>
      <c r="H218" s="45"/>
      <c r="I218" s="45">
        <v>0</v>
      </c>
      <c r="J218" s="45"/>
      <c r="K218" s="45">
        <v>17365000</v>
      </c>
      <c r="L218" s="45"/>
      <c r="M218" s="45">
        <v>77511000</v>
      </c>
      <c r="N218" s="45"/>
      <c r="O218" s="45">
        <v>24600000</v>
      </c>
      <c r="P218" s="45"/>
      <c r="Q218" s="45">
        <v>9170000</v>
      </c>
      <c r="R218" s="45"/>
      <c r="S218" s="44">
        <f t="shared" si="4"/>
        <v>12079000</v>
      </c>
      <c r="T218" s="45"/>
      <c r="U218" s="45">
        <v>329838000</v>
      </c>
      <c r="V218" s="44"/>
      <c r="W218" s="45">
        <v>10014000</v>
      </c>
    </row>
    <row r="219" spans="1:23" s="116" customFormat="1" ht="12.75" customHeight="1">
      <c r="A219" s="44" t="s">
        <v>248</v>
      </c>
      <c r="C219" s="44" t="s">
        <v>249</v>
      </c>
      <c r="D219" s="35"/>
      <c r="E219" s="45">
        <v>225404</v>
      </c>
      <c r="F219" s="45"/>
      <c r="G219" s="45">
        <v>3459739</v>
      </c>
      <c r="H219" s="45"/>
      <c r="I219" s="45">
        <v>0</v>
      </c>
      <c r="J219" s="45"/>
      <c r="K219" s="45">
        <v>80003</v>
      </c>
      <c r="L219" s="45"/>
      <c r="M219" s="45">
        <v>893731</v>
      </c>
      <c r="N219" s="45"/>
      <c r="O219" s="45">
        <v>0</v>
      </c>
      <c r="P219" s="45"/>
      <c r="Q219" s="45">
        <v>53064</v>
      </c>
      <c r="R219" s="45"/>
      <c r="S219" s="44">
        <f t="shared" si="4"/>
        <v>129490</v>
      </c>
      <c r="T219" s="45"/>
      <c r="U219" s="45">
        <v>4841431</v>
      </c>
      <c r="V219" s="44"/>
      <c r="W219" s="45">
        <v>551373</v>
      </c>
    </row>
    <row r="220" spans="1:23" s="116" customFormat="1" ht="12.75" customHeight="1">
      <c r="A220" s="44" t="s">
        <v>250</v>
      </c>
      <c r="C220" s="44" t="s">
        <v>103</v>
      </c>
      <c r="D220" s="35"/>
      <c r="E220" s="45">
        <v>495089</v>
      </c>
      <c r="F220" s="45"/>
      <c r="G220" s="45">
        <v>1423287</v>
      </c>
      <c r="H220" s="45"/>
      <c r="I220" s="45">
        <v>0</v>
      </c>
      <c r="J220" s="45"/>
      <c r="K220" s="45">
        <v>158525</v>
      </c>
      <c r="L220" s="45"/>
      <c r="M220" s="45">
        <v>1110002</v>
      </c>
      <c r="N220" s="45"/>
      <c r="O220" s="45">
        <v>13109</v>
      </c>
      <c r="P220" s="45"/>
      <c r="Q220" s="45">
        <v>296585</v>
      </c>
      <c r="R220" s="45"/>
      <c r="S220" s="44">
        <f t="shared" si="4"/>
        <v>475160</v>
      </c>
      <c r="T220" s="45"/>
      <c r="U220" s="45">
        <v>3971757</v>
      </c>
      <c r="V220" s="44"/>
      <c r="W220" s="45">
        <v>16965</v>
      </c>
    </row>
    <row r="221" spans="1:23" s="116" customFormat="1" ht="12.75" customHeight="1">
      <c r="A221" s="44" t="s">
        <v>251</v>
      </c>
      <c r="C221" s="44" t="s">
        <v>66</v>
      </c>
      <c r="D221" s="35"/>
      <c r="E221" s="45">
        <v>10036000</v>
      </c>
      <c r="F221" s="45"/>
      <c r="G221" s="45">
        <v>0</v>
      </c>
      <c r="H221" s="45"/>
      <c r="I221" s="45">
        <v>213029</v>
      </c>
      <c r="J221" s="45"/>
      <c r="K221" s="45">
        <v>1194610</v>
      </c>
      <c r="L221" s="45"/>
      <c r="M221" s="45">
        <v>4410278</v>
      </c>
      <c r="N221" s="45"/>
      <c r="O221" s="45">
        <v>90415</v>
      </c>
      <c r="P221" s="45"/>
      <c r="Q221" s="45">
        <v>575306</v>
      </c>
      <c r="R221" s="45"/>
      <c r="S221" s="44">
        <f t="shared" si="4"/>
        <v>541386</v>
      </c>
      <c r="T221" s="45"/>
      <c r="U221" s="45">
        <v>17061024</v>
      </c>
      <c r="V221" s="44"/>
      <c r="W221" s="45">
        <v>5135961</v>
      </c>
    </row>
    <row r="222" spans="1:23" s="116" customFormat="1" ht="12.75" customHeight="1">
      <c r="A222" s="44" t="s">
        <v>252</v>
      </c>
      <c r="C222" s="44" t="s">
        <v>209</v>
      </c>
      <c r="D222" s="35"/>
      <c r="E222" s="45">
        <v>15556609</v>
      </c>
      <c r="F222" s="45"/>
      <c r="G222" s="45">
        <v>0</v>
      </c>
      <c r="H222" s="45"/>
      <c r="I222" s="45">
        <v>162376</v>
      </c>
      <c r="J222" s="45"/>
      <c r="K222" s="45">
        <v>2251504</v>
      </c>
      <c r="L222" s="45"/>
      <c r="M222" s="45">
        <v>3125811</v>
      </c>
      <c r="N222" s="45"/>
      <c r="O222" s="45">
        <v>239099</v>
      </c>
      <c r="P222" s="45"/>
      <c r="Q222" s="45">
        <v>110183</v>
      </c>
      <c r="R222" s="45"/>
      <c r="S222" s="44">
        <f>+U222-SUM(E222:Q222)</f>
        <v>3352010</v>
      </c>
      <c r="T222" s="45"/>
      <c r="U222" s="45">
        <v>24797592</v>
      </c>
      <c r="V222" s="44"/>
      <c r="W222" s="45">
        <v>0</v>
      </c>
    </row>
    <row r="223" spans="1:23" s="117" customFormat="1" ht="12.75" customHeight="1">
      <c r="A223" s="44" t="s">
        <v>253</v>
      </c>
      <c r="B223" s="116"/>
      <c r="C223" s="44" t="s">
        <v>13</v>
      </c>
      <c r="D223" s="35"/>
      <c r="E223" s="45">
        <v>1065944</v>
      </c>
      <c r="F223" s="45"/>
      <c r="G223" s="45">
        <v>18391088</v>
      </c>
      <c r="H223" s="45"/>
      <c r="I223" s="45">
        <v>125177</v>
      </c>
      <c r="J223" s="45"/>
      <c r="K223" s="45">
        <v>1378932</v>
      </c>
      <c r="L223" s="45"/>
      <c r="M223" s="45">
        <v>3396098</v>
      </c>
      <c r="N223" s="45"/>
      <c r="O223" s="45">
        <v>0</v>
      </c>
      <c r="P223" s="45"/>
      <c r="Q223" s="45">
        <f>124776+616213</f>
        <v>740989</v>
      </c>
      <c r="R223" s="45"/>
      <c r="S223" s="44">
        <f>+U223-SUM(E223:Q223)</f>
        <v>1690740</v>
      </c>
      <c r="T223" s="45"/>
      <c r="U223" s="45">
        <v>26788968</v>
      </c>
      <c r="V223" s="44"/>
      <c r="W223" s="45">
        <v>1290963</v>
      </c>
    </row>
    <row r="224" spans="1:23" s="116" customFormat="1" ht="12.75" customHeight="1">
      <c r="A224" s="44" t="s">
        <v>254</v>
      </c>
      <c r="B224" s="118"/>
      <c r="C224" s="44" t="s">
        <v>89</v>
      </c>
      <c r="D224" s="35"/>
      <c r="E224" s="45">
        <v>540643</v>
      </c>
      <c r="F224" s="45"/>
      <c r="G224" s="45">
        <v>1226932</v>
      </c>
      <c r="H224" s="45"/>
      <c r="I224" s="45">
        <v>0</v>
      </c>
      <c r="J224" s="45"/>
      <c r="K224" s="45">
        <v>36851</v>
      </c>
      <c r="L224" s="45"/>
      <c r="M224" s="45">
        <v>1017978</v>
      </c>
      <c r="N224" s="45"/>
      <c r="O224" s="45">
        <v>0</v>
      </c>
      <c r="P224" s="45"/>
      <c r="Q224" s="45">
        <v>72865</v>
      </c>
      <c r="R224" s="45"/>
      <c r="S224" s="44">
        <f t="shared" si="4"/>
        <v>423913</v>
      </c>
      <c r="T224" s="45"/>
      <c r="U224" s="45">
        <v>3319182</v>
      </c>
      <c r="V224" s="44"/>
      <c r="W224" s="45">
        <v>4935818</v>
      </c>
    </row>
    <row r="225" spans="1:23" s="116" customFormat="1" ht="12.75" customHeight="1">
      <c r="A225" s="44" t="s">
        <v>159</v>
      </c>
      <c r="C225" s="44" t="s">
        <v>66</v>
      </c>
      <c r="D225" s="35"/>
      <c r="E225" s="45">
        <v>1628393</v>
      </c>
      <c r="F225" s="45"/>
      <c r="G225" s="45">
        <v>0</v>
      </c>
      <c r="H225" s="45"/>
      <c r="I225" s="45">
        <v>0</v>
      </c>
      <c r="J225" s="45"/>
      <c r="K225" s="45">
        <v>619167</v>
      </c>
      <c r="L225" s="45"/>
      <c r="M225" s="45">
        <v>970439</v>
      </c>
      <c r="N225" s="45"/>
      <c r="O225" s="45">
        <v>411680</v>
      </c>
      <c r="P225" s="45"/>
      <c r="Q225" s="45">
        <v>38614</v>
      </c>
      <c r="R225" s="45"/>
      <c r="S225" s="44">
        <f>+U225-SUM(E225:Q225)</f>
        <v>92569</v>
      </c>
      <c r="T225" s="45"/>
      <c r="U225" s="45">
        <v>3760862</v>
      </c>
      <c r="V225" s="44"/>
      <c r="W225" s="45">
        <v>1450680</v>
      </c>
    </row>
    <row r="226" spans="1:23" s="116" customFormat="1" ht="12.75" customHeight="1">
      <c r="A226" s="44" t="s">
        <v>255</v>
      </c>
      <c r="C226" s="44" t="s">
        <v>27</v>
      </c>
      <c r="D226" s="35"/>
      <c r="E226" s="45">
        <v>3173079</v>
      </c>
      <c r="F226" s="45"/>
      <c r="G226" s="45">
        <v>7847562</v>
      </c>
      <c r="H226" s="45"/>
      <c r="I226" s="45">
        <v>3782255</v>
      </c>
      <c r="J226" s="45"/>
      <c r="K226" s="45">
        <v>430051</v>
      </c>
      <c r="L226" s="45"/>
      <c r="M226" s="45">
        <v>2101813</v>
      </c>
      <c r="N226" s="45"/>
      <c r="O226" s="45">
        <v>762904</v>
      </c>
      <c r="P226" s="45"/>
      <c r="Q226" s="45">
        <v>527864</v>
      </c>
      <c r="R226" s="45"/>
      <c r="S226" s="44">
        <f t="shared" si="4"/>
        <v>238732</v>
      </c>
      <c r="T226" s="45"/>
      <c r="U226" s="45">
        <v>18864260</v>
      </c>
      <c r="V226" s="44"/>
      <c r="W226" s="45">
        <v>3113321</v>
      </c>
    </row>
    <row r="227" spans="1:23" s="118" customFormat="1" ht="12.75" customHeight="1">
      <c r="A227" s="44" t="s">
        <v>256</v>
      </c>
      <c r="C227" s="44" t="s">
        <v>43</v>
      </c>
      <c r="D227" s="35"/>
      <c r="E227" s="45">
        <v>27261599</v>
      </c>
      <c r="F227" s="45"/>
      <c r="G227" s="45">
        <v>0</v>
      </c>
      <c r="H227" s="45"/>
      <c r="I227" s="45">
        <v>0</v>
      </c>
      <c r="J227" s="45"/>
      <c r="K227" s="45">
        <v>1811611</v>
      </c>
      <c r="L227" s="45"/>
      <c r="M227" s="45">
        <v>4294406</v>
      </c>
      <c r="N227" s="45"/>
      <c r="O227" s="118">
        <v>0</v>
      </c>
      <c r="P227" s="45"/>
      <c r="Q227" s="45">
        <v>1279294</v>
      </c>
      <c r="R227" s="45"/>
      <c r="S227" s="44">
        <f>+U227-SUM(E227:Q227)</f>
        <v>4269313</v>
      </c>
      <c r="T227" s="45"/>
      <c r="U227" s="45">
        <v>38916223</v>
      </c>
      <c r="V227" s="44"/>
      <c r="W227" s="45">
        <v>569705</v>
      </c>
    </row>
    <row r="228" spans="1:23" s="116" customFormat="1" ht="12.75" customHeight="1">
      <c r="A228" s="44" t="s">
        <v>257</v>
      </c>
      <c r="C228" s="44" t="s">
        <v>258</v>
      </c>
      <c r="D228" s="49"/>
      <c r="E228" s="45">
        <v>426680</v>
      </c>
      <c r="F228" s="45"/>
      <c r="G228" s="45">
        <v>1763406</v>
      </c>
      <c r="H228" s="45"/>
      <c r="I228" s="45">
        <v>0</v>
      </c>
      <c r="J228" s="45"/>
      <c r="K228" s="45">
        <v>57801</v>
      </c>
      <c r="L228" s="45"/>
      <c r="M228" s="45">
        <v>900006</v>
      </c>
      <c r="N228" s="45"/>
      <c r="O228" s="45">
        <v>0</v>
      </c>
      <c r="P228" s="45"/>
      <c r="Q228" s="45">
        <v>763404</v>
      </c>
      <c r="R228" s="45"/>
      <c r="S228" s="44">
        <f>+U228-SUM(E228:Q228)</f>
        <v>302869</v>
      </c>
      <c r="T228" s="45"/>
      <c r="U228" s="45">
        <v>4214166</v>
      </c>
      <c r="V228" s="44"/>
      <c r="W228" s="45">
        <v>333161</v>
      </c>
    </row>
    <row r="229" spans="1:23" s="116" customFormat="1" ht="12.75" customHeight="1">
      <c r="A229" s="44" t="s">
        <v>259</v>
      </c>
      <c r="C229" s="44" t="s">
        <v>260</v>
      </c>
      <c r="D229" s="35"/>
      <c r="E229" s="45">
        <v>687680</v>
      </c>
      <c r="F229" s="45"/>
      <c r="G229" s="45">
        <v>5731376</v>
      </c>
      <c r="H229" s="45"/>
      <c r="I229" s="45">
        <v>0</v>
      </c>
      <c r="J229" s="45"/>
      <c r="K229" s="45">
        <v>980915</v>
      </c>
      <c r="L229" s="45"/>
      <c r="M229" s="45">
        <v>1869260</v>
      </c>
      <c r="N229" s="45"/>
      <c r="O229" s="45">
        <v>0</v>
      </c>
      <c r="P229" s="45"/>
      <c r="Q229" s="45">
        <v>873477</v>
      </c>
      <c r="R229" s="45"/>
      <c r="S229" s="44">
        <f t="shared" si="4"/>
        <v>592352</v>
      </c>
      <c r="T229" s="45"/>
      <c r="U229" s="45">
        <v>10735060</v>
      </c>
      <c r="V229" s="44"/>
      <c r="W229" s="45">
        <v>0</v>
      </c>
    </row>
    <row r="230" spans="1:23" s="116" customFormat="1" ht="12.75" customHeight="1">
      <c r="A230" s="44" t="s">
        <v>261</v>
      </c>
      <c r="C230" s="44" t="s">
        <v>66</v>
      </c>
      <c r="D230" s="35"/>
      <c r="E230" s="45">
        <v>1922643</v>
      </c>
      <c r="F230" s="45"/>
      <c r="G230" s="45">
        <v>13278532</v>
      </c>
      <c r="H230" s="45"/>
      <c r="I230" s="45">
        <v>0</v>
      </c>
      <c r="J230" s="45"/>
      <c r="K230" s="45">
        <v>3451386</v>
      </c>
      <c r="L230" s="45"/>
      <c r="M230" s="45">
        <v>3519044</v>
      </c>
      <c r="N230" s="45"/>
      <c r="O230" s="45">
        <v>15459</v>
      </c>
      <c r="P230" s="45"/>
      <c r="Q230" s="45">
        <v>1710057</v>
      </c>
      <c r="R230" s="45"/>
      <c r="S230" s="44">
        <f t="shared" si="4"/>
        <v>1605181</v>
      </c>
      <c r="T230" s="45"/>
      <c r="U230" s="45">
        <v>25502302</v>
      </c>
      <c r="V230" s="44"/>
      <c r="W230" s="45">
        <v>0</v>
      </c>
    </row>
    <row r="231" spans="1:23" s="116" customFormat="1" ht="12.75" customHeight="1">
      <c r="A231" s="44" t="s">
        <v>262</v>
      </c>
      <c r="C231" s="44" t="s">
        <v>132</v>
      </c>
      <c r="D231" s="35"/>
      <c r="E231" s="45">
        <v>4324747</v>
      </c>
      <c r="F231" s="45"/>
      <c r="G231" s="45">
        <v>0</v>
      </c>
      <c r="H231" s="45"/>
      <c r="I231" s="45">
        <v>0</v>
      </c>
      <c r="J231" s="45"/>
      <c r="K231" s="45">
        <v>1197664</v>
      </c>
      <c r="L231" s="45"/>
      <c r="M231" s="45">
        <v>1739892</v>
      </c>
      <c r="N231" s="45"/>
      <c r="O231" s="45">
        <v>77796</v>
      </c>
      <c r="P231" s="45"/>
      <c r="Q231" s="45">
        <v>520792</v>
      </c>
      <c r="R231" s="45"/>
      <c r="S231" s="44">
        <f t="shared" si="4"/>
        <v>580665</v>
      </c>
      <c r="T231" s="45"/>
      <c r="U231" s="45">
        <v>8441556</v>
      </c>
      <c r="V231" s="44"/>
      <c r="W231" s="45">
        <f>1693+200000+649450</f>
        <v>851143</v>
      </c>
    </row>
    <row r="232" spans="1:23" s="116" customFormat="1" ht="12.75" customHeight="1">
      <c r="A232" s="44" t="s">
        <v>263</v>
      </c>
      <c r="C232" s="44" t="s">
        <v>53</v>
      </c>
      <c r="D232" s="35"/>
      <c r="E232" s="45">
        <v>2838180</v>
      </c>
      <c r="F232" s="45"/>
      <c r="G232" s="45">
        <v>6672229</v>
      </c>
      <c r="H232" s="45"/>
      <c r="I232" s="45">
        <v>0</v>
      </c>
      <c r="J232" s="45"/>
      <c r="K232" s="45">
        <v>2215944</v>
      </c>
      <c r="L232" s="45"/>
      <c r="M232" s="45">
        <v>5220015</v>
      </c>
      <c r="N232" s="45"/>
      <c r="O232" s="45">
        <v>56267</v>
      </c>
      <c r="P232" s="45"/>
      <c r="Q232" s="45">
        <v>963886</v>
      </c>
      <c r="R232" s="45"/>
      <c r="S232" s="44">
        <f t="shared" si="4"/>
        <v>1197659</v>
      </c>
      <c r="T232" s="45"/>
      <c r="U232" s="45">
        <v>19164180</v>
      </c>
      <c r="V232" s="44"/>
      <c r="W232" s="45">
        <v>0</v>
      </c>
    </row>
    <row r="233" spans="1:23" s="116" customFormat="1" ht="12.75" customHeight="1">
      <c r="A233" s="44" t="s">
        <v>264</v>
      </c>
      <c r="C233" s="44" t="s">
        <v>239</v>
      </c>
      <c r="D233" s="35"/>
      <c r="E233" s="45">
        <v>485855</v>
      </c>
      <c r="F233" s="45"/>
      <c r="G233" s="45">
        <v>2330159</v>
      </c>
      <c r="H233" s="45"/>
      <c r="I233" s="45">
        <v>775349</v>
      </c>
      <c r="J233" s="45"/>
      <c r="K233" s="45">
        <v>383477</v>
      </c>
      <c r="L233" s="45"/>
      <c r="M233" s="45">
        <v>1429731</v>
      </c>
      <c r="N233" s="45"/>
      <c r="O233" s="45">
        <v>99838</v>
      </c>
      <c r="P233" s="45"/>
      <c r="Q233" s="45">
        <v>86388</v>
      </c>
      <c r="R233" s="45"/>
      <c r="S233" s="44">
        <f>+U233-SUM(E233:Q233)</f>
        <v>2202782</v>
      </c>
      <c r="T233" s="45"/>
      <c r="U233" s="45">
        <v>7793579</v>
      </c>
      <c r="V233" s="44"/>
      <c r="W233" s="45">
        <v>0</v>
      </c>
    </row>
    <row r="234" spans="1:23" s="116" customFormat="1" ht="12.75" customHeight="1">
      <c r="A234" s="44" t="s">
        <v>111</v>
      </c>
      <c r="C234" s="44" t="s">
        <v>80</v>
      </c>
      <c r="D234" s="64"/>
      <c r="E234" s="45">
        <v>1667959</v>
      </c>
      <c r="F234" s="45"/>
      <c r="G234" s="45">
        <v>18070111</v>
      </c>
      <c r="H234" s="45"/>
      <c r="I234" s="45">
        <v>0</v>
      </c>
      <c r="J234" s="45"/>
      <c r="K234" s="45">
        <v>2067415</v>
      </c>
      <c r="L234" s="45"/>
      <c r="M234" s="45">
        <v>7787994</v>
      </c>
      <c r="N234" s="45"/>
      <c r="O234" s="45">
        <v>30688</v>
      </c>
      <c r="P234" s="45"/>
      <c r="Q234" s="45">
        <v>3417452</v>
      </c>
      <c r="R234" s="45"/>
      <c r="S234" s="44">
        <f t="shared" si="4"/>
        <v>1972370</v>
      </c>
      <c r="T234" s="45"/>
      <c r="U234" s="45">
        <v>35013989</v>
      </c>
      <c r="V234" s="44"/>
      <c r="W234" s="45">
        <v>0</v>
      </c>
    </row>
    <row r="235" spans="1:23" s="116" customFormat="1" ht="12.75" customHeight="1">
      <c r="A235" s="44" t="s">
        <v>265</v>
      </c>
      <c r="C235" s="44" t="s">
        <v>27</v>
      </c>
      <c r="D235" s="35"/>
      <c r="E235" s="45">
        <v>2444893</v>
      </c>
      <c r="F235" s="45"/>
      <c r="G235" s="45">
        <v>10568048</v>
      </c>
      <c r="H235" s="45"/>
      <c r="I235" s="45">
        <v>0</v>
      </c>
      <c r="J235" s="45"/>
      <c r="K235" s="45">
        <v>334341</v>
      </c>
      <c r="L235" s="45"/>
      <c r="M235" s="45">
        <v>2211419</v>
      </c>
      <c r="N235" s="45"/>
      <c r="O235" s="45">
        <v>475297</v>
      </c>
      <c r="P235" s="45"/>
      <c r="Q235" s="45">
        <v>713848</v>
      </c>
      <c r="R235" s="45"/>
      <c r="S235" s="44">
        <f t="shared" si="4"/>
        <v>233038</v>
      </c>
      <c r="T235" s="45"/>
      <c r="U235" s="45">
        <v>16980884</v>
      </c>
      <c r="V235" s="44"/>
      <c r="W235" s="45">
        <v>1464680</v>
      </c>
    </row>
    <row r="236" spans="1:23" s="117" customFormat="1" ht="12.75" customHeight="1">
      <c r="A236" s="44" t="s">
        <v>40</v>
      </c>
      <c r="B236" s="116"/>
      <c r="C236" s="47" t="s">
        <v>452</v>
      </c>
      <c r="D236" s="35"/>
      <c r="E236" s="45">
        <v>1449833</v>
      </c>
      <c r="F236" s="45"/>
      <c r="G236" s="45">
        <v>4191425</v>
      </c>
      <c r="H236" s="45"/>
      <c r="I236" s="45">
        <v>700733</v>
      </c>
      <c r="J236" s="45"/>
      <c r="K236" s="45">
        <v>1073227</v>
      </c>
      <c r="L236" s="45"/>
      <c r="M236" s="45">
        <v>2158812</v>
      </c>
      <c r="N236" s="45"/>
      <c r="O236" s="45">
        <v>0</v>
      </c>
      <c r="P236" s="45"/>
      <c r="Q236" s="45">
        <v>765595</v>
      </c>
      <c r="R236" s="45"/>
      <c r="S236" s="44">
        <f t="shared" si="4"/>
        <v>588377</v>
      </c>
      <c r="T236" s="45"/>
      <c r="U236" s="45">
        <v>10928002</v>
      </c>
      <c r="V236" s="44"/>
      <c r="W236" s="45">
        <v>13035802</v>
      </c>
    </row>
    <row r="237" spans="1:23" s="116" customFormat="1" ht="12.75" customHeight="1">
      <c r="A237" s="44" t="s">
        <v>266</v>
      </c>
      <c r="C237" s="44" t="s">
        <v>267</v>
      </c>
      <c r="D237" s="35"/>
      <c r="E237" s="45">
        <v>3610503</v>
      </c>
      <c r="F237" s="45"/>
      <c r="G237" s="45">
        <v>0</v>
      </c>
      <c r="H237" s="45"/>
      <c r="I237" s="45">
        <v>0</v>
      </c>
      <c r="J237" s="45"/>
      <c r="K237" s="45">
        <v>490421</v>
      </c>
      <c r="L237" s="45"/>
      <c r="M237" s="45">
        <v>953527</v>
      </c>
      <c r="N237" s="45"/>
      <c r="O237" s="45">
        <v>0</v>
      </c>
      <c r="P237" s="45"/>
      <c r="Q237" s="45">
        <v>62885</v>
      </c>
      <c r="R237" s="45"/>
      <c r="S237" s="44">
        <f t="shared" ref="S237:S255" si="5">+U237-SUM(E237:Q237)</f>
        <v>414572</v>
      </c>
      <c r="T237" s="45"/>
      <c r="U237" s="45">
        <v>5531908</v>
      </c>
      <c r="V237" s="44"/>
      <c r="W237" s="45">
        <v>69918</v>
      </c>
    </row>
    <row r="238" spans="1:23" s="118" customFormat="1" ht="12.75" customHeight="1">
      <c r="A238" s="44" t="s">
        <v>268</v>
      </c>
      <c r="B238" s="116"/>
      <c r="C238" s="44" t="s">
        <v>269</v>
      </c>
      <c r="D238" s="35"/>
      <c r="E238" s="45">
        <v>2968232</v>
      </c>
      <c r="F238" s="45"/>
      <c r="G238" s="45">
        <v>0</v>
      </c>
      <c r="H238" s="45"/>
      <c r="I238" s="45">
        <v>0</v>
      </c>
      <c r="J238" s="45"/>
      <c r="K238" s="45">
        <v>31089</v>
      </c>
      <c r="L238" s="45"/>
      <c r="M238" s="45">
        <v>456037</v>
      </c>
      <c r="N238" s="45"/>
      <c r="O238" s="45">
        <v>0</v>
      </c>
      <c r="P238" s="45"/>
      <c r="Q238" s="45">
        <v>211360</v>
      </c>
      <c r="R238" s="45"/>
      <c r="S238" s="44">
        <f t="shared" si="5"/>
        <v>310129</v>
      </c>
      <c r="T238" s="45"/>
      <c r="U238" s="45">
        <v>3976847</v>
      </c>
      <c r="V238" s="44"/>
      <c r="W238" s="45">
        <v>904541</v>
      </c>
    </row>
    <row r="239" spans="1:23" s="116" customFormat="1" ht="12.75" customHeight="1">
      <c r="A239" s="44" t="s">
        <v>270</v>
      </c>
      <c r="C239" s="44" t="s">
        <v>136</v>
      </c>
      <c r="D239" s="35"/>
      <c r="E239" s="45">
        <v>856781</v>
      </c>
      <c r="F239" s="45"/>
      <c r="G239" s="45">
        <v>1113445</v>
      </c>
      <c r="H239" s="45"/>
      <c r="I239" s="45">
        <v>51203</v>
      </c>
      <c r="J239" s="45"/>
      <c r="K239" s="45">
        <v>97440</v>
      </c>
      <c r="L239" s="45"/>
      <c r="M239" s="45">
        <v>1386921</v>
      </c>
      <c r="N239" s="45"/>
      <c r="O239" s="45">
        <v>0</v>
      </c>
      <c r="P239" s="45"/>
      <c r="Q239" s="45">
        <v>77038</v>
      </c>
      <c r="R239" s="45"/>
      <c r="S239" s="44">
        <f>+U239-SUM(E239:Q239)</f>
        <v>388481</v>
      </c>
      <c r="T239" s="45"/>
      <c r="U239" s="45">
        <v>3971309</v>
      </c>
      <c r="V239" s="44"/>
      <c r="W239" s="45">
        <v>0</v>
      </c>
    </row>
    <row r="240" spans="1:23" s="118" customFormat="1" ht="12.75" customHeight="1">
      <c r="A240" s="44" t="s">
        <v>271</v>
      </c>
      <c r="B240" s="116"/>
      <c r="C240" s="44" t="s">
        <v>66</v>
      </c>
      <c r="D240" s="35"/>
      <c r="E240" s="45">
        <v>7306253</v>
      </c>
      <c r="F240" s="45"/>
      <c r="G240" s="45">
        <v>0</v>
      </c>
      <c r="H240" s="45"/>
      <c r="I240" s="45">
        <v>0</v>
      </c>
      <c r="J240" s="45"/>
      <c r="K240" s="45">
        <v>324510</v>
      </c>
      <c r="L240" s="45"/>
      <c r="M240" s="45">
        <v>1881011</v>
      </c>
      <c r="N240" s="45"/>
      <c r="O240" s="45">
        <v>115294</v>
      </c>
      <c r="P240" s="45"/>
      <c r="Q240" s="45">
        <v>239056</v>
      </c>
      <c r="R240" s="45"/>
      <c r="S240" s="44">
        <f t="shared" si="5"/>
        <v>368573</v>
      </c>
      <c r="T240" s="45"/>
      <c r="U240" s="45">
        <v>10234697</v>
      </c>
      <c r="V240" s="44"/>
      <c r="W240" s="45">
        <v>0</v>
      </c>
    </row>
    <row r="241" spans="1:23" s="116" customFormat="1" ht="12.75" customHeight="1">
      <c r="A241" s="44" t="s">
        <v>272</v>
      </c>
      <c r="C241" s="44" t="s">
        <v>43</v>
      </c>
      <c r="D241" s="35"/>
      <c r="E241" s="45">
        <v>10761808</v>
      </c>
      <c r="F241" s="45"/>
      <c r="G241" s="45">
        <v>21801514</v>
      </c>
      <c r="H241" s="45"/>
      <c r="I241" s="45">
        <v>2086295</v>
      </c>
      <c r="J241" s="45"/>
      <c r="K241" s="45">
        <v>3540980</v>
      </c>
      <c r="L241" s="45"/>
      <c r="M241" s="45">
        <v>10442132</v>
      </c>
      <c r="N241" s="45"/>
      <c r="O241" s="45">
        <v>0</v>
      </c>
      <c r="P241" s="45"/>
      <c r="Q241" s="45">
        <v>1463804</v>
      </c>
      <c r="R241" s="45"/>
      <c r="S241" s="44">
        <f t="shared" si="5"/>
        <v>4958784</v>
      </c>
      <c r="T241" s="45"/>
      <c r="U241" s="45">
        <v>55055317</v>
      </c>
      <c r="V241" s="44"/>
      <c r="W241" s="45">
        <v>395699</v>
      </c>
    </row>
    <row r="242" spans="1:23" s="116" customFormat="1" ht="12.75" customHeight="1">
      <c r="A242" s="44" t="s">
        <v>273</v>
      </c>
      <c r="C242" s="44" t="s">
        <v>27</v>
      </c>
      <c r="D242" s="35"/>
      <c r="E242" s="45">
        <v>12665021</v>
      </c>
      <c r="F242" s="45"/>
      <c r="G242" s="45">
        <v>20164744</v>
      </c>
      <c r="H242" s="45"/>
      <c r="I242" s="45">
        <v>703595</v>
      </c>
      <c r="J242" s="45"/>
      <c r="K242" s="45">
        <v>3608149</v>
      </c>
      <c r="L242" s="45"/>
      <c r="M242" s="45">
        <v>5876873</v>
      </c>
      <c r="N242" s="45"/>
      <c r="O242" s="45">
        <v>320000</v>
      </c>
      <c r="P242" s="45"/>
      <c r="Q242" s="45">
        <v>989490</v>
      </c>
      <c r="R242" s="45"/>
      <c r="S242" s="44">
        <f t="shared" si="5"/>
        <v>4850876</v>
      </c>
      <c r="T242" s="45"/>
      <c r="U242" s="45">
        <v>49178748</v>
      </c>
      <c r="V242" s="44"/>
      <c r="W242" s="45">
        <v>143436</v>
      </c>
    </row>
    <row r="243" spans="1:23" s="116" customFormat="1" ht="12.75" customHeight="1">
      <c r="A243" s="44" t="s">
        <v>274</v>
      </c>
      <c r="C243" s="44" t="s">
        <v>43</v>
      </c>
      <c r="D243" s="35"/>
      <c r="E243" s="45">
        <v>616361</v>
      </c>
      <c r="F243" s="45"/>
      <c r="G243" s="45">
        <v>14098188</v>
      </c>
      <c r="H243" s="45"/>
      <c r="I243" s="45">
        <v>0</v>
      </c>
      <c r="J243" s="45"/>
      <c r="K243" s="45">
        <v>493448</v>
      </c>
      <c r="L243" s="45"/>
      <c r="M243" s="45">
        <v>3861448</v>
      </c>
      <c r="N243" s="45"/>
      <c r="O243" s="45">
        <v>186755</v>
      </c>
      <c r="P243" s="45"/>
      <c r="Q243" s="45">
        <v>634884</v>
      </c>
      <c r="R243" s="45"/>
      <c r="S243" s="44">
        <f t="shared" si="5"/>
        <v>977694</v>
      </c>
      <c r="T243" s="45"/>
      <c r="U243" s="45">
        <v>20868778</v>
      </c>
      <c r="V243" s="44"/>
      <c r="W243" s="45">
        <v>217884</v>
      </c>
    </row>
    <row r="244" spans="1:23" s="116" customFormat="1" ht="12.75" customHeight="1">
      <c r="A244" s="44" t="s">
        <v>275</v>
      </c>
      <c r="C244" s="44" t="s">
        <v>92</v>
      </c>
      <c r="D244" s="35"/>
      <c r="E244" s="45">
        <v>2113358</v>
      </c>
      <c r="F244" s="45"/>
      <c r="G244" s="45">
        <v>8828300</v>
      </c>
      <c r="H244" s="45"/>
      <c r="I244" s="45">
        <v>3018834</v>
      </c>
      <c r="J244" s="45"/>
      <c r="K244" s="45">
        <v>597880</v>
      </c>
      <c r="L244" s="45"/>
      <c r="M244" s="45">
        <v>1233285</v>
      </c>
      <c r="N244" s="45"/>
      <c r="O244" s="45">
        <v>305108</v>
      </c>
      <c r="P244" s="45"/>
      <c r="Q244" s="45">
        <v>763470</v>
      </c>
      <c r="R244" s="45"/>
      <c r="S244" s="44">
        <f t="shared" si="5"/>
        <v>1121222</v>
      </c>
      <c r="T244" s="45"/>
      <c r="U244" s="45">
        <v>17981457</v>
      </c>
      <c r="V244" s="44"/>
      <c r="W244" s="45">
        <v>20396</v>
      </c>
    </row>
    <row r="245" spans="1:23" s="116" customFormat="1" ht="12.75" customHeight="1">
      <c r="A245" s="44" t="s">
        <v>276</v>
      </c>
      <c r="C245" s="44" t="s">
        <v>38</v>
      </c>
      <c r="D245" s="35"/>
      <c r="E245" s="45">
        <v>576114</v>
      </c>
      <c r="F245" s="45"/>
      <c r="G245" s="45">
        <v>2676658</v>
      </c>
      <c r="H245" s="45"/>
      <c r="I245" s="45">
        <v>0</v>
      </c>
      <c r="J245" s="45"/>
      <c r="K245" s="45">
        <v>500673</v>
      </c>
      <c r="L245" s="45"/>
      <c r="M245" s="45">
        <v>804147</v>
      </c>
      <c r="N245" s="45"/>
      <c r="O245" s="45">
        <v>0</v>
      </c>
      <c r="P245" s="45"/>
      <c r="Q245" s="45">
        <v>57460</v>
      </c>
      <c r="R245" s="45"/>
      <c r="S245" s="44">
        <f t="shared" si="5"/>
        <v>461635</v>
      </c>
      <c r="T245" s="45"/>
      <c r="U245" s="45">
        <v>5076687</v>
      </c>
      <c r="V245" s="44"/>
      <c r="W245" s="45">
        <v>288697</v>
      </c>
    </row>
    <row r="246" spans="1:23" s="116" customFormat="1" ht="12.75" customHeight="1">
      <c r="A246" s="44" t="s">
        <v>277</v>
      </c>
      <c r="C246" s="44" t="s">
        <v>92</v>
      </c>
      <c r="D246" s="35"/>
      <c r="E246" s="45">
        <v>5006504</v>
      </c>
      <c r="F246" s="45"/>
      <c r="G246" s="45">
        <v>15409976</v>
      </c>
      <c r="H246" s="45"/>
      <c r="I246" s="45">
        <v>0</v>
      </c>
      <c r="J246" s="45"/>
      <c r="K246" s="45">
        <v>1419620</v>
      </c>
      <c r="L246" s="45"/>
      <c r="M246" s="45">
        <v>4909115</v>
      </c>
      <c r="N246" s="45"/>
      <c r="O246" s="45">
        <v>626565</v>
      </c>
      <c r="P246" s="45"/>
      <c r="Q246" s="45">
        <v>2745142</v>
      </c>
      <c r="R246" s="45"/>
      <c r="S246" s="44">
        <f t="shared" si="5"/>
        <v>998494</v>
      </c>
      <c r="T246" s="45"/>
      <c r="U246" s="45">
        <v>31115416</v>
      </c>
      <c r="V246" s="44"/>
      <c r="W246" s="45">
        <v>0</v>
      </c>
    </row>
    <row r="247" spans="1:23" s="116" customFormat="1" ht="12.75" customHeight="1">
      <c r="A247" s="44" t="s">
        <v>278</v>
      </c>
      <c r="C247" s="44" t="s">
        <v>92</v>
      </c>
      <c r="D247" s="35"/>
      <c r="E247" s="45">
        <v>2074140</v>
      </c>
      <c r="F247" s="45"/>
      <c r="G247" s="45">
        <v>3094401</v>
      </c>
      <c r="H247" s="45"/>
      <c r="I247" s="45">
        <v>0</v>
      </c>
      <c r="J247" s="45"/>
      <c r="K247" s="45">
        <v>320678</v>
      </c>
      <c r="L247" s="45"/>
      <c r="M247" s="45">
        <v>2227702</v>
      </c>
      <c r="N247" s="45"/>
      <c r="O247" s="45">
        <v>17358</v>
      </c>
      <c r="P247" s="45"/>
      <c r="Q247" s="45">
        <v>980807</v>
      </c>
      <c r="R247" s="45"/>
      <c r="S247" s="44">
        <f t="shared" si="5"/>
        <v>353624</v>
      </c>
      <c r="T247" s="45"/>
      <c r="U247" s="45">
        <v>9068710</v>
      </c>
      <c r="V247" s="44"/>
      <c r="W247" s="45">
        <v>3713</v>
      </c>
    </row>
    <row r="248" spans="1:23" s="116" customFormat="1" ht="12.75" customHeight="1">
      <c r="A248" s="44" t="s">
        <v>279</v>
      </c>
      <c r="C248" s="44" t="s">
        <v>92</v>
      </c>
      <c r="D248" s="35"/>
      <c r="E248" s="45">
        <v>3849709</v>
      </c>
      <c r="F248" s="45"/>
      <c r="G248" s="45">
        <v>2363807</v>
      </c>
      <c r="H248" s="45"/>
      <c r="I248" s="45">
        <v>115420</v>
      </c>
      <c r="J248" s="45"/>
      <c r="K248" s="45">
        <v>560319</v>
      </c>
      <c r="L248" s="45"/>
      <c r="M248" s="45">
        <v>3163481</v>
      </c>
      <c r="N248" s="45"/>
      <c r="O248" s="45">
        <v>0</v>
      </c>
      <c r="P248" s="45"/>
      <c r="Q248" s="45">
        <v>299782</v>
      </c>
      <c r="R248" s="45"/>
      <c r="S248" s="44">
        <f t="shared" si="5"/>
        <v>568602</v>
      </c>
      <c r="T248" s="45"/>
      <c r="U248" s="45">
        <v>10921120</v>
      </c>
      <c r="V248" s="44"/>
      <c r="W248" s="45">
        <v>2638420</v>
      </c>
    </row>
    <row r="249" spans="1:23" s="116" customFormat="1" ht="12.75" customHeight="1">
      <c r="A249" s="44" t="s">
        <v>280</v>
      </c>
      <c r="C249" s="44" t="s">
        <v>281</v>
      </c>
      <c r="D249" s="35"/>
      <c r="E249" s="45">
        <v>1932767</v>
      </c>
      <c r="F249" s="45"/>
      <c r="G249" s="45">
        <v>4441695</v>
      </c>
      <c r="H249" s="45"/>
      <c r="I249" s="45">
        <v>0</v>
      </c>
      <c r="J249" s="45"/>
      <c r="K249" s="45">
        <v>1566198</v>
      </c>
      <c r="L249" s="45"/>
      <c r="M249" s="45">
        <v>4687046</v>
      </c>
      <c r="N249" s="45"/>
      <c r="O249" s="45">
        <v>265636</v>
      </c>
      <c r="P249" s="45"/>
      <c r="Q249" s="45">
        <v>930161</v>
      </c>
      <c r="R249" s="45"/>
      <c r="S249" s="44">
        <f t="shared" si="5"/>
        <v>1112173</v>
      </c>
      <c r="T249" s="45"/>
      <c r="U249" s="45">
        <v>14935676</v>
      </c>
      <c r="V249" s="44"/>
      <c r="W249" s="45">
        <v>605000</v>
      </c>
    </row>
    <row r="250" spans="1:23" s="116" customFormat="1" ht="12.75" customHeight="1">
      <c r="A250" s="44" t="s">
        <v>282</v>
      </c>
      <c r="C250" s="44" t="s">
        <v>199</v>
      </c>
      <c r="D250" s="35"/>
      <c r="E250" s="45">
        <v>13726214</v>
      </c>
      <c r="F250" s="45"/>
      <c r="G250" s="45">
        <v>0</v>
      </c>
      <c r="H250" s="45"/>
      <c r="I250" s="45">
        <v>0</v>
      </c>
      <c r="J250" s="45"/>
      <c r="K250" s="45">
        <v>1254071</v>
      </c>
      <c r="L250" s="45"/>
      <c r="M250" s="45">
        <v>3506114</v>
      </c>
      <c r="N250" s="45"/>
      <c r="O250" s="45">
        <v>255070</v>
      </c>
      <c r="P250" s="45"/>
      <c r="Q250" s="45">
        <v>727002</v>
      </c>
      <c r="R250" s="45"/>
      <c r="S250" s="44">
        <f t="shared" si="5"/>
        <v>3231086</v>
      </c>
      <c r="T250" s="45"/>
      <c r="U250" s="45">
        <v>22699557</v>
      </c>
      <c r="V250" s="44"/>
      <c r="W250" s="45">
        <f>1997023+85000+1431473</f>
        <v>3513496</v>
      </c>
    </row>
    <row r="251" spans="1:23" s="116" customFormat="1" ht="12.75" customHeight="1">
      <c r="A251" s="44" t="s">
        <v>283</v>
      </c>
      <c r="C251" s="44" t="s">
        <v>43</v>
      </c>
      <c r="D251" s="35"/>
      <c r="E251" s="45">
        <v>2753465</v>
      </c>
      <c r="F251" s="45"/>
      <c r="G251" s="45">
        <v>15833495</v>
      </c>
      <c r="H251" s="45"/>
      <c r="I251" s="45">
        <v>128649</v>
      </c>
      <c r="J251" s="45"/>
      <c r="K251" s="45">
        <v>3284488</v>
      </c>
      <c r="L251" s="45"/>
      <c r="M251" s="45">
        <v>3511642</v>
      </c>
      <c r="N251" s="45"/>
      <c r="O251" s="45">
        <v>125391</v>
      </c>
      <c r="P251" s="45"/>
      <c r="Q251" s="45">
        <v>536804</v>
      </c>
      <c r="R251" s="45"/>
      <c r="S251" s="44">
        <f t="shared" si="5"/>
        <v>1306801</v>
      </c>
      <c r="T251" s="45"/>
      <c r="U251" s="45">
        <v>27480735</v>
      </c>
      <c r="V251" s="44"/>
      <c r="W251" s="45">
        <v>131217</v>
      </c>
    </row>
    <row r="252" spans="1:23" s="116" customFormat="1" ht="12.75" customHeight="1">
      <c r="A252" s="44" t="s">
        <v>284</v>
      </c>
      <c r="C252" s="44" t="s">
        <v>45</v>
      </c>
      <c r="D252" s="35"/>
      <c r="E252" s="45">
        <v>6975423</v>
      </c>
      <c r="F252" s="45"/>
      <c r="G252" s="45">
        <v>0</v>
      </c>
      <c r="H252" s="45"/>
      <c r="I252" s="45">
        <v>0</v>
      </c>
      <c r="J252" s="45"/>
      <c r="K252" s="45">
        <v>114490</v>
      </c>
      <c r="L252" s="45"/>
      <c r="M252" s="45">
        <v>2291808</v>
      </c>
      <c r="N252" s="45"/>
      <c r="O252" s="45">
        <v>1712</v>
      </c>
      <c r="P252" s="45"/>
      <c r="Q252" s="45">
        <v>114490</v>
      </c>
      <c r="R252" s="45"/>
      <c r="S252" s="44">
        <f t="shared" si="5"/>
        <v>1426629</v>
      </c>
      <c r="T252" s="45"/>
      <c r="U252" s="45">
        <v>10924552</v>
      </c>
      <c r="V252" s="44"/>
      <c r="W252" s="45">
        <v>99923</v>
      </c>
    </row>
    <row r="253" spans="1:23" s="116" customFormat="1" ht="12.75" customHeight="1">
      <c r="A253" s="44" t="s">
        <v>285</v>
      </c>
      <c r="C253" s="44" t="s">
        <v>30</v>
      </c>
      <c r="D253" s="35"/>
      <c r="E253" s="45">
        <v>0</v>
      </c>
      <c r="F253" s="45"/>
      <c r="G253" s="45">
        <v>8849796</v>
      </c>
      <c r="H253" s="45"/>
      <c r="I253" s="45">
        <v>5741544</v>
      </c>
      <c r="J253" s="45"/>
      <c r="K253" s="45">
        <v>1575315</v>
      </c>
      <c r="L253" s="45"/>
      <c r="M253" s="45">
        <v>808075</v>
      </c>
      <c r="N253" s="45"/>
      <c r="O253" s="45">
        <v>0</v>
      </c>
      <c r="P253" s="45"/>
      <c r="Q253" s="45">
        <v>1220823</v>
      </c>
      <c r="R253" s="45"/>
      <c r="S253" s="44">
        <f t="shared" si="5"/>
        <v>1074252</v>
      </c>
      <c r="T253" s="45"/>
      <c r="U253" s="45">
        <v>19269805</v>
      </c>
      <c r="V253" s="44"/>
      <c r="W253" s="45">
        <v>24298</v>
      </c>
    </row>
    <row r="254" spans="1:23" s="116" customFormat="1" ht="12.75" customHeight="1">
      <c r="A254" s="44" t="s">
        <v>286</v>
      </c>
      <c r="C254" s="44" t="s">
        <v>61</v>
      </c>
      <c r="D254" s="64"/>
      <c r="E254" s="45">
        <v>2124120</v>
      </c>
      <c r="F254" s="45"/>
      <c r="G254" s="45">
        <v>45808458</v>
      </c>
      <c r="H254" s="45"/>
      <c r="I254" s="45"/>
      <c r="J254" s="45"/>
      <c r="K254" s="45">
        <v>6526426</v>
      </c>
      <c r="L254" s="45"/>
      <c r="M254" s="45">
        <v>17029979</v>
      </c>
      <c r="N254" s="45"/>
      <c r="O254" s="45">
        <v>0</v>
      </c>
      <c r="P254" s="45"/>
      <c r="Q254" s="45">
        <v>1561677</v>
      </c>
      <c r="R254" s="45"/>
      <c r="S254" s="44">
        <f t="shared" si="5"/>
        <v>4888939</v>
      </c>
      <c r="T254" s="45"/>
      <c r="U254" s="45">
        <v>77939599</v>
      </c>
      <c r="V254" s="44"/>
      <c r="W254" s="45">
        <v>251287</v>
      </c>
    </row>
    <row r="255" spans="1:23" s="116" customFormat="1" ht="12.75" customHeight="1">
      <c r="A255" s="44" t="s">
        <v>287</v>
      </c>
      <c r="C255" s="44" t="s">
        <v>288</v>
      </c>
      <c r="D255" s="35"/>
      <c r="E255" s="45">
        <v>1563749</v>
      </c>
      <c r="F255" s="45"/>
      <c r="G255" s="45">
        <v>14131828</v>
      </c>
      <c r="H255" s="45"/>
      <c r="I255" s="45">
        <v>0</v>
      </c>
      <c r="J255" s="45"/>
      <c r="K255" s="45">
        <v>1923813</v>
      </c>
      <c r="L255" s="45"/>
      <c r="M255" s="45">
        <v>6358716</v>
      </c>
      <c r="N255" s="45"/>
      <c r="O255" s="45">
        <v>0</v>
      </c>
      <c r="P255" s="45"/>
      <c r="Q255" s="45">
        <v>971237</v>
      </c>
      <c r="R255" s="45"/>
      <c r="S255" s="44">
        <f t="shared" si="5"/>
        <v>841860</v>
      </c>
      <c r="T255" s="45"/>
      <c r="U255" s="45">
        <v>25791203</v>
      </c>
      <c r="V255" s="44"/>
      <c r="W255" s="45">
        <v>357290</v>
      </c>
    </row>
    <row r="256" spans="1:23" s="49" customFormat="1" ht="12.75" customHeight="1">
      <c r="A256" s="44" t="s">
        <v>472</v>
      </c>
      <c r="B256" s="116"/>
      <c r="C256" s="47"/>
      <c r="D256" s="47"/>
      <c r="F256" s="44"/>
      <c r="H256" s="44"/>
      <c r="J256" s="44"/>
      <c r="L256" s="44"/>
      <c r="N256" s="44"/>
      <c r="P256" s="44"/>
      <c r="R256" s="44"/>
      <c r="S256" s="44"/>
      <c r="T256" s="44"/>
    </row>
    <row r="257" spans="1:23" s="116" customFormat="1" ht="12.75" customHeight="1">
      <c r="A257" s="49"/>
      <c r="B257" s="49"/>
      <c r="C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4"/>
      <c r="T257" s="49"/>
      <c r="U257" s="48"/>
      <c r="V257" s="47"/>
      <c r="W257" s="44"/>
    </row>
    <row r="258" spans="1:23" s="116" customFormat="1" ht="12.75" customHeight="1">
      <c r="A258" s="49"/>
      <c r="C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4"/>
      <c r="T258" s="49"/>
      <c r="U258" s="48"/>
      <c r="V258" s="47"/>
      <c r="W258" s="44"/>
    </row>
    <row r="259" spans="1:23" s="116" customFormat="1" ht="12.75" customHeight="1">
      <c r="A259" s="49"/>
      <c r="C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4"/>
      <c r="T259" s="49"/>
      <c r="U259" s="48"/>
      <c r="V259" s="47"/>
      <c r="W259" s="44"/>
    </row>
    <row r="260" spans="1:23" s="116" customFormat="1" ht="12.75" customHeight="1">
      <c r="A260" s="49"/>
      <c r="C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4"/>
      <c r="T260" s="49"/>
      <c r="U260" s="48"/>
      <c r="V260" s="47"/>
      <c r="W260" s="44"/>
    </row>
    <row r="261" spans="1:23" s="116" customFormat="1" ht="12.75" customHeight="1">
      <c r="A261" s="49"/>
      <c r="C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4"/>
      <c r="T261" s="49"/>
      <c r="U261" s="48"/>
      <c r="V261" s="47"/>
      <c r="W261" s="44"/>
    </row>
    <row r="262" spans="1:23" s="116" customFormat="1" ht="12.75" customHeight="1">
      <c r="A262" s="49"/>
      <c r="C262" s="4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8"/>
      <c r="T262" s="119"/>
      <c r="U262" s="120"/>
      <c r="W262" s="44"/>
    </row>
    <row r="263" spans="1:23" s="116" customFormat="1" ht="12.75" customHeight="1">
      <c r="A263" s="119"/>
      <c r="C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8"/>
      <c r="T263" s="119"/>
      <c r="U263" s="120"/>
      <c r="W263" s="44"/>
    </row>
    <row r="264" spans="1:23" s="116" customFormat="1" ht="12.75" customHeight="1">
      <c r="A264" s="119"/>
      <c r="C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8"/>
      <c r="T264" s="119"/>
      <c r="U264" s="120"/>
      <c r="W264" s="44"/>
    </row>
    <row r="265" spans="1:23" s="116" customFormat="1" ht="12.75" customHeight="1">
      <c r="A265" s="119"/>
      <c r="C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8"/>
      <c r="T265" s="119"/>
      <c r="U265" s="120"/>
      <c r="W265" s="44"/>
    </row>
    <row r="266" spans="1:23" s="116" customFormat="1" ht="12.75" customHeight="1">
      <c r="A266" s="119"/>
      <c r="C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8"/>
      <c r="T266" s="119"/>
      <c r="U266" s="120"/>
      <c r="W266" s="44"/>
    </row>
    <row r="267" spans="1:23" s="116" customFormat="1" ht="12.75" customHeight="1">
      <c r="A267" s="119"/>
      <c r="C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8"/>
      <c r="T267" s="119"/>
      <c r="U267" s="120"/>
      <c r="W267" s="44"/>
    </row>
    <row r="268" spans="1:23" s="116" customFormat="1" ht="12.75" customHeight="1">
      <c r="A268" s="119"/>
      <c r="C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8"/>
      <c r="T268" s="119"/>
      <c r="U268" s="120"/>
      <c r="W268" s="44"/>
    </row>
    <row r="269" spans="1:23" s="116" customFormat="1" ht="12.75" customHeight="1">
      <c r="A269" s="119"/>
      <c r="C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8"/>
      <c r="T269" s="119"/>
      <c r="U269" s="120"/>
      <c r="W269" s="44"/>
    </row>
    <row r="270" spans="1:23" s="116" customFormat="1" ht="12.75" customHeight="1">
      <c r="A270" s="119"/>
      <c r="C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8"/>
      <c r="T270" s="119"/>
      <c r="U270" s="120"/>
      <c r="W270" s="44"/>
    </row>
    <row r="271" spans="1:23" s="116" customFormat="1" ht="12.75" customHeight="1">
      <c r="A271" s="119"/>
      <c r="C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8"/>
      <c r="T271" s="119"/>
      <c r="U271" s="120"/>
      <c r="W271" s="44"/>
    </row>
    <row r="272" spans="1:23" s="116" customFormat="1" ht="12.75" customHeight="1">
      <c r="A272" s="119"/>
      <c r="C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8"/>
      <c r="T272" s="119"/>
      <c r="U272" s="120"/>
      <c r="W272" s="44"/>
    </row>
    <row r="273" spans="1:23" s="116" customFormat="1" ht="12.75" customHeight="1">
      <c r="A273" s="119"/>
      <c r="C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8"/>
      <c r="T273" s="119"/>
      <c r="U273" s="120"/>
      <c r="W273" s="44"/>
    </row>
    <row r="274" spans="1:23" s="116" customFormat="1" ht="12.75" customHeight="1">
      <c r="A274" s="119"/>
      <c r="C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8"/>
      <c r="T274" s="119"/>
      <c r="U274" s="120"/>
      <c r="W274" s="44"/>
    </row>
    <row r="275" spans="1:23" s="116" customFormat="1" ht="12.75" customHeight="1">
      <c r="A275" s="119"/>
      <c r="C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8"/>
      <c r="T275" s="119"/>
      <c r="U275" s="120"/>
      <c r="W275" s="44"/>
    </row>
    <row r="276" spans="1:23" s="116" customFormat="1" ht="12.75" customHeight="1">
      <c r="A276" s="119"/>
      <c r="C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8"/>
      <c r="T276" s="119"/>
      <c r="U276" s="120"/>
      <c r="W276" s="44"/>
    </row>
    <row r="277" spans="1:23" s="116" customFormat="1" ht="12.75" customHeight="1">
      <c r="A277" s="119"/>
      <c r="C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8"/>
      <c r="T277" s="119"/>
      <c r="U277" s="120"/>
      <c r="W277" s="44"/>
    </row>
    <row r="278" spans="1:23" s="116" customFormat="1" ht="12.75" customHeight="1">
      <c r="A278" s="119"/>
      <c r="C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8"/>
      <c r="T278" s="119"/>
      <c r="U278" s="120"/>
      <c r="W278" s="44"/>
    </row>
    <row r="279" spans="1:23" s="116" customFormat="1" ht="12.75" customHeight="1">
      <c r="A279" s="119"/>
      <c r="C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8"/>
      <c r="T279" s="119"/>
      <c r="U279" s="120"/>
      <c r="W279" s="44"/>
    </row>
    <row r="280" spans="1:23" s="116" customFormat="1" ht="12.75" customHeight="1">
      <c r="A280" s="119"/>
      <c r="C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8"/>
      <c r="T280" s="119"/>
      <c r="U280" s="120"/>
      <c r="W280" s="44"/>
    </row>
    <row r="281" spans="1:23" s="116" customFormat="1" ht="12.75" customHeight="1">
      <c r="A281" s="119"/>
      <c r="C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8"/>
      <c r="T281" s="119"/>
      <c r="U281" s="120"/>
      <c r="W281" s="44"/>
    </row>
    <row r="282" spans="1:23" s="116" customFormat="1" ht="12.75" customHeight="1">
      <c r="A282" s="119"/>
      <c r="C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8"/>
      <c r="T282" s="119"/>
      <c r="U282" s="120"/>
      <c r="W282" s="44"/>
    </row>
    <row r="283" spans="1:23" s="116" customFormat="1" ht="12.75" customHeight="1">
      <c r="A283" s="119"/>
      <c r="C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8"/>
      <c r="T283" s="119"/>
      <c r="U283" s="120"/>
      <c r="W283" s="44"/>
    </row>
    <row r="284" spans="1:23" s="116" customFormat="1" ht="12.75" customHeight="1">
      <c r="A284" s="119"/>
      <c r="C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8"/>
      <c r="T284" s="119"/>
      <c r="U284" s="120"/>
      <c r="W284" s="44"/>
    </row>
    <row r="285" spans="1:23" s="116" customFormat="1" ht="12.75" customHeight="1">
      <c r="A285" s="119"/>
      <c r="C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8"/>
      <c r="T285" s="119"/>
      <c r="U285" s="120"/>
      <c r="W285" s="44"/>
    </row>
    <row r="286" spans="1:23" s="116" customFormat="1" ht="12.75" customHeight="1">
      <c r="A286" s="119"/>
      <c r="C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8"/>
      <c r="T286" s="119"/>
      <c r="U286" s="120"/>
      <c r="W286" s="44"/>
    </row>
    <row r="287" spans="1:23" s="116" customFormat="1" ht="12.75" customHeight="1">
      <c r="A287" s="119"/>
      <c r="C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8"/>
      <c r="T287" s="119"/>
      <c r="U287" s="120"/>
      <c r="W287" s="44"/>
    </row>
    <row r="288" spans="1:23" s="116" customFormat="1" ht="12.75" customHeight="1">
      <c r="A288" s="119"/>
      <c r="C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8"/>
      <c r="T288" s="119"/>
      <c r="U288" s="120"/>
      <c r="W288" s="44"/>
    </row>
    <row r="289" spans="1:23" s="116" customFormat="1" ht="12.75" customHeight="1">
      <c r="A289" s="119"/>
      <c r="C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8"/>
      <c r="T289" s="119"/>
      <c r="U289" s="120"/>
      <c r="W289" s="44"/>
    </row>
    <row r="290" spans="1:23" s="116" customFormat="1" ht="12.75" customHeight="1">
      <c r="A290" s="119"/>
      <c r="C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8"/>
      <c r="T290" s="119"/>
      <c r="U290" s="120"/>
      <c r="W290" s="44"/>
    </row>
    <row r="291" spans="1:23" s="116" customFormat="1" ht="12.75" customHeight="1">
      <c r="A291" s="119"/>
      <c r="C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8"/>
      <c r="T291" s="119"/>
      <c r="U291" s="120"/>
      <c r="W291" s="44"/>
    </row>
    <row r="292" spans="1:23" s="116" customFormat="1" ht="12.75" customHeight="1">
      <c r="A292" s="119"/>
      <c r="C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8"/>
      <c r="T292" s="119"/>
      <c r="U292" s="120"/>
      <c r="W292" s="44"/>
    </row>
    <row r="293" spans="1:23" s="116" customFormat="1" ht="12.75" customHeight="1">
      <c r="A293" s="119"/>
      <c r="C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8"/>
      <c r="T293" s="119"/>
      <c r="U293" s="120"/>
      <c r="W293" s="44"/>
    </row>
    <row r="294" spans="1:23" s="116" customFormat="1" ht="12.75" customHeight="1">
      <c r="A294" s="119"/>
      <c r="C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8"/>
      <c r="T294" s="119"/>
      <c r="U294" s="120"/>
      <c r="W294" s="44"/>
    </row>
    <row r="295" spans="1:23" s="116" customFormat="1" ht="12.75" customHeight="1">
      <c r="A295" s="119"/>
      <c r="C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8"/>
      <c r="T295" s="119"/>
      <c r="U295" s="120"/>
      <c r="W295" s="44"/>
    </row>
    <row r="296" spans="1:23" s="116" customFormat="1" ht="12.75" customHeight="1">
      <c r="A296" s="119"/>
      <c r="C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8"/>
      <c r="T296" s="119"/>
      <c r="U296" s="120"/>
      <c r="W296" s="44"/>
    </row>
    <row r="297" spans="1:23" s="116" customFormat="1" ht="12.75" customHeight="1">
      <c r="A297" s="119"/>
      <c r="C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8"/>
      <c r="T297" s="119"/>
      <c r="U297" s="120"/>
      <c r="W297" s="44"/>
    </row>
    <row r="298" spans="1:23" s="116" customFormat="1" ht="12.75" customHeight="1">
      <c r="A298" s="119"/>
      <c r="C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8"/>
      <c r="T298" s="119"/>
      <c r="U298" s="120"/>
      <c r="W298" s="44"/>
    </row>
    <row r="299" spans="1:23" s="116" customFormat="1" ht="12.75" customHeight="1">
      <c r="A299" s="119"/>
      <c r="C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8"/>
      <c r="T299" s="119"/>
      <c r="U299" s="120"/>
      <c r="W299" s="44"/>
    </row>
    <row r="300" spans="1:23" s="116" customFormat="1" ht="12.75" customHeight="1">
      <c r="A300" s="119"/>
      <c r="C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8"/>
      <c r="T300" s="119"/>
      <c r="U300" s="120"/>
      <c r="W300" s="44"/>
    </row>
    <row r="301" spans="1:23" s="116" customFormat="1" ht="12.75" customHeight="1">
      <c r="A301" s="119"/>
      <c r="C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8"/>
      <c r="T301" s="119"/>
      <c r="U301" s="120"/>
      <c r="W301" s="44"/>
    </row>
    <row r="302" spans="1:23" s="116" customFormat="1" ht="12.75" customHeight="1">
      <c r="A302" s="119"/>
      <c r="C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8"/>
      <c r="T302" s="119"/>
      <c r="U302" s="120"/>
      <c r="W302" s="44"/>
    </row>
    <row r="303" spans="1:23" s="116" customFormat="1" ht="12.75" customHeight="1">
      <c r="A303" s="119"/>
      <c r="C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8"/>
      <c r="T303" s="119"/>
      <c r="U303" s="120"/>
      <c r="W303" s="44"/>
    </row>
    <row r="304" spans="1:23" s="116" customFormat="1" ht="12.75" customHeight="1">
      <c r="A304" s="119"/>
      <c r="C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8"/>
      <c r="T304" s="119"/>
      <c r="U304" s="120"/>
      <c r="W304" s="44"/>
    </row>
    <row r="305" spans="1:23" s="116" customFormat="1" ht="12.75" customHeight="1">
      <c r="A305" s="119"/>
      <c r="C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8"/>
      <c r="T305" s="119"/>
      <c r="U305" s="120"/>
      <c r="W305" s="44"/>
    </row>
    <row r="306" spans="1:23" s="116" customFormat="1" ht="12.75" customHeight="1">
      <c r="A306" s="119"/>
      <c r="C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8"/>
      <c r="T306" s="119"/>
      <c r="U306" s="120"/>
      <c r="W306" s="44"/>
    </row>
    <row r="307" spans="1:23" s="116" customFormat="1" ht="12.75" customHeight="1">
      <c r="A307" s="119"/>
      <c r="C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8"/>
      <c r="T307" s="119"/>
      <c r="U307" s="120"/>
      <c r="W307" s="44"/>
    </row>
    <row r="308" spans="1:23" s="116" customFormat="1" ht="12.75" customHeight="1">
      <c r="A308" s="119"/>
      <c r="C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8"/>
      <c r="T308" s="119"/>
      <c r="U308" s="120"/>
      <c r="W308" s="44"/>
    </row>
    <row r="309" spans="1:23" s="116" customFormat="1" ht="12.75" customHeight="1">
      <c r="A309" s="119"/>
      <c r="C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8"/>
      <c r="T309" s="119"/>
      <c r="U309" s="120"/>
      <c r="W309" s="44"/>
    </row>
    <row r="310" spans="1:23" s="116" customFormat="1" ht="12.75" customHeight="1">
      <c r="A310" s="119"/>
      <c r="C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8"/>
      <c r="T310" s="119"/>
      <c r="U310" s="120"/>
      <c r="W310" s="44"/>
    </row>
    <row r="311" spans="1:23" s="116" customFormat="1" ht="12.75" customHeight="1">
      <c r="A311" s="119"/>
      <c r="C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8"/>
      <c r="T311" s="119"/>
      <c r="U311" s="120"/>
      <c r="W311" s="44"/>
    </row>
    <row r="312" spans="1:23" s="116" customFormat="1" ht="12.75" customHeight="1">
      <c r="A312" s="119"/>
      <c r="C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8"/>
      <c r="T312" s="119"/>
      <c r="U312" s="120"/>
      <c r="W312" s="44"/>
    </row>
    <row r="313" spans="1:23" s="116" customFormat="1" ht="12.75" customHeight="1">
      <c r="A313" s="119"/>
      <c r="C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8"/>
      <c r="T313" s="119"/>
      <c r="U313" s="120"/>
      <c r="W313" s="44"/>
    </row>
    <row r="314" spans="1:23" s="116" customFormat="1" ht="12.75" customHeight="1">
      <c r="A314" s="119"/>
      <c r="C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8"/>
      <c r="T314" s="119"/>
      <c r="U314" s="120"/>
      <c r="W314" s="44"/>
    </row>
    <row r="315" spans="1:23" s="116" customFormat="1" ht="12.75" customHeight="1">
      <c r="A315" s="119"/>
      <c r="C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8"/>
      <c r="T315" s="119"/>
      <c r="U315" s="120"/>
      <c r="W315" s="44"/>
    </row>
    <row r="316" spans="1:23" s="116" customFormat="1" ht="12.75" customHeight="1">
      <c r="A316" s="119"/>
      <c r="C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8"/>
      <c r="T316" s="119"/>
      <c r="U316" s="120"/>
      <c r="W316" s="44"/>
    </row>
    <row r="317" spans="1:23" s="116" customFormat="1" ht="12.75" customHeight="1">
      <c r="A317" s="119"/>
      <c r="C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8"/>
      <c r="T317" s="119"/>
      <c r="U317" s="120"/>
      <c r="W317" s="44"/>
    </row>
    <row r="318" spans="1:23" s="116" customFormat="1" ht="12.75" customHeight="1">
      <c r="A318" s="119"/>
      <c r="C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8"/>
      <c r="T318" s="119"/>
      <c r="U318" s="120"/>
      <c r="W318" s="44"/>
    </row>
    <row r="319" spans="1:23" s="116" customFormat="1" ht="12.75" customHeight="1">
      <c r="A319" s="119"/>
      <c r="C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8"/>
      <c r="T319" s="119"/>
      <c r="U319" s="120"/>
      <c r="W319" s="44"/>
    </row>
    <row r="320" spans="1:23" s="116" customFormat="1" ht="12.75" customHeight="1">
      <c r="A320" s="119"/>
      <c r="C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8"/>
      <c r="T320" s="119"/>
      <c r="U320" s="120"/>
      <c r="W320" s="44"/>
    </row>
    <row r="321" spans="1:23" s="116" customFormat="1" ht="12.75" customHeight="1">
      <c r="A321" s="119"/>
      <c r="C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8"/>
      <c r="T321" s="119"/>
      <c r="U321" s="120"/>
      <c r="W321" s="44"/>
    </row>
    <row r="322" spans="1:23" s="116" customFormat="1" ht="12.75" customHeight="1">
      <c r="A322" s="119"/>
      <c r="C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8"/>
      <c r="T322" s="119"/>
      <c r="U322" s="120"/>
      <c r="W322" s="44"/>
    </row>
    <row r="323" spans="1:23" s="116" customFormat="1" ht="12.75" customHeight="1">
      <c r="A323" s="119"/>
      <c r="C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8"/>
      <c r="T323" s="119"/>
      <c r="U323" s="120"/>
      <c r="W323" s="44"/>
    </row>
    <row r="324" spans="1:23" s="116" customFormat="1" ht="12.75" customHeight="1">
      <c r="A324" s="119"/>
      <c r="C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8"/>
      <c r="T324" s="119"/>
      <c r="U324" s="120"/>
      <c r="W324" s="44"/>
    </row>
    <row r="325" spans="1:23" s="116" customFormat="1" ht="12.75" customHeight="1">
      <c r="A325" s="119"/>
      <c r="C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8"/>
      <c r="T325" s="119"/>
      <c r="U325" s="120"/>
      <c r="W325" s="44"/>
    </row>
    <row r="326" spans="1:23" s="116" customFormat="1" ht="12.75" customHeight="1">
      <c r="A326" s="119"/>
      <c r="C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8"/>
      <c r="T326" s="119"/>
      <c r="U326" s="120"/>
      <c r="W326" s="44"/>
    </row>
    <row r="327" spans="1:23" s="116" customFormat="1" ht="12.75" customHeight="1">
      <c r="A327" s="119"/>
      <c r="C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8"/>
      <c r="T327" s="119"/>
      <c r="U327" s="120"/>
      <c r="W327" s="44"/>
    </row>
    <row r="328" spans="1:23" s="116" customFormat="1" ht="12.75" customHeight="1">
      <c r="A328" s="119"/>
      <c r="C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8"/>
      <c r="T328" s="119"/>
      <c r="U328" s="120"/>
      <c r="W328" s="44"/>
    </row>
    <row r="329" spans="1:23" s="116" customFormat="1" ht="12.75" customHeight="1">
      <c r="A329" s="119"/>
      <c r="C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8"/>
      <c r="T329" s="119"/>
      <c r="U329" s="120"/>
      <c r="W329" s="44"/>
    </row>
    <row r="330" spans="1:23" s="116" customFormat="1" ht="12.75" customHeight="1">
      <c r="A330" s="119"/>
      <c r="C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8"/>
      <c r="T330" s="119"/>
      <c r="U330" s="120"/>
      <c r="W330" s="44"/>
    </row>
    <row r="331" spans="1:23" s="116" customFormat="1" ht="12.75" customHeight="1">
      <c r="A331" s="119"/>
      <c r="C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8"/>
      <c r="T331" s="119"/>
      <c r="U331" s="120"/>
      <c r="W331" s="44"/>
    </row>
    <row r="332" spans="1:23" s="116" customFormat="1" ht="12.75" customHeight="1">
      <c r="A332" s="119"/>
      <c r="C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8"/>
      <c r="T332" s="119"/>
      <c r="U332" s="120"/>
      <c r="W332" s="44"/>
    </row>
    <row r="333" spans="1:23" s="116" customFormat="1" ht="12.75" customHeight="1">
      <c r="A333" s="119"/>
      <c r="C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8"/>
      <c r="T333" s="119"/>
      <c r="U333" s="120"/>
      <c r="W333" s="44"/>
    </row>
    <row r="334" spans="1:23" s="116" customFormat="1" ht="12.75" customHeight="1">
      <c r="A334" s="119"/>
      <c r="C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8"/>
      <c r="T334" s="119"/>
      <c r="U334" s="120"/>
      <c r="W334" s="44"/>
    </row>
    <row r="335" spans="1:23" s="116" customFormat="1" ht="12.75" customHeight="1">
      <c r="A335" s="119"/>
      <c r="C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8"/>
      <c r="T335" s="119"/>
      <c r="U335" s="120"/>
      <c r="W335" s="44"/>
    </row>
    <row r="336" spans="1:23" s="116" customFormat="1" ht="12.75" customHeight="1">
      <c r="A336" s="119"/>
      <c r="C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8"/>
      <c r="T336" s="119"/>
      <c r="U336" s="120"/>
      <c r="W336" s="44"/>
    </row>
  </sheetData>
  <phoneticPr fontId="4" type="noConversion"/>
  <printOptions horizontalCentered="1"/>
  <pageMargins left="0.75" right="0.75" top="0.5" bottom="0.5" header="0" footer="0.3"/>
  <pageSetup scale="85" firstPageNumber="60" pageOrder="overThenDown" orientation="portrait" useFirstPageNumber="1" r:id="rId1"/>
  <headerFooter alignWithMargins="0">
    <oddFooter>&amp;C&amp;"Times New Roman,Regular"&amp;11&amp;P</oddFooter>
  </headerFooter>
  <rowBreaks count="2" manualBreakCount="2">
    <brk id="72" max="22" man="1"/>
    <brk id="133" max="22" man="1"/>
  </rowBreaks>
  <colBreaks count="1" manualBreakCount="1">
    <brk id="12" min="8" max="25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T303"/>
  <sheetViews>
    <sheetView zoomScaleNormal="100" zoomScaleSheetLayoutView="75" workbookViewId="0">
      <pane xSplit="3" ySplit="7" topLeftCell="I140" activePane="bottomRight" state="frozen"/>
      <selection pane="topRight" activeCell="D1" sqref="D1"/>
      <selection pane="bottomLeft" activeCell="A9" sqref="A9"/>
      <selection pane="bottomRight" activeCell="AM182" sqref="AM182"/>
    </sheetView>
  </sheetViews>
  <sheetFormatPr defaultColWidth="0" defaultRowHeight="12.75" customHeight="1"/>
  <cols>
    <col min="1" max="1" width="15.140625" style="17" customWidth="1"/>
    <col min="2" max="2" width="1.7109375" customWidth="1"/>
    <col min="3" max="3" width="11.28515625" style="17" customWidth="1"/>
    <col min="4" max="4" width="1.7109375" style="10" customWidth="1"/>
    <col min="5" max="5" width="10.7109375" style="17" customWidth="1"/>
    <col min="6" max="6" width="1.7109375" style="17" customWidth="1"/>
    <col min="7" max="7" width="10.7109375" style="17" customWidth="1"/>
    <col min="8" max="8" width="1.7109375" style="17" customWidth="1"/>
    <col min="9" max="9" width="10.7109375" style="17" customWidth="1"/>
    <col min="10" max="10" width="1.7109375" style="17" customWidth="1"/>
    <col min="11" max="11" width="10.7109375" style="17" customWidth="1"/>
    <col min="12" max="12" width="1.7109375" style="17" customWidth="1"/>
    <col min="13" max="13" width="10.7109375" style="17" customWidth="1"/>
    <col min="14" max="14" width="1.7109375" style="17" customWidth="1"/>
    <col min="15" max="15" width="10.7109375" style="17" customWidth="1"/>
    <col min="16" max="16" width="1.7109375" style="17" customWidth="1"/>
    <col min="17" max="17" width="10.7109375" style="17" customWidth="1"/>
    <col min="18" max="18" width="1.7109375" style="17" customWidth="1"/>
    <col min="19" max="19" width="10.7109375" style="17" customWidth="1"/>
    <col min="20" max="20" width="1.7109375" style="17" customWidth="1"/>
    <col min="21" max="21" width="10.7109375" style="17" customWidth="1"/>
    <col min="22" max="22" width="11.7109375" style="17" hidden="1" customWidth="1"/>
    <col min="23" max="23" width="1.7109375" style="60" hidden="1" customWidth="1"/>
    <col min="24" max="24" width="13.42578125" style="17" hidden="1" customWidth="1"/>
    <col min="25" max="25" width="1.7109375" style="10" hidden="1" customWidth="1"/>
    <col min="26" max="26" width="9.85546875" style="17" hidden="1" customWidth="1"/>
    <col min="27" max="27" width="1.7109375" style="17" customWidth="1"/>
    <col min="28" max="28" width="10.7109375" style="17" customWidth="1"/>
    <col min="29" max="29" width="1.7109375" customWidth="1"/>
    <col min="30" max="30" width="10.7109375" style="17" customWidth="1"/>
    <col min="31" max="31" width="1.7109375" customWidth="1"/>
    <col min="32" max="32" width="11.7109375" customWidth="1"/>
    <col min="33" max="33" width="1.7109375" customWidth="1"/>
    <col min="34" max="34" width="11.42578125" style="17" customWidth="1"/>
    <col min="35" max="35" width="1.7109375" style="17" hidden="1" customWidth="1"/>
    <col min="36" max="36" width="10.7109375" style="17" hidden="1" customWidth="1"/>
    <col min="37" max="37" width="1.7109375" style="17" customWidth="1"/>
    <col min="38" max="38" width="12.7109375" style="17" customWidth="1"/>
    <col min="39" max="39" width="1.7109375" style="17" customWidth="1"/>
    <col min="40" max="40" width="12.7109375" style="17" customWidth="1"/>
    <col min="41" max="41" width="1.7109375" style="17" customWidth="1"/>
    <col min="42" max="42" width="12.7109375" style="17" customWidth="1"/>
    <col min="43" max="43" width="1.7109375" style="17" customWidth="1"/>
    <col min="44" max="44" width="11.7109375" style="17" customWidth="1"/>
    <col min="45" max="45" width="10.7109375" style="17" customWidth="1"/>
    <col min="46" max="46" width="9.140625" customWidth="1"/>
    <col min="47" max="16384" width="0" style="10" hidden="1"/>
  </cols>
  <sheetData>
    <row r="1" spans="1:46" s="9" customFormat="1" ht="12.75" customHeight="1">
      <c r="A1" s="23" t="s">
        <v>389</v>
      </c>
      <c r="C1" s="24"/>
      <c r="D1" s="10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3"/>
      <c r="R1" s="24"/>
      <c r="S1" s="24"/>
      <c r="T1" s="24"/>
      <c r="U1" s="24"/>
      <c r="V1" s="24"/>
      <c r="W1" s="58"/>
      <c r="X1" s="23" t="s">
        <v>389</v>
      </c>
      <c r="AA1" s="24"/>
      <c r="AB1" s="24"/>
      <c r="AD1" s="23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</row>
    <row r="2" spans="1:46" s="9" customFormat="1" ht="12.75" customHeight="1">
      <c r="A2" s="23" t="s">
        <v>489</v>
      </c>
      <c r="C2" s="24"/>
      <c r="D2" s="10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3"/>
      <c r="R2" s="24"/>
      <c r="S2" s="24"/>
      <c r="T2" s="24"/>
      <c r="U2" s="24"/>
      <c r="V2" s="24"/>
      <c r="W2" s="58"/>
      <c r="X2" s="23" t="s">
        <v>316</v>
      </c>
      <c r="AA2" s="24"/>
      <c r="AB2" s="24"/>
      <c r="AD2" s="23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</row>
    <row r="3" spans="1:46" ht="12.75" customHeight="1">
      <c r="A3" s="24" t="s">
        <v>289</v>
      </c>
      <c r="C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24"/>
      <c r="R3" s="11"/>
      <c r="S3" s="11"/>
      <c r="T3" s="11"/>
      <c r="U3" s="11"/>
      <c r="V3" s="11"/>
      <c r="W3" s="59"/>
      <c r="X3" s="24" t="s">
        <v>289</v>
      </c>
      <c r="AA3" s="11"/>
      <c r="AB3" s="11"/>
      <c r="AD3" s="24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</row>
    <row r="4" spans="1:46" s="47" customFormat="1" ht="12.75" customHeight="1">
      <c r="A4" s="49"/>
      <c r="B4" s="51"/>
      <c r="C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Z4" s="49"/>
      <c r="AA4" s="49"/>
      <c r="AB4" s="49"/>
      <c r="AC4" s="51"/>
      <c r="AD4" s="49"/>
      <c r="AE4" s="51"/>
      <c r="AF4" s="51"/>
      <c r="AG4" s="51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51"/>
    </row>
    <row r="5" spans="1:46" s="97" customFormat="1" ht="12.75" customHeight="1">
      <c r="A5" s="26"/>
      <c r="C5" s="26"/>
      <c r="E5" s="26"/>
      <c r="F5" s="26"/>
      <c r="G5" s="26" t="s">
        <v>396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Z5" s="26"/>
      <c r="AA5" s="26"/>
      <c r="AB5" s="26"/>
      <c r="AD5" s="26"/>
      <c r="AL5" s="26"/>
      <c r="AM5" s="26"/>
      <c r="AN5" s="26" t="s">
        <v>325</v>
      </c>
      <c r="AO5" s="26"/>
      <c r="AP5" s="97" t="s">
        <v>457</v>
      </c>
      <c r="AQ5" s="26"/>
      <c r="AR5" s="26"/>
    </row>
    <row r="6" spans="1:46" s="97" customFormat="1" ht="12.75" customHeight="1">
      <c r="A6" s="26"/>
      <c r="C6" s="26"/>
      <c r="D6" s="26"/>
      <c r="E6" s="26" t="s">
        <v>296</v>
      </c>
      <c r="F6" s="26"/>
      <c r="G6" s="98" t="s">
        <v>423</v>
      </c>
      <c r="H6" s="26"/>
      <c r="I6" s="26" t="s">
        <v>333</v>
      </c>
      <c r="J6" s="26"/>
      <c r="K6" s="26"/>
      <c r="L6" s="26"/>
      <c r="M6" s="26"/>
      <c r="N6" s="26"/>
      <c r="O6" s="26" t="s">
        <v>306</v>
      </c>
      <c r="P6" s="26"/>
      <c r="Q6" s="26" t="s">
        <v>334</v>
      </c>
      <c r="R6" s="26"/>
      <c r="S6" s="26" t="s">
        <v>4</v>
      </c>
      <c r="T6" s="26"/>
      <c r="U6" s="26" t="s">
        <v>327</v>
      </c>
      <c r="V6" s="26"/>
      <c r="W6" s="26"/>
      <c r="X6" s="26"/>
      <c r="Z6" s="26"/>
      <c r="AA6" s="26"/>
      <c r="AB6" s="26"/>
      <c r="AD6" s="26" t="s">
        <v>344</v>
      </c>
      <c r="AF6" s="97" t="s">
        <v>294</v>
      </c>
      <c r="AH6" s="26" t="s">
        <v>6</v>
      </c>
      <c r="AI6" s="26"/>
      <c r="AJ6" s="26" t="s">
        <v>448</v>
      </c>
      <c r="AK6" s="26"/>
      <c r="AL6" s="26" t="s">
        <v>433</v>
      </c>
      <c r="AM6" s="26"/>
      <c r="AN6" s="26" t="s">
        <v>453</v>
      </c>
      <c r="AO6" s="26"/>
      <c r="AP6" s="26" t="s">
        <v>458</v>
      </c>
      <c r="AQ6" s="26"/>
      <c r="AR6" s="26" t="s">
        <v>429</v>
      </c>
      <c r="AS6" s="26"/>
    </row>
    <row r="7" spans="1:46" s="97" customFormat="1" ht="12.75" customHeight="1">
      <c r="A7" s="99" t="s">
        <v>8</v>
      </c>
      <c r="C7" s="99" t="s">
        <v>9</v>
      </c>
      <c r="D7" s="26"/>
      <c r="E7" s="100" t="s">
        <v>314</v>
      </c>
      <c r="F7" s="26"/>
      <c r="G7" s="100" t="s">
        <v>293</v>
      </c>
      <c r="H7" s="26"/>
      <c r="I7" s="100" t="s">
        <v>335</v>
      </c>
      <c r="J7" s="26"/>
      <c r="K7" s="100" t="s">
        <v>309</v>
      </c>
      <c r="L7" s="26"/>
      <c r="M7" s="100" t="s">
        <v>312</v>
      </c>
      <c r="N7" s="26"/>
      <c r="O7" s="100" t="s">
        <v>336</v>
      </c>
      <c r="P7" s="26"/>
      <c r="Q7" s="100" t="s">
        <v>337</v>
      </c>
      <c r="R7" s="26"/>
      <c r="S7" s="100" t="s">
        <v>338</v>
      </c>
      <c r="T7" s="26"/>
      <c r="U7" s="100" t="s">
        <v>331</v>
      </c>
      <c r="V7" s="26"/>
      <c r="W7" s="26"/>
      <c r="X7" s="99" t="s">
        <v>8</v>
      </c>
      <c r="Z7" s="99" t="s">
        <v>9</v>
      </c>
      <c r="AA7" s="26"/>
      <c r="AB7" s="100" t="s">
        <v>339</v>
      </c>
      <c r="AD7" s="100" t="s">
        <v>340</v>
      </c>
      <c r="AF7" s="16" t="s">
        <v>337</v>
      </c>
      <c r="AH7" s="16" t="s">
        <v>337</v>
      </c>
      <c r="AI7" s="18"/>
      <c r="AJ7" s="16" t="s">
        <v>444</v>
      </c>
      <c r="AK7" s="18"/>
      <c r="AL7" s="99" t="s">
        <v>434</v>
      </c>
      <c r="AM7" s="26"/>
      <c r="AN7" s="99" t="s">
        <v>454</v>
      </c>
      <c r="AO7" s="26"/>
      <c r="AP7" s="99" t="s">
        <v>459</v>
      </c>
      <c r="AQ7" s="26"/>
      <c r="AR7" s="101" t="s">
        <v>430</v>
      </c>
      <c r="AS7" s="18"/>
    </row>
    <row r="8" spans="1:46" s="97" customFormat="1" ht="12.75" customHeight="1">
      <c r="A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Z8" s="26"/>
      <c r="AA8" s="26"/>
      <c r="AB8" s="26"/>
      <c r="AD8" s="26"/>
      <c r="AH8" s="18"/>
      <c r="AI8" s="18"/>
      <c r="AJ8" s="18"/>
      <c r="AK8" s="18"/>
      <c r="AL8" s="8"/>
      <c r="AM8" s="8"/>
      <c r="AN8" s="8"/>
      <c r="AO8" s="8"/>
      <c r="AP8" s="8"/>
      <c r="AQ8" s="8"/>
      <c r="AR8" s="8"/>
      <c r="AS8" s="18"/>
    </row>
    <row r="9" spans="1:46" s="46" customFormat="1" ht="12.75" customHeight="1">
      <c r="A9" s="64" t="s">
        <v>12</v>
      </c>
      <c r="C9" s="64" t="s">
        <v>13</v>
      </c>
      <c r="E9" s="68">
        <v>40124206</v>
      </c>
      <c r="F9" s="68"/>
      <c r="G9" s="68">
        <v>213685792</v>
      </c>
      <c r="H9" s="68"/>
      <c r="I9" s="68">
        <v>81741762</v>
      </c>
      <c r="J9" s="68"/>
      <c r="K9" s="68">
        <v>16916380</v>
      </c>
      <c r="L9" s="68"/>
      <c r="M9" s="68">
        <v>0</v>
      </c>
      <c r="N9" s="68"/>
      <c r="O9" s="68">
        <v>5567820</v>
      </c>
      <c r="P9" s="68"/>
      <c r="Q9" s="68">
        <v>0</v>
      </c>
      <c r="R9" s="68"/>
      <c r="S9" s="68">
        <v>220829</v>
      </c>
      <c r="T9" s="68"/>
      <c r="U9" s="68">
        <v>0</v>
      </c>
      <c r="V9" s="68"/>
      <c r="W9" s="68"/>
      <c r="X9" s="64"/>
      <c r="Z9" s="64"/>
      <c r="AA9" s="64"/>
      <c r="AB9" s="68">
        <v>29352928</v>
      </c>
      <c r="AC9" s="66"/>
      <c r="AD9" s="68">
        <v>28311670</v>
      </c>
      <c r="AE9" s="66"/>
      <c r="AF9" s="46">
        <v>1096121</v>
      </c>
      <c r="AG9" s="66"/>
      <c r="AH9" s="68">
        <f t="shared" ref="AH9:AH41" si="0">SUM(E9:AF9)</f>
        <v>417017508</v>
      </c>
      <c r="AI9" s="68"/>
      <c r="AJ9" s="68">
        <v>0</v>
      </c>
      <c r="AK9" s="68"/>
      <c r="AL9" s="94">
        <v>0</v>
      </c>
      <c r="AM9" s="45"/>
      <c r="AN9" s="45">
        <v>237312277</v>
      </c>
      <c r="AO9" s="45"/>
      <c r="AP9" s="45">
        <v>0</v>
      </c>
      <c r="AQ9" s="45"/>
      <c r="AR9" s="45">
        <f>+'GVFund Rev'!U9+'GVFund Rev'!W9-'GVFund Exp'!AH9-'GVFund Exp'!AL9+AJ9+AN9+AP9-'GV Fund BS'!S9</f>
        <v>0</v>
      </c>
      <c r="AS9" s="68"/>
    </row>
    <row r="10" spans="1:46" s="44" customFormat="1" ht="12.75" customHeight="1">
      <c r="A10" s="35" t="s">
        <v>14</v>
      </c>
      <c r="C10" s="35" t="s">
        <v>15</v>
      </c>
      <c r="E10" s="45">
        <v>2539655</v>
      </c>
      <c r="F10" s="48"/>
      <c r="G10" s="45">
        <v>7367104</v>
      </c>
      <c r="H10" s="48"/>
      <c r="I10" s="45">
        <v>778552</v>
      </c>
      <c r="J10" s="48"/>
      <c r="K10" s="45">
        <v>897770</v>
      </c>
      <c r="L10" s="48"/>
      <c r="M10" s="45">
        <v>1426146</v>
      </c>
      <c r="N10" s="48"/>
      <c r="O10" s="45">
        <v>622482</v>
      </c>
      <c r="P10" s="48"/>
      <c r="Q10" s="45">
        <v>29842</v>
      </c>
      <c r="R10" s="48"/>
      <c r="S10" s="45">
        <v>1007670</v>
      </c>
      <c r="T10" s="48"/>
      <c r="U10" s="45">
        <v>0</v>
      </c>
      <c r="V10" s="48"/>
      <c r="W10" s="48"/>
      <c r="X10" s="35"/>
      <c r="Z10" s="35"/>
      <c r="AA10" s="35"/>
      <c r="AB10" s="45">
        <v>382388</v>
      </c>
      <c r="AC10" s="65"/>
      <c r="AD10" s="45">
        <v>125600</v>
      </c>
      <c r="AE10" s="65"/>
      <c r="AF10" s="45">
        <v>0</v>
      </c>
      <c r="AG10" s="65"/>
      <c r="AH10" s="48">
        <f t="shared" si="0"/>
        <v>15177209</v>
      </c>
      <c r="AI10" s="48"/>
      <c r="AJ10" s="48">
        <v>0</v>
      </c>
      <c r="AK10" s="48"/>
      <c r="AL10" s="45">
        <v>1066863</v>
      </c>
      <c r="AM10" s="45"/>
      <c r="AN10" s="45">
        <v>9351321</v>
      </c>
      <c r="AO10" s="45"/>
      <c r="AP10" s="45">
        <v>0</v>
      </c>
      <c r="AQ10" s="45"/>
      <c r="AR10" s="45">
        <f>+'GVFund Rev'!U10+'GVFund Rev'!W10-'GVFund Exp'!AH10-'GVFund Exp'!AL10+AJ10+AN10+AP10-'GV Fund BS'!S10</f>
        <v>0</v>
      </c>
      <c r="AS10" s="48"/>
      <c r="AT10" s="65"/>
    </row>
    <row r="11" spans="1:46" s="44" customFormat="1" ht="12.75" customHeight="1">
      <c r="A11" s="35" t="s">
        <v>16</v>
      </c>
      <c r="C11" s="35" t="s">
        <v>17</v>
      </c>
      <c r="E11" s="45">
        <v>1290348</v>
      </c>
      <c r="F11" s="48"/>
      <c r="G11" s="45">
        <v>3345253</v>
      </c>
      <c r="H11" s="48"/>
      <c r="I11" s="45">
        <v>297871</v>
      </c>
      <c r="J11" s="48"/>
      <c r="K11" s="45">
        <v>172268</v>
      </c>
      <c r="L11" s="48"/>
      <c r="M11" s="45">
        <v>1210649</v>
      </c>
      <c r="N11" s="48"/>
      <c r="O11" s="45">
        <v>192805</v>
      </c>
      <c r="P11" s="48"/>
      <c r="Q11" s="45">
        <v>0</v>
      </c>
      <c r="R11" s="48"/>
      <c r="S11" s="45">
        <v>5043769</v>
      </c>
      <c r="T11" s="48"/>
      <c r="U11" s="45">
        <v>0</v>
      </c>
      <c r="V11" s="48"/>
      <c r="W11" s="48"/>
      <c r="X11" s="35"/>
      <c r="Z11" s="35"/>
      <c r="AA11" s="35"/>
      <c r="AB11" s="45">
        <v>270098</v>
      </c>
      <c r="AC11" s="65"/>
      <c r="AD11" s="45">
        <v>133817</v>
      </c>
      <c r="AE11" s="65"/>
      <c r="AF11" s="45">
        <v>0</v>
      </c>
      <c r="AG11" s="65"/>
      <c r="AH11" s="48">
        <f t="shared" si="0"/>
        <v>11956878</v>
      </c>
      <c r="AI11" s="48"/>
      <c r="AJ11" s="48">
        <v>0</v>
      </c>
      <c r="AK11" s="48"/>
      <c r="AL11" s="45">
        <v>1305286</v>
      </c>
      <c r="AM11" s="45"/>
      <c r="AN11" s="45">
        <v>11583710</v>
      </c>
      <c r="AO11" s="45"/>
      <c r="AP11" s="45">
        <v>0</v>
      </c>
      <c r="AQ11" s="45"/>
      <c r="AR11" s="45">
        <f>+'GVFund Rev'!U11+'GVFund Rev'!W11-'GVFund Exp'!AH11-'GVFund Exp'!AL11+AJ11+AN11+AP11-'GV Fund BS'!S11</f>
        <v>0</v>
      </c>
      <c r="AS11" s="48"/>
    </row>
    <row r="12" spans="1:46" s="44" customFormat="1" ht="12.75" customHeight="1">
      <c r="A12" s="35" t="s">
        <v>18</v>
      </c>
      <c r="C12" s="35" t="s">
        <v>18</v>
      </c>
      <c r="E12" s="45">
        <v>5054855</v>
      </c>
      <c r="F12" s="48"/>
      <c r="G12" s="45">
        <v>6658923</v>
      </c>
      <c r="H12" s="48"/>
      <c r="I12" s="45">
        <v>280593</v>
      </c>
      <c r="J12" s="48"/>
      <c r="K12" s="45">
        <v>278792</v>
      </c>
      <c r="L12" s="48"/>
      <c r="M12" s="45">
        <v>2091079</v>
      </c>
      <c r="N12" s="48"/>
      <c r="O12" s="45">
        <v>1037444</v>
      </c>
      <c r="P12" s="48"/>
      <c r="Q12" s="45">
        <v>0</v>
      </c>
      <c r="R12" s="48"/>
      <c r="S12" s="45">
        <v>910820</v>
      </c>
      <c r="T12" s="48"/>
      <c r="U12" s="45">
        <v>0</v>
      </c>
      <c r="V12" s="48"/>
      <c r="W12" s="48"/>
      <c r="X12" s="35"/>
      <c r="Z12" s="35"/>
      <c r="AA12" s="35"/>
      <c r="AB12" s="45">
        <v>614001</v>
      </c>
      <c r="AC12" s="65"/>
      <c r="AD12" s="45">
        <v>200710</v>
      </c>
      <c r="AE12" s="65"/>
      <c r="AF12" s="45">
        <v>0</v>
      </c>
      <c r="AG12" s="65"/>
      <c r="AH12" s="48">
        <f t="shared" si="0"/>
        <v>17127217</v>
      </c>
      <c r="AI12" s="48"/>
      <c r="AJ12" s="48">
        <v>0</v>
      </c>
      <c r="AK12" s="48"/>
      <c r="AL12" s="45">
        <v>384214</v>
      </c>
      <c r="AM12" s="45"/>
      <c r="AN12" s="45">
        <v>5226362</v>
      </c>
      <c r="AO12" s="45"/>
      <c r="AP12" s="45">
        <v>0</v>
      </c>
      <c r="AQ12" s="45"/>
      <c r="AR12" s="45">
        <f>+'GVFund Rev'!U12+'GVFund Rev'!W12-'GVFund Exp'!AH12-'GVFund Exp'!AL12+AJ12+AN12+AP12-'GV Fund BS'!S12</f>
        <v>0</v>
      </c>
      <c r="AS12" s="48"/>
    </row>
    <row r="13" spans="1:46" s="44" customFormat="1" ht="12.75" customHeight="1">
      <c r="A13" s="35" t="s">
        <v>19</v>
      </c>
      <c r="C13" s="35" t="s">
        <v>19</v>
      </c>
      <c r="E13" s="45">
        <f>3047990+967152</f>
        <v>4015142</v>
      </c>
      <c r="F13" s="48"/>
      <c r="G13" s="45">
        <f>3622601+2739876</f>
        <v>6362477</v>
      </c>
      <c r="H13" s="48"/>
      <c r="I13" s="45">
        <v>483606</v>
      </c>
      <c r="J13" s="48"/>
      <c r="K13" s="45">
        <v>369150</v>
      </c>
      <c r="L13" s="48"/>
      <c r="M13" s="45">
        <v>1424511</v>
      </c>
      <c r="N13" s="48"/>
      <c r="O13" s="45">
        <v>36076</v>
      </c>
      <c r="P13" s="48"/>
      <c r="Q13" s="45">
        <v>1638743</v>
      </c>
      <c r="R13" s="48"/>
      <c r="S13" s="45">
        <v>1672369</v>
      </c>
      <c r="T13" s="48"/>
      <c r="U13" s="45">
        <v>0</v>
      </c>
      <c r="V13" s="48"/>
      <c r="W13" s="48"/>
      <c r="X13" s="35"/>
      <c r="Z13" s="35"/>
      <c r="AA13" s="35"/>
      <c r="AB13" s="45">
        <v>503837</v>
      </c>
      <c r="AC13" s="65"/>
      <c r="AD13" s="45">
        <v>43237</v>
      </c>
      <c r="AE13" s="65"/>
      <c r="AF13" s="45">
        <v>0</v>
      </c>
      <c r="AG13" s="65"/>
      <c r="AH13" s="48">
        <f t="shared" si="0"/>
        <v>16549148</v>
      </c>
      <c r="AI13" s="48"/>
      <c r="AJ13" s="48">
        <v>0</v>
      </c>
      <c r="AK13" s="48"/>
      <c r="AL13" s="45">
        <v>470829</v>
      </c>
      <c r="AM13" s="45"/>
      <c r="AN13" s="45">
        <v>4404208</v>
      </c>
      <c r="AO13" s="45"/>
      <c r="AP13" s="45">
        <v>-29124</v>
      </c>
      <c r="AQ13" s="45"/>
      <c r="AR13" s="45">
        <f>+'GVFund Rev'!U13+'GVFund Rev'!W13-'GVFund Exp'!AH13-'GVFund Exp'!AL13+AJ13+AN13+AP13-'GV Fund BS'!S13</f>
        <v>0</v>
      </c>
      <c r="AS13" s="48"/>
    </row>
    <row r="14" spans="1:46" s="44" customFormat="1" ht="12.75" customHeight="1">
      <c r="A14" s="35" t="s">
        <v>20</v>
      </c>
      <c r="C14" s="35" t="s">
        <v>20</v>
      </c>
      <c r="E14" s="45">
        <v>4926147</v>
      </c>
      <c r="F14" s="48"/>
      <c r="G14" s="45">
        <f>2864103+2197712</f>
        <v>5061815</v>
      </c>
      <c r="H14" s="48"/>
      <c r="I14" s="45">
        <v>1462186</v>
      </c>
      <c r="J14" s="48"/>
      <c r="K14" s="45">
        <v>0</v>
      </c>
      <c r="L14" s="48"/>
      <c r="M14" s="45">
        <v>3488396</v>
      </c>
      <c r="N14" s="48"/>
      <c r="O14" s="45">
        <v>1580065</v>
      </c>
      <c r="P14" s="48"/>
      <c r="Q14" s="45">
        <v>0</v>
      </c>
      <c r="R14" s="48"/>
      <c r="S14" s="45">
        <v>1216885</v>
      </c>
      <c r="T14" s="48"/>
      <c r="U14" s="45">
        <v>0</v>
      </c>
      <c r="V14" s="48"/>
      <c r="W14" s="48"/>
      <c r="X14" s="35"/>
      <c r="Z14" s="35"/>
      <c r="AA14" s="35"/>
      <c r="AB14" s="45">
        <v>325000</v>
      </c>
      <c r="AC14" s="65"/>
      <c r="AD14" s="45">
        <v>320164</v>
      </c>
      <c r="AE14" s="65"/>
      <c r="AF14" s="45">
        <v>0</v>
      </c>
      <c r="AG14" s="65"/>
      <c r="AH14" s="48">
        <f t="shared" si="0"/>
        <v>18380658</v>
      </c>
      <c r="AI14" s="48"/>
      <c r="AJ14" s="48">
        <v>0</v>
      </c>
      <c r="AK14" s="48"/>
      <c r="AL14" s="45">
        <v>1166533</v>
      </c>
      <c r="AM14" s="45"/>
      <c r="AN14" s="45">
        <v>5474601</v>
      </c>
      <c r="AO14" s="45"/>
      <c r="AP14" s="45">
        <v>0</v>
      </c>
      <c r="AQ14" s="45"/>
      <c r="AR14" s="45">
        <f>+'GVFund Rev'!U14+'GVFund Rev'!W14-'GVFund Exp'!AH14-'GVFund Exp'!AL14+AJ14+AN14+AP14-'GV Fund BS'!S14</f>
        <v>0</v>
      </c>
      <c r="AS14" s="48"/>
    </row>
    <row r="15" spans="1:46" s="44" customFormat="1" ht="12.75" customHeight="1">
      <c r="A15" s="64" t="s">
        <v>21</v>
      </c>
      <c r="B15" s="46"/>
      <c r="C15" s="64" t="s">
        <v>22</v>
      </c>
      <c r="D15" s="46"/>
      <c r="E15" s="45">
        <v>2268160</v>
      </c>
      <c r="F15" s="48"/>
      <c r="G15" s="45">
        <v>6095944</v>
      </c>
      <c r="H15" s="48"/>
      <c r="I15" s="45">
        <v>1199533</v>
      </c>
      <c r="J15" s="48"/>
      <c r="K15" s="45">
        <v>0</v>
      </c>
      <c r="L15" s="48"/>
      <c r="M15" s="45">
        <v>2444657</v>
      </c>
      <c r="N15" s="48"/>
      <c r="O15" s="45">
        <v>1286521</v>
      </c>
      <c r="P15" s="48"/>
      <c r="Q15" s="45">
        <v>22397</v>
      </c>
      <c r="R15" s="48"/>
      <c r="S15" s="45">
        <v>3331807</v>
      </c>
      <c r="T15" s="48"/>
      <c r="U15" s="45">
        <v>0</v>
      </c>
      <c r="V15" s="48"/>
      <c r="W15" s="48"/>
      <c r="X15" s="35"/>
      <c r="Z15" s="35"/>
      <c r="AA15" s="35"/>
      <c r="AB15" s="45">
        <v>1647610</v>
      </c>
      <c r="AC15" s="65"/>
      <c r="AD15" s="45">
        <v>659769</v>
      </c>
      <c r="AE15" s="65"/>
      <c r="AF15" s="45">
        <v>0</v>
      </c>
      <c r="AG15" s="65"/>
      <c r="AH15" s="48">
        <f t="shared" si="0"/>
        <v>18956398</v>
      </c>
      <c r="AI15" s="48"/>
      <c r="AJ15" s="48">
        <v>0</v>
      </c>
      <c r="AK15" s="48"/>
      <c r="AL15" s="45">
        <v>3496263</v>
      </c>
      <c r="AM15" s="45"/>
      <c r="AN15" s="45">
        <v>15598429</v>
      </c>
      <c r="AO15" s="45"/>
      <c r="AP15" s="45">
        <v>0</v>
      </c>
      <c r="AQ15" s="45"/>
      <c r="AR15" s="45">
        <f>+'GVFund Rev'!U15+'GVFund Rev'!W15-'GVFund Exp'!AH15-'GVFund Exp'!AL15+AJ15+AN15+AP15-'GV Fund BS'!S15</f>
        <v>0</v>
      </c>
      <c r="AS15" s="48"/>
    </row>
    <row r="16" spans="1:46" s="44" customFormat="1" ht="12.75" customHeight="1">
      <c r="A16" s="35" t="s">
        <v>23</v>
      </c>
      <c r="C16" s="35" t="s">
        <v>17</v>
      </c>
      <c r="E16" s="45">
        <v>5828224</v>
      </c>
      <c r="F16" s="48"/>
      <c r="G16" s="45">
        <v>6268041</v>
      </c>
      <c r="H16" s="48"/>
      <c r="I16" s="45">
        <v>1239252</v>
      </c>
      <c r="J16" s="48"/>
      <c r="K16" s="45">
        <v>0</v>
      </c>
      <c r="L16" s="48"/>
      <c r="M16" s="45">
        <v>1507319</v>
      </c>
      <c r="N16" s="48"/>
      <c r="O16" s="45">
        <v>1134764</v>
      </c>
      <c r="P16" s="48"/>
      <c r="Q16" s="45">
        <v>22410</v>
      </c>
      <c r="R16" s="48"/>
      <c r="S16" s="45">
        <v>3505252</v>
      </c>
      <c r="T16" s="48"/>
      <c r="U16" s="45">
        <v>0</v>
      </c>
      <c r="V16" s="48"/>
      <c r="W16" s="48"/>
      <c r="X16" s="35"/>
      <c r="Z16" s="35"/>
      <c r="AA16" s="35"/>
      <c r="AB16" s="45">
        <v>2305994</v>
      </c>
      <c r="AC16" s="65"/>
      <c r="AD16" s="45">
        <v>581977</v>
      </c>
      <c r="AE16" s="65"/>
      <c r="AF16" s="45">
        <v>0</v>
      </c>
      <c r="AG16" s="65"/>
      <c r="AH16" s="48">
        <f t="shared" si="0"/>
        <v>22393233</v>
      </c>
      <c r="AI16" s="48"/>
      <c r="AJ16" s="48">
        <v>0</v>
      </c>
      <c r="AK16" s="48"/>
      <c r="AL16" s="45">
        <v>9142643</v>
      </c>
      <c r="AM16" s="45"/>
      <c r="AN16" s="45">
        <v>12838328</v>
      </c>
      <c r="AO16" s="45"/>
      <c r="AP16" s="45">
        <v>0</v>
      </c>
      <c r="AQ16" s="45"/>
      <c r="AR16" s="45">
        <f>+'GVFund Rev'!U16+'GVFund Rev'!W16-'GVFund Exp'!AH16-'GVFund Exp'!AL16+AJ16+AN16+AP16-'GV Fund BS'!S16</f>
        <v>0</v>
      </c>
      <c r="AS16" s="48"/>
    </row>
    <row r="17" spans="1:45" s="44" customFormat="1" ht="12.75" customHeight="1">
      <c r="A17" s="35" t="s">
        <v>24</v>
      </c>
      <c r="C17" s="35" t="s">
        <v>17</v>
      </c>
      <c r="E17" s="45">
        <v>2180755</v>
      </c>
      <c r="F17" s="48"/>
      <c r="G17" s="45">
        <v>6515984</v>
      </c>
      <c r="H17" s="48"/>
      <c r="I17" s="45">
        <v>341008</v>
      </c>
      <c r="J17" s="48"/>
      <c r="K17" s="45">
        <v>97659</v>
      </c>
      <c r="L17" s="48"/>
      <c r="M17" s="45">
        <v>4975361</v>
      </c>
      <c r="N17" s="48"/>
      <c r="O17" s="45">
        <v>882536</v>
      </c>
      <c r="P17" s="48"/>
      <c r="Q17" s="45"/>
      <c r="R17" s="48"/>
      <c r="S17" s="45">
        <v>2646888</v>
      </c>
      <c r="T17" s="48"/>
      <c r="U17" s="45">
        <v>0</v>
      </c>
      <c r="V17" s="48"/>
      <c r="W17" s="48"/>
      <c r="X17" s="35"/>
      <c r="Z17" s="35"/>
      <c r="AA17" s="35"/>
      <c r="AB17" s="45">
        <v>517981</v>
      </c>
      <c r="AC17" s="65"/>
      <c r="AD17" s="45">
        <v>474461</v>
      </c>
      <c r="AE17" s="65"/>
      <c r="AF17" s="45">
        <v>0</v>
      </c>
      <c r="AG17" s="65"/>
      <c r="AH17" s="48">
        <f t="shared" si="0"/>
        <v>18632633</v>
      </c>
      <c r="AI17" s="48"/>
      <c r="AJ17" s="48">
        <v>0</v>
      </c>
      <c r="AK17" s="48"/>
      <c r="AL17" s="45">
        <v>9157033</v>
      </c>
      <c r="AM17" s="45"/>
      <c r="AN17" s="45">
        <v>8477357</v>
      </c>
      <c r="AO17" s="45"/>
      <c r="AP17" s="45">
        <v>0</v>
      </c>
      <c r="AQ17" s="45"/>
      <c r="AR17" s="45">
        <f>+'GVFund Rev'!U17+'GVFund Rev'!W17-'GVFund Exp'!AH17-'GVFund Exp'!AL17+AJ17+AN17+AP17-'GV Fund BS'!S17</f>
        <v>0</v>
      </c>
      <c r="AS17" s="48"/>
    </row>
    <row r="18" spans="1:45" s="44" customFormat="1" ht="12.75" customHeight="1">
      <c r="A18" s="35" t="s">
        <v>25</v>
      </c>
      <c r="C18" s="35" t="s">
        <v>13</v>
      </c>
      <c r="E18" s="45">
        <v>3864219</v>
      </c>
      <c r="F18" s="48"/>
      <c r="G18" s="45">
        <v>9876927</v>
      </c>
      <c r="H18" s="48"/>
      <c r="I18" s="45">
        <v>1428273</v>
      </c>
      <c r="J18" s="48"/>
      <c r="K18" s="45">
        <v>2376119</v>
      </c>
      <c r="L18" s="48"/>
      <c r="M18" s="45">
        <v>1328988</v>
      </c>
      <c r="N18" s="48"/>
      <c r="O18" s="45">
        <v>1084396</v>
      </c>
      <c r="P18" s="48"/>
      <c r="Q18" s="45">
        <v>0</v>
      </c>
      <c r="R18" s="48"/>
      <c r="S18" s="45">
        <v>1557554</v>
      </c>
      <c r="T18" s="48"/>
      <c r="U18" s="45">
        <v>1578763</v>
      </c>
      <c r="V18" s="48"/>
      <c r="W18" s="48"/>
      <c r="X18" s="35"/>
      <c r="Z18" s="35"/>
      <c r="AA18" s="35"/>
      <c r="AB18" s="45">
        <v>856591</v>
      </c>
      <c r="AC18" s="65"/>
      <c r="AD18" s="45">
        <v>252483</v>
      </c>
      <c r="AE18" s="65"/>
      <c r="AF18" s="45">
        <v>10292</v>
      </c>
      <c r="AG18" s="65"/>
      <c r="AH18" s="48">
        <f t="shared" si="0"/>
        <v>24214605</v>
      </c>
      <c r="AI18" s="48"/>
      <c r="AJ18" s="48">
        <v>0</v>
      </c>
      <c r="AK18" s="48"/>
      <c r="AL18" s="45">
        <v>2288518</v>
      </c>
      <c r="AM18" s="45"/>
      <c r="AN18" s="45">
        <v>8556164</v>
      </c>
      <c r="AO18" s="45"/>
      <c r="AP18" s="45">
        <v>0</v>
      </c>
      <c r="AQ18" s="45"/>
      <c r="AR18" s="45">
        <f>+'GVFund Rev'!U18+'GVFund Rev'!W18-'GVFund Exp'!AH18-'GVFund Exp'!AL18+AJ18+AN18+AP18-'GV Fund BS'!S18</f>
        <v>0</v>
      </c>
      <c r="AS18" s="48"/>
    </row>
    <row r="19" spans="1:45" s="44" customFormat="1" ht="12.75" customHeight="1">
      <c r="A19" s="35" t="s">
        <v>26</v>
      </c>
      <c r="C19" s="35" t="s">
        <v>27</v>
      </c>
      <c r="E19" s="45">
        <v>2949617</v>
      </c>
      <c r="F19" s="48"/>
      <c r="G19" s="45">
        <v>6507602</v>
      </c>
      <c r="H19" s="48"/>
      <c r="I19" s="45">
        <v>926954</v>
      </c>
      <c r="J19" s="48"/>
      <c r="K19" s="45">
        <v>311396</v>
      </c>
      <c r="L19" s="48"/>
      <c r="M19" s="45">
        <v>2159031</v>
      </c>
      <c r="N19" s="48"/>
      <c r="O19" s="45">
        <v>968030</v>
      </c>
      <c r="P19" s="48"/>
      <c r="Q19" s="45">
        <v>1583896</v>
      </c>
      <c r="R19" s="48"/>
      <c r="S19" s="45">
        <v>1007669</v>
      </c>
      <c r="T19" s="48"/>
      <c r="U19" s="45">
        <v>0</v>
      </c>
      <c r="V19" s="48"/>
      <c r="W19" s="48"/>
      <c r="X19" s="35"/>
      <c r="Z19" s="35"/>
      <c r="AA19" s="35"/>
      <c r="AB19" s="45">
        <v>3753530</v>
      </c>
      <c r="AC19" s="65"/>
      <c r="AD19" s="45">
        <v>584428</v>
      </c>
      <c r="AE19" s="65"/>
      <c r="AF19" s="45">
        <v>40050</v>
      </c>
      <c r="AG19" s="65"/>
      <c r="AH19" s="48">
        <f t="shared" si="0"/>
        <v>20792203</v>
      </c>
      <c r="AI19" s="48"/>
      <c r="AJ19" s="48">
        <v>0</v>
      </c>
      <c r="AK19" s="48"/>
      <c r="AL19" s="45">
        <v>1263875</v>
      </c>
      <c r="AM19" s="45"/>
      <c r="AN19" s="45">
        <v>4647332</v>
      </c>
      <c r="AO19" s="45"/>
      <c r="AP19" s="45">
        <v>0</v>
      </c>
      <c r="AQ19" s="45"/>
      <c r="AR19" s="45">
        <f>+'GVFund Rev'!U19+'GVFund Rev'!W19-'GVFund Exp'!AH19-'GVFund Exp'!AL19+AJ19+AN19+AP19-'GV Fund BS'!S19</f>
        <v>0</v>
      </c>
      <c r="AS19" s="48"/>
    </row>
    <row r="20" spans="1:45" s="44" customFormat="1" ht="12.75" customHeight="1">
      <c r="A20" s="35" t="s">
        <v>28</v>
      </c>
      <c r="C20" s="35" t="s">
        <v>27</v>
      </c>
      <c r="E20" s="45">
        <v>3879282</v>
      </c>
      <c r="F20" s="48"/>
      <c r="G20" s="45">
        <f>7202251+5113246</f>
        <v>12315497</v>
      </c>
      <c r="H20" s="48"/>
      <c r="I20" s="45">
        <v>893314</v>
      </c>
      <c r="J20" s="48"/>
      <c r="K20" s="45">
        <v>547248</v>
      </c>
      <c r="L20" s="48"/>
      <c r="M20" s="45">
        <v>7456227</v>
      </c>
      <c r="N20" s="48"/>
      <c r="O20" s="45">
        <v>2154243</v>
      </c>
      <c r="P20" s="48"/>
      <c r="Q20" s="45">
        <v>0</v>
      </c>
      <c r="R20" s="48"/>
      <c r="S20" s="45">
        <v>3581446</v>
      </c>
      <c r="T20" s="48"/>
      <c r="U20" s="45">
        <v>0</v>
      </c>
      <c r="V20" s="48"/>
      <c r="W20" s="48"/>
      <c r="X20" s="35"/>
      <c r="Z20" s="35"/>
      <c r="AA20" s="35"/>
      <c r="AB20" s="45">
        <v>1200000</v>
      </c>
      <c r="AC20" s="65"/>
      <c r="AD20" s="45">
        <v>851150</v>
      </c>
      <c r="AE20" s="65"/>
      <c r="AF20" s="45">
        <v>0</v>
      </c>
      <c r="AG20" s="65"/>
      <c r="AH20" s="48">
        <f t="shared" si="0"/>
        <v>32878407</v>
      </c>
      <c r="AI20" s="48"/>
      <c r="AJ20" s="48">
        <v>0</v>
      </c>
      <c r="AK20" s="48"/>
      <c r="AL20" s="45">
        <v>1044988</v>
      </c>
      <c r="AM20" s="45"/>
      <c r="AN20" s="45">
        <v>36623728</v>
      </c>
      <c r="AO20" s="45"/>
      <c r="AP20" s="45">
        <v>0</v>
      </c>
      <c r="AQ20" s="45"/>
      <c r="AR20" s="45">
        <f>+'GVFund Rev'!U20+'GVFund Rev'!W20-'GVFund Exp'!AH20-'GVFund Exp'!AL20+AJ20+AN20+AP20-'GV Fund BS'!S20</f>
        <v>0</v>
      </c>
      <c r="AS20" s="48"/>
    </row>
    <row r="21" spans="1:45" s="44" customFormat="1" ht="12.75" customHeight="1">
      <c r="A21" s="35" t="s">
        <v>29</v>
      </c>
      <c r="C21" s="35" t="s">
        <v>30</v>
      </c>
      <c r="E21" s="45">
        <v>2663266</v>
      </c>
      <c r="F21" s="48"/>
      <c r="G21" s="45">
        <v>6504248</v>
      </c>
      <c r="H21" s="48"/>
      <c r="I21" s="45">
        <v>481003</v>
      </c>
      <c r="J21" s="48"/>
      <c r="K21" s="45">
        <v>234393</v>
      </c>
      <c r="L21" s="48"/>
      <c r="M21" s="45">
        <v>4265787</v>
      </c>
      <c r="N21" s="48"/>
      <c r="O21" s="45">
        <v>1242549</v>
      </c>
      <c r="P21" s="48"/>
      <c r="Q21" s="45">
        <v>59131</v>
      </c>
      <c r="R21" s="48"/>
      <c r="S21" s="45">
        <v>2356746</v>
      </c>
      <c r="T21" s="48"/>
      <c r="U21" s="45">
        <v>0</v>
      </c>
      <c r="V21" s="48"/>
      <c r="W21" s="48"/>
      <c r="X21" s="35"/>
      <c r="Z21" s="35"/>
      <c r="AA21" s="35"/>
      <c r="AB21" s="45">
        <v>624054</v>
      </c>
      <c r="AC21" s="65"/>
      <c r="AD21" s="45">
        <v>515003</v>
      </c>
      <c r="AE21" s="65"/>
      <c r="AF21" s="45">
        <v>0</v>
      </c>
      <c r="AG21" s="65"/>
      <c r="AH21" s="48">
        <f t="shared" si="0"/>
        <v>18946180</v>
      </c>
      <c r="AI21" s="48"/>
      <c r="AJ21" s="48">
        <v>0</v>
      </c>
      <c r="AK21" s="48"/>
      <c r="AL21" s="45">
        <v>1167203</v>
      </c>
      <c r="AM21" s="45"/>
      <c r="AN21" s="45">
        <v>7393709</v>
      </c>
      <c r="AO21" s="45"/>
      <c r="AP21" s="45">
        <v>-151639</v>
      </c>
      <c r="AQ21" s="45"/>
      <c r="AR21" s="45">
        <f>+'GVFund Rev'!U21+'GVFund Rev'!W21-'GVFund Exp'!AH21-'GVFund Exp'!AL21+AJ21+AN21+AP21-'GV Fund BS'!S21</f>
        <v>0</v>
      </c>
      <c r="AS21" s="48"/>
    </row>
    <row r="22" spans="1:45" s="44" customFormat="1" ht="12.75" customHeight="1">
      <c r="A22" s="35" t="s">
        <v>31</v>
      </c>
      <c r="C22" s="35" t="s">
        <v>27</v>
      </c>
      <c r="E22" s="45">
        <v>4619198</v>
      </c>
      <c r="F22" s="48"/>
      <c r="G22" s="45">
        <f>5347238+3833850</f>
        <v>9181088</v>
      </c>
      <c r="H22" s="48"/>
      <c r="I22" s="45">
        <v>1034540</v>
      </c>
      <c r="J22" s="48"/>
      <c r="K22" s="45">
        <v>189816</v>
      </c>
      <c r="L22" s="48"/>
      <c r="M22" s="45">
        <v>2524594</v>
      </c>
      <c r="N22" s="48"/>
      <c r="O22" s="45">
        <v>1459829</v>
      </c>
      <c r="P22" s="48"/>
      <c r="Q22" s="45">
        <v>879667</v>
      </c>
      <c r="R22" s="48"/>
      <c r="S22" s="45">
        <v>1865496</v>
      </c>
      <c r="T22" s="48"/>
      <c r="U22" s="45">
        <v>0</v>
      </c>
      <c r="V22" s="48"/>
      <c r="W22" s="48"/>
      <c r="X22" s="35"/>
      <c r="Z22" s="35"/>
      <c r="AA22" s="35"/>
      <c r="AB22" s="45">
        <v>599739</v>
      </c>
      <c r="AC22" s="65"/>
      <c r="AD22" s="45">
        <v>572980</v>
      </c>
      <c r="AE22" s="65"/>
      <c r="AF22" s="45">
        <v>0</v>
      </c>
      <c r="AG22" s="65"/>
      <c r="AH22" s="48">
        <f t="shared" si="0"/>
        <v>22926947</v>
      </c>
      <c r="AI22" s="48"/>
      <c r="AJ22" s="48">
        <v>0</v>
      </c>
      <c r="AK22" s="48"/>
      <c r="AL22" s="45">
        <v>5874801</v>
      </c>
      <c r="AM22" s="45"/>
      <c r="AN22" s="45">
        <v>16535388</v>
      </c>
      <c r="AO22" s="45"/>
      <c r="AP22" s="45">
        <v>0</v>
      </c>
      <c r="AQ22" s="45"/>
      <c r="AR22" s="45">
        <f>+'GVFund Rev'!U22+'GVFund Rev'!W22-'GVFund Exp'!AH22-'GVFund Exp'!AL22+AJ22+AN22+AP22-'GV Fund BS'!S22</f>
        <v>0</v>
      </c>
      <c r="AS22" s="48"/>
    </row>
    <row r="23" spans="1:45" s="44" customFormat="1" ht="12.75" customHeight="1">
      <c r="A23" s="35" t="s">
        <v>32</v>
      </c>
      <c r="C23" s="35" t="s">
        <v>27</v>
      </c>
      <c r="E23" s="45">
        <v>4187872</v>
      </c>
      <c r="F23" s="48"/>
      <c r="G23" s="45">
        <v>10793992</v>
      </c>
      <c r="H23" s="48"/>
      <c r="I23" s="45">
        <v>333983</v>
      </c>
      <c r="J23" s="48"/>
      <c r="K23" s="45">
        <v>428895</v>
      </c>
      <c r="L23" s="48"/>
      <c r="M23" s="45">
        <v>1053589</v>
      </c>
      <c r="N23" s="48"/>
      <c r="O23" s="45">
        <v>1734452</v>
      </c>
      <c r="P23" s="48"/>
      <c r="Q23" s="45">
        <v>782996</v>
      </c>
      <c r="R23" s="48"/>
      <c r="S23" s="45">
        <v>1009582</v>
      </c>
      <c r="T23" s="48"/>
      <c r="U23" s="45">
        <v>0</v>
      </c>
      <c r="V23" s="48"/>
      <c r="W23" s="48"/>
      <c r="X23" s="35"/>
      <c r="Z23" s="35"/>
      <c r="AA23" s="35"/>
      <c r="AB23" s="45">
        <v>944000</v>
      </c>
      <c r="AC23" s="65"/>
      <c r="AD23" s="45">
        <v>215529</v>
      </c>
      <c r="AE23" s="65"/>
      <c r="AF23" s="45">
        <v>0</v>
      </c>
      <c r="AG23" s="65"/>
      <c r="AH23" s="48">
        <f t="shared" si="0"/>
        <v>21484890</v>
      </c>
      <c r="AI23" s="48"/>
      <c r="AJ23" s="48">
        <v>0</v>
      </c>
      <c r="AK23" s="48"/>
      <c r="AL23" s="45">
        <v>2600000</v>
      </c>
      <c r="AM23" s="45"/>
      <c r="AN23" s="45">
        <v>6163256</v>
      </c>
      <c r="AO23" s="45"/>
      <c r="AP23" s="45">
        <v>0</v>
      </c>
      <c r="AQ23" s="45"/>
      <c r="AR23" s="45">
        <f>+'GVFund Rev'!U23+'GVFund Rev'!W23-'GVFund Exp'!AH23-'GVFund Exp'!AL23+AJ23+AN23+AP23-'GV Fund BS'!S23</f>
        <v>0</v>
      </c>
      <c r="AS23" s="48"/>
    </row>
    <row r="24" spans="1:45" s="122" customFormat="1" ht="12.75" hidden="1" customHeight="1">
      <c r="A24" s="121" t="s">
        <v>34</v>
      </c>
      <c r="C24" s="121" t="s">
        <v>30</v>
      </c>
      <c r="E24" s="125">
        <v>0</v>
      </c>
      <c r="F24" s="123"/>
      <c r="G24" s="125">
        <v>0</v>
      </c>
      <c r="H24" s="123"/>
      <c r="I24" s="125">
        <v>0</v>
      </c>
      <c r="J24" s="123"/>
      <c r="K24" s="125">
        <v>0</v>
      </c>
      <c r="L24" s="123"/>
      <c r="M24" s="125">
        <v>0</v>
      </c>
      <c r="N24" s="123"/>
      <c r="O24" s="125">
        <v>0</v>
      </c>
      <c r="P24" s="123"/>
      <c r="Q24" s="125">
        <v>0</v>
      </c>
      <c r="R24" s="123"/>
      <c r="S24" s="125">
        <v>0</v>
      </c>
      <c r="T24" s="123"/>
      <c r="U24" s="125">
        <v>0</v>
      </c>
      <c r="V24" s="123"/>
      <c r="W24" s="123"/>
      <c r="X24" s="121"/>
      <c r="Z24" s="121"/>
      <c r="AA24" s="121"/>
      <c r="AB24" s="125">
        <v>0</v>
      </c>
      <c r="AC24" s="124"/>
      <c r="AD24" s="125">
        <v>0</v>
      </c>
      <c r="AE24" s="124"/>
      <c r="AF24" s="125">
        <v>0</v>
      </c>
      <c r="AG24" s="124"/>
      <c r="AH24" s="123">
        <f>SUM(E24:AF24)</f>
        <v>0</v>
      </c>
      <c r="AI24" s="123"/>
      <c r="AJ24" s="123">
        <v>0</v>
      </c>
      <c r="AK24" s="123"/>
      <c r="AL24" s="125">
        <v>0</v>
      </c>
      <c r="AM24" s="125"/>
      <c r="AN24" s="125">
        <v>0</v>
      </c>
      <c r="AO24" s="125"/>
      <c r="AP24" s="125">
        <v>0</v>
      </c>
      <c r="AQ24" s="125"/>
      <c r="AR24" s="125">
        <f>+'GVFund Rev'!U24+'GVFund Rev'!W24-'GVFund Exp'!AH24-'GVFund Exp'!AL24+AJ24+AN24+AP24-'GV Fund BS'!S24</f>
        <v>0</v>
      </c>
      <c r="AS24" s="123"/>
    </row>
    <row r="25" spans="1:45" s="44" customFormat="1" ht="12.75" customHeight="1">
      <c r="A25" s="35" t="s">
        <v>35</v>
      </c>
      <c r="C25" s="35" t="s">
        <v>36</v>
      </c>
      <c r="E25" s="45">
        <f>1372581+619365</f>
        <v>1991946</v>
      </c>
      <c r="F25" s="48"/>
      <c r="G25" s="45">
        <f>3417460+234871</f>
        <v>3652331</v>
      </c>
      <c r="H25" s="48"/>
      <c r="I25" s="45">
        <v>246809</v>
      </c>
      <c r="J25" s="48"/>
      <c r="K25" s="45">
        <v>143543</v>
      </c>
      <c r="L25" s="48"/>
      <c r="M25" s="45">
        <v>1088882</v>
      </c>
      <c r="N25" s="48"/>
      <c r="O25" s="45">
        <v>580692</v>
      </c>
      <c r="P25" s="48"/>
      <c r="Q25" s="45">
        <v>0</v>
      </c>
      <c r="R25" s="48"/>
      <c r="S25" s="45">
        <v>1509482</v>
      </c>
      <c r="T25" s="48"/>
      <c r="U25" s="45">
        <v>0</v>
      </c>
      <c r="V25" s="48"/>
      <c r="W25" s="48"/>
      <c r="X25" s="35"/>
      <c r="Z25" s="35"/>
      <c r="AA25" s="35"/>
      <c r="AB25" s="45">
        <v>80000</v>
      </c>
      <c r="AC25" s="65"/>
      <c r="AD25" s="45">
        <v>38255</v>
      </c>
      <c r="AE25" s="65"/>
      <c r="AF25" s="45">
        <v>0</v>
      </c>
      <c r="AG25" s="65"/>
      <c r="AH25" s="48">
        <f t="shared" si="0"/>
        <v>9331940</v>
      </c>
      <c r="AI25" s="48"/>
      <c r="AJ25" s="48">
        <v>0</v>
      </c>
      <c r="AK25" s="48"/>
      <c r="AL25" s="45">
        <v>1023209</v>
      </c>
      <c r="AM25" s="45"/>
      <c r="AN25" s="45">
        <v>8701025</v>
      </c>
      <c r="AO25" s="45"/>
      <c r="AP25" s="45">
        <v>0</v>
      </c>
      <c r="AQ25" s="45"/>
      <c r="AR25" s="45">
        <f>+'GVFund Rev'!U25+'GVFund Rev'!W25-'GVFund Exp'!AH25-'GVFund Exp'!AL25+AJ25+AN25+AP25-'GV Fund BS'!S25</f>
        <v>0</v>
      </c>
      <c r="AS25" s="48"/>
    </row>
    <row r="26" spans="1:45" s="44" customFormat="1" ht="12.75" customHeight="1">
      <c r="A26" s="35" t="s">
        <v>37</v>
      </c>
      <c r="C26" s="35" t="s">
        <v>38</v>
      </c>
      <c r="E26" s="45">
        <f>1567895+256845</f>
        <v>1824740</v>
      </c>
      <c r="F26" s="48"/>
      <c r="G26" s="45">
        <v>2620391</v>
      </c>
      <c r="H26" s="48"/>
      <c r="I26" s="45">
        <v>283559</v>
      </c>
      <c r="J26" s="48"/>
      <c r="K26" s="45">
        <v>144846</v>
      </c>
      <c r="L26" s="48"/>
      <c r="M26" s="45">
        <v>781043</v>
      </c>
      <c r="N26" s="48"/>
      <c r="O26" s="45">
        <v>392759</v>
      </c>
      <c r="P26" s="48"/>
      <c r="Q26" s="45">
        <v>18573</v>
      </c>
      <c r="R26" s="48"/>
      <c r="S26" s="45">
        <v>0</v>
      </c>
      <c r="T26" s="48"/>
      <c r="U26" s="45">
        <v>0</v>
      </c>
      <c r="V26" s="48"/>
      <c r="W26" s="48"/>
      <c r="X26" s="35"/>
      <c r="Z26" s="35"/>
      <c r="AA26" s="35"/>
      <c r="AB26" s="45">
        <v>85000</v>
      </c>
      <c r="AC26" s="65"/>
      <c r="AD26" s="45">
        <v>84985</v>
      </c>
      <c r="AE26" s="65"/>
      <c r="AF26" s="45">
        <v>0</v>
      </c>
      <c r="AG26" s="65"/>
      <c r="AH26" s="48">
        <f t="shared" si="0"/>
        <v>6235896</v>
      </c>
      <c r="AI26" s="48"/>
      <c r="AJ26" s="48">
        <v>0</v>
      </c>
      <c r="AK26" s="48"/>
      <c r="AL26" s="45">
        <v>856125</v>
      </c>
      <c r="AM26" s="45"/>
      <c r="AN26" s="45">
        <v>5024302</v>
      </c>
      <c r="AO26" s="45"/>
      <c r="AP26" s="45">
        <v>-6960</v>
      </c>
      <c r="AQ26" s="45"/>
      <c r="AR26" s="45">
        <f>+'GVFund Rev'!U26+'GVFund Rev'!W26-'GVFund Exp'!AH26-'GVFund Exp'!AL26+AJ26+AN26+AP26-'GV Fund BS'!S26</f>
        <v>0</v>
      </c>
      <c r="AS26" s="48"/>
    </row>
    <row r="27" spans="1:45" s="44" customFormat="1" ht="12.75" customHeight="1">
      <c r="A27" s="35" t="s">
        <v>39</v>
      </c>
      <c r="C27" s="35" t="s">
        <v>40</v>
      </c>
      <c r="E27" s="45">
        <v>562162</v>
      </c>
      <c r="F27" s="48"/>
      <c r="G27" s="45">
        <f>917278+148568</f>
        <v>1065846</v>
      </c>
      <c r="H27" s="48"/>
      <c r="I27" s="45">
        <v>0</v>
      </c>
      <c r="J27" s="48"/>
      <c r="K27" s="45">
        <v>34688</v>
      </c>
      <c r="L27" s="48"/>
      <c r="M27" s="45">
        <v>611964</v>
      </c>
      <c r="N27" s="48"/>
      <c r="O27" s="45">
        <f>27449+61515+76758</f>
        <v>165722</v>
      </c>
      <c r="P27" s="48"/>
      <c r="Q27" s="45">
        <v>0</v>
      </c>
      <c r="R27" s="48"/>
      <c r="S27" s="45">
        <v>973831</v>
      </c>
      <c r="T27" s="48"/>
      <c r="U27" s="45">
        <v>0</v>
      </c>
      <c r="V27" s="48"/>
      <c r="W27" s="48"/>
      <c r="X27" s="35"/>
      <c r="Z27" s="35"/>
      <c r="AA27" s="35"/>
      <c r="AB27" s="45">
        <v>26316</v>
      </c>
      <c r="AC27" s="65"/>
      <c r="AD27" s="45">
        <v>57684</v>
      </c>
      <c r="AE27" s="65"/>
      <c r="AF27" s="45">
        <v>0</v>
      </c>
      <c r="AG27" s="65"/>
      <c r="AH27" s="48">
        <f t="shared" si="0"/>
        <v>3498213</v>
      </c>
      <c r="AI27" s="48"/>
      <c r="AJ27" s="48">
        <v>0</v>
      </c>
      <c r="AK27" s="48"/>
      <c r="AL27" s="45">
        <v>49000</v>
      </c>
      <c r="AM27" s="45"/>
      <c r="AN27" s="45">
        <v>2006370</v>
      </c>
      <c r="AO27" s="45"/>
      <c r="AP27" s="45">
        <v>2266</v>
      </c>
      <c r="AQ27" s="45"/>
      <c r="AR27" s="45">
        <f>+'GVFund Rev'!U27+'GVFund Rev'!W27-'GVFund Exp'!AH27-'GVFund Exp'!AL27+AJ27+AN27+AP27-'GV Fund BS'!S27</f>
        <v>0</v>
      </c>
      <c r="AS27" s="48"/>
    </row>
    <row r="28" spans="1:45" s="44" customFormat="1" ht="12.75" customHeight="1">
      <c r="A28" s="35" t="s">
        <v>41</v>
      </c>
      <c r="C28" s="35" t="s">
        <v>27</v>
      </c>
      <c r="E28" s="45">
        <v>7344937</v>
      </c>
      <c r="F28" s="48"/>
      <c r="G28" s="45">
        <v>6199605</v>
      </c>
      <c r="H28" s="48"/>
      <c r="I28" s="45">
        <v>547564</v>
      </c>
      <c r="J28" s="48"/>
      <c r="K28" s="45">
        <v>120472</v>
      </c>
      <c r="L28" s="48"/>
      <c r="M28" s="45">
        <v>966443</v>
      </c>
      <c r="N28" s="48"/>
      <c r="O28" s="45">
        <v>1772479</v>
      </c>
      <c r="P28" s="48"/>
      <c r="Q28" s="45">
        <v>1241619</v>
      </c>
      <c r="R28" s="48"/>
      <c r="S28" s="45">
        <v>5895586</v>
      </c>
      <c r="T28" s="48"/>
      <c r="U28" s="45">
        <v>0</v>
      </c>
      <c r="V28" s="48"/>
      <c r="W28" s="48"/>
      <c r="X28" s="35"/>
      <c r="Z28" s="35"/>
      <c r="AA28" s="35"/>
      <c r="AB28" s="45">
        <v>1260146</v>
      </c>
      <c r="AC28" s="65"/>
      <c r="AD28" s="45">
        <v>958072</v>
      </c>
      <c r="AE28" s="65"/>
      <c r="AF28" s="45">
        <v>0</v>
      </c>
      <c r="AG28" s="65"/>
      <c r="AH28" s="48">
        <f t="shared" si="0"/>
        <v>26306923</v>
      </c>
      <c r="AI28" s="48"/>
      <c r="AJ28" s="48">
        <v>0</v>
      </c>
      <c r="AK28" s="48"/>
      <c r="AL28" s="45">
        <v>3057479</v>
      </c>
      <c r="AM28" s="45"/>
      <c r="AN28" s="45">
        <v>3474724</v>
      </c>
      <c r="AO28" s="45"/>
      <c r="AP28" s="45">
        <v>0</v>
      </c>
      <c r="AQ28" s="45"/>
      <c r="AR28" s="45">
        <f>+'GVFund Rev'!U28+'GVFund Rev'!W28-'GVFund Exp'!AH28-'GVFund Exp'!AL28+AJ28+AN28+AP28-'GV Fund BS'!S28</f>
        <v>0</v>
      </c>
      <c r="AS28" s="48"/>
    </row>
    <row r="29" spans="1:45" s="44" customFormat="1" ht="12.75" customHeight="1">
      <c r="A29" s="35" t="s">
        <v>42</v>
      </c>
      <c r="C29" s="35" t="s">
        <v>43</v>
      </c>
      <c r="E29" s="45">
        <v>3468276</v>
      </c>
      <c r="F29" s="48"/>
      <c r="G29" s="45">
        <v>4632435</v>
      </c>
      <c r="H29" s="48"/>
      <c r="I29" s="45">
        <f>462771+1526</f>
        <v>464297</v>
      </c>
      <c r="J29" s="48"/>
      <c r="K29" s="45">
        <v>78449</v>
      </c>
      <c r="L29" s="48"/>
      <c r="M29" s="45">
        <v>743520</v>
      </c>
      <c r="N29" s="48"/>
      <c r="O29" s="45">
        <v>1266089</v>
      </c>
      <c r="P29" s="48"/>
      <c r="Q29" s="45">
        <v>0</v>
      </c>
      <c r="R29" s="48"/>
      <c r="S29" s="45">
        <v>1474629</v>
      </c>
      <c r="T29" s="48"/>
      <c r="U29" s="45">
        <v>0</v>
      </c>
      <c r="V29" s="48"/>
      <c r="W29" s="48"/>
      <c r="X29" s="35"/>
      <c r="Z29" s="35"/>
      <c r="AA29" s="35"/>
      <c r="AB29" s="45">
        <v>234024</v>
      </c>
      <c r="AC29" s="65"/>
      <c r="AD29" s="45">
        <v>183822</v>
      </c>
      <c r="AE29" s="65"/>
      <c r="AF29" s="45">
        <v>6295</v>
      </c>
      <c r="AG29" s="65"/>
      <c r="AH29" s="48">
        <f t="shared" si="0"/>
        <v>12551836</v>
      </c>
      <c r="AI29" s="48"/>
      <c r="AJ29" s="48">
        <v>0</v>
      </c>
      <c r="AK29" s="48"/>
      <c r="AL29" s="45">
        <v>1357095</v>
      </c>
      <c r="AM29" s="45"/>
      <c r="AN29" s="45">
        <v>8054984</v>
      </c>
      <c r="AO29" s="45"/>
      <c r="AP29" s="45">
        <v>0</v>
      </c>
      <c r="AQ29" s="45"/>
      <c r="AR29" s="45">
        <f>+'GVFund Rev'!U29+'GVFund Rev'!W29-'GVFund Exp'!AH29-'GVFund Exp'!AL29+AJ29+AN29+AP29-'GV Fund BS'!S29</f>
        <v>0</v>
      </c>
      <c r="AS29" s="48"/>
    </row>
    <row r="30" spans="1:45" s="44" customFormat="1" ht="12.75" customHeight="1">
      <c r="A30" s="35" t="s">
        <v>44</v>
      </c>
      <c r="C30" s="35" t="s">
        <v>45</v>
      </c>
      <c r="E30" s="45">
        <v>5700274</v>
      </c>
      <c r="F30" s="48"/>
      <c r="G30" s="45">
        <v>11260376</v>
      </c>
      <c r="H30" s="48"/>
      <c r="I30" s="45">
        <v>944529</v>
      </c>
      <c r="J30" s="48"/>
      <c r="K30" s="45">
        <v>0</v>
      </c>
      <c r="L30" s="48"/>
      <c r="M30" s="45">
        <v>2167150</v>
      </c>
      <c r="N30" s="48"/>
      <c r="O30" s="45">
        <v>4413957</v>
      </c>
      <c r="P30" s="48"/>
      <c r="Q30" s="45">
        <v>2390755</v>
      </c>
      <c r="R30" s="48"/>
      <c r="S30" s="45">
        <v>26962418</v>
      </c>
      <c r="T30" s="48"/>
      <c r="U30" s="45">
        <v>0</v>
      </c>
      <c r="V30" s="48"/>
      <c r="W30" s="48"/>
      <c r="X30" s="35"/>
      <c r="Z30" s="35"/>
      <c r="AA30" s="35"/>
      <c r="AB30" s="45">
        <v>3830000</v>
      </c>
      <c r="AC30" s="65"/>
      <c r="AD30" s="45">
        <v>1185353</v>
      </c>
      <c r="AE30" s="65"/>
      <c r="AF30" s="45">
        <v>0</v>
      </c>
      <c r="AG30" s="65"/>
      <c r="AH30" s="48">
        <f t="shared" si="0"/>
        <v>58854812</v>
      </c>
      <c r="AI30" s="48"/>
      <c r="AJ30" s="48">
        <v>0</v>
      </c>
      <c r="AK30" s="48"/>
      <c r="AL30" s="45">
        <v>12745613</v>
      </c>
      <c r="AM30" s="45"/>
      <c r="AN30" s="45">
        <v>18395470</v>
      </c>
      <c r="AO30" s="45"/>
      <c r="AP30" s="45">
        <v>-33749</v>
      </c>
      <c r="AQ30" s="45"/>
      <c r="AR30" s="45">
        <f>+'GVFund Rev'!U30+'GVFund Rev'!W30-'GVFund Exp'!AH30-'GVFund Exp'!AL30+AJ30+AN30+AP30-'GV Fund BS'!S30</f>
        <v>0</v>
      </c>
      <c r="AS30" s="48"/>
    </row>
    <row r="31" spans="1:45" s="44" customFormat="1" ht="12.75" customHeight="1">
      <c r="A31" s="35" t="s">
        <v>46</v>
      </c>
      <c r="C31" s="35" t="s">
        <v>47</v>
      </c>
      <c r="E31" s="45">
        <f>1616907+3598811</f>
        <v>5215718</v>
      </c>
      <c r="F31" s="48"/>
      <c r="G31" s="45">
        <f>5142275+5042437+183705</f>
        <v>10368417</v>
      </c>
      <c r="H31" s="48"/>
      <c r="I31" s="45">
        <v>1405331</v>
      </c>
      <c r="J31" s="48"/>
      <c r="K31" s="45">
        <v>75844</v>
      </c>
      <c r="L31" s="48"/>
      <c r="M31" s="45">
        <v>5460907</v>
      </c>
      <c r="N31" s="48"/>
      <c r="O31" s="45">
        <v>1662542</v>
      </c>
      <c r="P31" s="48"/>
      <c r="Q31" s="45">
        <v>632974</v>
      </c>
      <c r="R31" s="48"/>
      <c r="S31" s="45">
        <v>1358017</v>
      </c>
      <c r="T31" s="48"/>
      <c r="U31" s="45">
        <v>0</v>
      </c>
      <c r="V31" s="48"/>
      <c r="W31" s="48"/>
      <c r="X31" s="35"/>
      <c r="Z31" s="35"/>
      <c r="AA31" s="35"/>
      <c r="AB31" s="45">
        <v>1774261</v>
      </c>
      <c r="AC31" s="65"/>
      <c r="AD31" s="45">
        <v>953827</v>
      </c>
      <c r="AE31" s="65"/>
      <c r="AF31" s="45">
        <v>0</v>
      </c>
      <c r="AG31" s="65"/>
      <c r="AH31" s="48">
        <f t="shared" si="0"/>
        <v>28907838</v>
      </c>
      <c r="AI31" s="48"/>
      <c r="AJ31" s="48">
        <v>0</v>
      </c>
      <c r="AK31" s="48"/>
      <c r="AL31" s="45">
        <v>3250445</v>
      </c>
      <c r="AM31" s="45"/>
      <c r="AN31" s="45">
        <v>19806342</v>
      </c>
      <c r="AO31" s="45"/>
      <c r="AP31" s="45">
        <v>0</v>
      </c>
      <c r="AQ31" s="45"/>
      <c r="AR31" s="45">
        <f>+'GVFund Rev'!U31+'GVFund Rev'!W31-'GVFund Exp'!AH31-'GVFund Exp'!AL31+AJ31+AN31+AP31-'GV Fund BS'!S31</f>
        <v>0</v>
      </c>
      <c r="AS31" s="48"/>
    </row>
    <row r="32" spans="1:45" s="44" customFormat="1" ht="12.75" customHeight="1">
      <c r="A32" s="35" t="s">
        <v>48</v>
      </c>
      <c r="C32" s="35" t="s">
        <v>27</v>
      </c>
      <c r="E32" s="45">
        <f>5464710+188321</f>
        <v>5653031</v>
      </c>
      <c r="F32" s="48"/>
      <c r="G32" s="45">
        <f>4063261+2139383</f>
        <v>6202644</v>
      </c>
      <c r="H32" s="48"/>
      <c r="I32" s="45">
        <v>836660</v>
      </c>
      <c r="J32" s="48"/>
      <c r="K32" s="45">
        <v>137731</v>
      </c>
      <c r="L32" s="48"/>
      <c r="M32" s="45">
        <v>3166873</v>
      </c>
      <c r="N32" s="48"/>
      <c r="O32" s="45">
        <v>1677602</v>
      </c>
      <c r="P32" s="48"/>
      <c r="Q32" s="45">
        <v>1913731</v>
      </c>
      <c r="R32" s="48"/>
      <c r="S32" s="45">
        <v>3742989</v>
      </c>
      <c r="T32" s="48"/>
      <c r="U32" s="45">
        <v>0</v>
      </c>
      <c r="V32" s="48"/>
      <c r="W32" s="48"/>
      <c r="X32" s="35"/>
      <c r="Z32" s="35"/>
      <c r="AA32" s="35"/>
      <c r="AB32" s="45">
        <v>1222631</v>
      </c>
      <c r="AC32" s="65"/>
      <c r="AD32" s="45">
        <v>764362</v>
      </c>
      <c r="AE32" s="65"/>
      <c r="AF32" s="45">
        <v>116253</v>
      </c>
      <c r="AG32" s="65"/>
      <c r="AH32" s="48">
        <f t="shared" si="0"/>
        <v>25434507</v>
      </c>
      <c r="AI32" s="48"/>
      <c r="AJ32" s="48">
        <v>0</v>
      </c>
      <c r="AK32" s="48"/>
      <c r="AL32" s="45">
        <v>5601367</v>
      </c>
      <c r="AM32" s="45"/>
      <c r="AN32" s="45">
        <v>14731176</v>
      </c>
      <c r="AO32" s="45"/>
      <c r="AP32" s="45">
        <v>0</v>
      </c>
      <c r="AQ32" s="45"/>
      <c r="AR32" s="45">
        <f>+'GVFund Rev'!U32+'GVFund Rev'!W32-'GVFund Exp'!AH32-'GVFund Exp'!AL32+AJ32+AN32+AP32-'GV Fund BS'!S32</f>
        <v>0</v>
      </c>
      <c r="AS32" s="48"/>
    </row>
    <row r="33" spans="1:45" s="44" customFormat="1" ht="12.75" customHeight="1">
      <c r="A33" s="35" t="s">
        <v>49</v>
      </c>
      <c r="C33" s="35" t="s">
        <v>27</v>
      </c>
      <c r="E33" s="45">
        <v>4745778</v>
      </c>
      <c r="F33" s="48"/>
      <c r="G33" s="45">
        <v>6478433</v>
      </c>
      <c r="H33" s="48"/>
      <c r="I33" s="45">
        <v>395280</v>
      </c>
      <c r="J33" s="48"/>
      <c r="K33" s="45">
        <v>348658</v>
      </c>
      <c r="L33" s="48"/>
      <c r="M33" s="45">
        <v>1774600</v>
      </c>
      <c r="N33" s="48"/>
      <c r="O33" s="45">
        <v>1241324</v>
      </c>
      <c r="P33" s="48"/>
      <c r="Q33" s="45">
        <v>847867</v>
      </c>
      <c r="R33" s="48"/>
      <c r="S33" s="45">
        <v>3638247</v>
      </c>
      <c r="T33" s="48"/>
      <c r="U33" s="45">
        <v>0</v>
      </c>
      <c r="V33" s="48"/>
      <c r="W33" s="48"/>
      <c r="X33" s="35"/>
      <c r="Z33" s="35"/>
      <c r="AA33" s="35"/>
      <c r="AB33" s="45">
        <v>1663337</v>
      </c>
      <c r="AC33" s="65"/>
      <c r="AD33" s="45">
        <v>695305</v>
      </c>
      <c r="AE33" s="65"/>
      <c r="AF33" s="45">
        <v>26450</v>
      </c>
      <c r="AG33" s="65"/>
      <c r="AH33" s="48">
        <f t="shared" si="0"/>
        <v>21855279</v>
      </c>
      <c r="AI33" s="48"/>
      <c r="AJ33" s="48">
        <v>0</v>
      </c>
      <c r="AK33" s="48"/>
      <c r="AL33" s="45">
        <v>581472</v>
      </c>
      <c r="AM33" s="45"/>
      <c r="AN33" s="45">
        <v>8443650</v>
      </c>
      <c r="AO33" s="45"/>
      <c r="AP33" s="45">
        <v>0</v>
      </c>
      <c r="AQ33" s="45"/>
      <c r="AR33" s="45">
        <f>+'GVFund Rev'!U33+'GVFund Rev'!W33-'GVFund Exp'!AH33-'GVFund Exp'!AL33+AJ33+AN33+AP33-'GV Fund BS'!S33</f>
        <v>0</v>
      </c>
      <c r="AS33" s="48"/>
    </row>
    <row r="34" spans="1:45" s="44" customFormat="1" ht="12.75" customHeight="1">
      <c r="A34" s="35" t="s">
        <v>50</v>
      </c>
      <c r="C34" s="35" t="s">
        <v>27</v>
      </c>
      <c r="E34" s="45">
        <v>4848012</v>
      </c>
      <c r="F34" s="48"/>
      <c r="G34" s="45">
        <v>11703939</v>
      </c>
      <c r="H34" s="48"/>
      <c r="I34" s="45">
        <v>1127745</v>
      </c>
      <c r="J34" s="48"/>
      <c r="K34" s="45">
        <v>559409</v>
      </c>
      <c r="L34" s="48"/>
      <c r="M34" s="45">
        <v>1807115</v>
      </c>
      <c r="N34" s="48"/>
      <c r="O34" s="45">
        <v>2634424</v>
      </c>
      <c r="P34" s="48"/>
      <c r="Q34" s="45">
        <v>4048769</v>
      </c>
      <c r="R34" s="48"/>
      <c r="S34" s="45">
        <v>5964107</v>
      </c>
      <c r="T34" s="48"/>
      <c r="U34" s="45">
        <v>0</v>
      </c>
      <c r="V34" s="48"/>
      <c r="W34" s="48"/>
      <c r="X34" s="35"/>
      <c r="Z34" s="35"/>
      <c r="AA34" s="35"/>
      <c r="AB34" s="45">
        <v>170000</v>
      </c>
      <c r="AC34" s="65"/>
      <c r="AD34" s="45">
        <v>66196</v>
      </c>
      <c r="AE34" s="65"/>
      <c r="AF34" s="45">
        <v>0</v>
      </c>
      <c r="AG34" s="65"/>
      <c r="AH34" s="48">
        <f t="shared" si="0"/>
        <v>32929716</v>
      </c>
      <c r="AI34" s="48"/>
      <c r="AJ34" s="48">
        <v>0</v>
      </c>
      <c r="AK34" s="48"/>
      <c r="AL34" s="45">
        <v>3949538</v>
      </c>
      <c r="AM34" s="45"/>
      <c r="AN34" s="45">
        <v>23401784</v>
      </c>
      <c r="AO34" s="45"/>
      <c r="AP34" s="45">
        <v>0</v>
      </c>
      <c r="AQ34" s="45"/>
      <c r="AR34" s="45">
        <f>+'GVFund Rev'!U34+'GVFund Rev'!W34-'GVFund Exp'!AH34-'GVFund Exp'!AL34+AJ34+AN34+AP34-'GV Fund BS'!S34</f>
        <v>0</v>
      </c>
      <c r="AS34" s="48"/>
    </row>
    <row r="35" spans="1:45" s="44" customFormat="1" ht="12.75" customHeight="1">
      <c r="A35" s="35" t="s">
        <v>51</v>
      </c>
      <c r="C35" s="35" t="s">
        <v>27</v>
      </c>
      <c r="E35" s="45">
        <v>1777101</v>
      </c>
      <c r="F35" s="48"/>
      <c r="G35" s="45">
        <v>8122257</v>
      </c>
      <c r="H35" s="48"/>
      <c r="I35" s="45">
        <v>1599877</v>
      </c>
      <c r="J35" s="48"/>
      <c r="K35" s="45">
        <v>0</v>
      </c>
      <c r="L35" s="48"/>
      <c r="M35" s="45">
        <v>747293</v>
      </c>
      <c r="N35" s="48"/>
      <c r="O35" s="45">
        <v>2071857</v>
      </c>
      <c r="P35" s="48"/>
      <c r="Q35" s="45">
        <v>2901785</v>
      </c>
      <c r="R35" s="48"/>
      <c r="S35" s="45">
        <v>3964960</v>
      </c>
      <c r="T35" s="48"/>
      <c r="U35" s="45">
        <v>0</v>
      </c>
      <c r="V35" s="48"/>
      <c r="W35" s="48"/>
      <c r="X35" s="35"/>
      <c r="Z35" s="35"/>
      <c r="AA35" s="35"/>
      <c r="AB35" s="45">
        <f>983395+230000</f>
        <v>1213395</v>
      </c>
      <c r="AC35" s="65"/>
      <c r="AD35" s="45">
        <v>473568</v>
      </c>
      <c r="AE35" s="65"/>
      <c r="AF35" s="45">
        <v>0</v>
      </c>
      <c r="AG35" s="65"/>
      <c r="AH35" s="48">
        <f t="shared" si="0"/>
        <v>22872093</v>
      </c>
      <c r="AI35" s="48"/>
      <c r="AJ35" s="48">
        <v>0</v>
      </c>
      <c r="AK35" s="48"/>
      <c r="AL35" s="45">
        <f>650000+1250779</f>
        <v>1900779</v>
      </c>
      <c r="AM35" s="45"/>
      <c r="AN35" s="45">
        <v>9405949</v>
      </c>
      <c r="AO35" s="45"/>
      <c r="AP35" s="45">
        <v>0</v>
      </c>
      <c r="AQ35" s="45"/>
      <c r="AR35" s="45">
        <f>+'GVFund Rev'!U35+'GVFund Rev'!W35-'GVFund Exp'!AH35-'GVFund Exp'!AL35+AJ35+AN35+AP35-'GV Fund BS'!S35</f>
        <v>0</v>
      </c>
      <c r="AS35" s="48"/>
    </row>
    <row r="36" spans="1:45" s="44" customFormat="1" ht="12.75" customHeight="1">
      <c r="A36" s="35" t="s">
        <v>463</v>
      </c>
      <c r="C36" s="35" t="s">
        <v>66</v>
      </c>
      <c r="E36" s="45">
        <v>853557</v>
      </c>
      <c r="F36" s="48"/>
      <c r="G36" s="45">
        <v>1795739</v>
      </c>
      <c r="H36" s="48"/>
      <c r="I36" s="45">
        <v>798953</v>
      </c>
      <c r="J36" s="48"/>
      <c r="K36" s="45">
        <v>0</v>
      </c>
      <c r="L36" s="48"/>
      <c r="M36" s="45">
        <v>546903</v>
      </c>
      <c r="N36" s="48"/>
      <c r="O36" s="45">
        <v>109705</v>
      </c>
      <c r="P36" s="48"/>
      <c r="Q36" s="45">
        <v>0</v>
      </c>
      <c r="R36" s="48"/>
      <c r="S36" s="45">
        <v>2790842</v>
      </c>
      <c r="T36" s="48"/>
      <c r="U36" s="45">
        <v>0</v>
      </c>
      <c r="V36" s="48"/>
      <c r="W36" s="48"/>
      <c r="X36" s="35"/>
      <c r="Z36" s="35"/>
      <c r="AA36" s="35"/>
      <c r="AB36" s="45">
        <v>216587</v>
      </c>
      <c r="AC36" s="65"/>
      <c r="AD36" s="45">
        <v>57691</v>
      </c>
      <c r="AE36" s="65"/>
      <c r="AF36" s="45">
        <v>11165</v>
      </c>
      <c r="AG36" s="65"/>
      <c r="AH36" s="48">
        <f t="shared" si="0"/>
        <v>7181142</v>
      </c>
      <c r="AI36" s="48"/>
      <c r="AJ36" s="48">
        <v>0</v>
      </c>
      <c r="AK36" s="48"/>
      <c r="AL36" s="45">
        <v>687500</v>
      </c>
      <c r="AM36" s="45"/>
      <c r="AN36" s="45">
        <v>1845944</v>
      </c>
      <c r="AO36" s="45"/>
      <c r="AP36" s="45">
        <v>0</v>
      </c>
      <c r="AQ36" s="45"/>
      <c r="AR36" s="45">
        <f>+'GVFund Rev'!U36+'GVFund Rev'!W36-'GVFund Exp'!AH36-'GVFund Exp'!AL36+AJ36+AN36+AP36-'GV Fund BS'!S36</f>
        <v>0</v>
      </c>
      <c r="AS36" s="48"/>
    </row>
    <row r="37" spans="1:45" s="44" customFormat="1" ht="12.75" customHeight="1">
      <c r="A37" s="35" t="s">
        <v>52</v>
      </c>
      <c r="C37" s="35" t="s">
        <v>53</v>
      </c>
      <c r="E37" s="45">
        <v>3510739</v>
      </c>
      <c r="F37" s="48"/>
      <c r="G37" s="45">
        <v>9173610</v>
      </c>
      <c r="H37" s="48"/>
      <c r="I37" s="45">
        <v>1305231</v>
      </c>
      <c r="J37" s="48"/>
      <c r="K37" s="45">
        <v>6725</v>
      </c>
      <c r="L37" s="48"/>
      <c r="M37" s="45">
        <v>3664390</v>
      </c>
      <c r="N37" s="48"/>
      <c r="O37" s="45">
        <v>2075212</v>
      </c>
      <c r="P37" s="48"/>
      <c r="Q37" s="45">
        <v>0</v>
      </c>
      <c r="R37" s="48"/>
      <c r="S37" s="45">
        <v>2769815</v>
      </c>
      <c r="T37" s="48"/>
      <c r="U37" s="45">
        <v>0</v>
      </c>
      <c r="V37" s="48"/>
      <c r="W37" s="48"/>
      <c r="X37" s="35"/>
      <c r="Z37" s="35"/>
      <c r="AA37" s="35"/>
      <c r="AB37" s="45">
        <v>672105</v>
      </c>
      <c r="AC37" s="65"/>
      <c r="AD37" s="45">
        <v>428881</v>
      </c>
      <c r="AE37" s="65"/>
      <c r="AF37" s="45">
        <v>0</v>
      </c>
      <c r="AG37" s="65"/>
      <c r="AH37" s="48">
        <f t="shared" si="0"/>
        <v>23606708</v>
      </c>
      <c r="AI37" s="48"/>
      <c r="AJ37" s="48">
        <v>0</v>
      </c>
      <c r="AK37" s="48"/>
      <c r="AL37" s="45">
        <f>2030000+685921</f>
        <v>2715921</v>
      </c>
      <c r="AM37" s="45"/>
      <c r="AN37" s="45">
        <v>13119998</v>
      </c>
      <c r="AO37" s="45"/>
      <c r="AP37" s="45">
        <v>0</v>
      </c>
      <c r="AQ37" s="45"/>
      <c r="AR37" s="45">
        <f>+'GVFund Rev'!U37+'GVFund Rev'!W37-'GVFund Exp'!AH37-'GVFund Exp'!AL37+AJ37+AN37+AP37-'GV Fund BS'!S37</f>
        <v>0</v>
      </c>
      <c r="AS37" s="48"/>
    </row>
    <row r="38" spans="1:45" s="44" customFormat="1" ht="12.75" customHeight="1">
      <c r="A38" s="35" t="s">
        <v>54</v>
      </c>
      <c r="C38" s="35" t="s">
        <v>55</v>
      </c>
      <c r="E38" s="45">
        <v>3061708</v>
      </c>
      <c r="F38" s="48"/>
      <c r="G38" s="45">
        <v>2315596</v>
      </c>
      <c r="H38" s="48"/>
      <c r="I38" s="45">
        <v>601757</v>
      </c>
      <c r="J38" s="48"/>
      <c r="K38" s="45">
        <v>98862</v>
      </c>
      <c r="L38" s="48"/>
      <c r="M38" s="45">
        <v>736219</v>
      </c>
      <c r="N38" s="48"/>
      <c r="O38" s="45">
        <v>894590</v>
      </c>
      <c r="P38" s="48"/>
      <c r="Q38" s="45">
        <v>0</v>
      </c>
      <c r="R38" s="48"/>
      <c r="S38" s="45">
        <v>1630200</v>
      </c>
      <c r="T38" s="48"/>
      <c r="U38" s="45">
        <v>0</v>
      </c>
      <c r="V38" s="48"/>
      <c r="W38" s="48"/>
      <c r="X38" s="35"/>
      <c r="Z38" s="35"/>
      <c r="AA38" s="35"/>
      <c r="AB38" s="45">
        <v>3011000</v>
      </c>
      <c r="AC38" s="65"/>
      <c r="AD38" s="45">
        <v>121912</v>
      </c>
      <c r="AE38" s="65"/>
      <c r="AF38" s="45">
        <v>0</v>
      </c>
      <c r="AG38" s="65"/>
      <c r="AH38" s="48">
        <f t="shared" si="0"/>
        <v>12471844</v>
      </c>
      <c r="AI38" s="48"/>
      <c r="AJ38" s="48">
        <v>0</v>
      </c>
      <c r="AK38" s="48"/>
      <c r="AL38" s="45">
        <v>4620000</v>
      </c>
      <c r="AM38" s="45"/>
      <c r="AN38" s="45">
        <v>13212943</v>
      </c>
      <c r="AO38" s="45"/>
      <c r="AP38" s="45">
        <v>-4701</v>
      </c>
      <c r="AQ38" s="45"/>
      <c r="AR38" s="45">
        <f>+'GVFund Rev'!U38+'GVFund Rev'!W38-'GVFund Exp'!AH38-'GVFund Exp'!AL38+AJ38+AN38+AP38-'GV Fund BS'!S38</f>
        <v>0</v>
      </c>
      <c r="AS38" s="48"/>
    </row>
    <row r="39" spans="1:45" s="44" customFormat="1" ht="12.75" customHeight="1">
      <c r="A39" s="35" t="s">
        <v>56</v>
      </c>
      <c r="C39" s="35" t="s">
        <v>57</v>
      </c>
      <c r="E39" s="45">
        <v>1644820</v>
      </c>
      <c r="F39" s="48"/>
      <c r="G39" s="45">
        <f>1972551+1342818+127448</f>
        <v>3442817</v>
      </c>
      <c r="H39" s="48"/>
      <c r="I39" s="45">
        <v>309737</v>
      </c>
      <c r="J39" s="48"/>
      <c r="K39" s="45">
        <v>192061</v>
      </c>
      <c r="L39" s="48"/>
      <c r="M39" s="45">
        <v>3359942</v>
      </c>
      <c r="N39" s="48"/>
      <c r="O39" s="45">
        <v>162722</v>
      </c>
      <c r="P39" s="48"/>
      <c r="Q39" s="45">
        <v>0</v>
      </c>
      <c r="R39" s="48"/>
      <c r="S39" s="45">
        <v>0</v>
      </c>
      <c r="T39" s="48"/>
      <c r="U39" s="45">
        <v>0</v>
      </c>
      <c r="V39" s="48"/>
      <c r="W39" s="48"/>
      <c r="X39" s="35"/>
      <c r="Z39" s="35"/>
      <c r="AA39" s="35"/>
      <c r="AB39" s="45">
        <v>45449</v>
      </c>
      <c r="AC39" s="65"/>
      <c r="AD39" s="45">
        <v>30874</v>
      </c>
      <c r="AE39" s="65"/>
      <c r="AF39" s="45">
        <v>0</v>
      </c>
      <c r="AG39" s="65"/>
      <c r="AH39" s="48">
        <f t="shared" si="0"/>
        <v>9188422</v>
      </c>
      <c r="AI39" s="48"/>
      <c r="AJ39" s="48">
        <v>0</v>
      </c>
      <c r="AK39" s="48"/>
      <c r="AL39" s="45">
        <v>284897</v>
      </c>
      <c r="AM39" s="45"/>
      <c r="AN39" s="45">
        <v>5127057</v>
      </c>
      <c r="AO39" s="45"/>
      <c r="AP39" s="45">
        <v>0</v>
      </c>
      <c r="AQ39" s="45"/>
      <c r="AR39" s="45">
        <f>+'GVFund Rev'!U39+'GVFund Rev'!W39-'GVFund Exp'!AH39-'GVFund Exp'!AL39+AJ39+AN39+AP39-'GV Fund BS'!S39</f>
        <v>0</v>
      </c>
      <c r="AS39" s="48"/>
    </row>
    <row r="40" spans="1:45" s="44" customFormat="1" ht="12.75" customHeight="1">
      <c r="A40" s="35" t="s">
        <v>58</v>
      </c>
      <c r="C40" s="35" t="s">
        <v>59</v>
      </c>
      <c r="E40" s="45">
        <v>2567060</v>
      </c>
      <c r="F40" s="48"/>
      <c r="G40" s="45">
        <v>4299649</v>
      </c>
      <c r="H40" s="48"/>
      <c r="I40" s="45">
        <v>442653</v>
      </c>
      <c r="J40" s="48"/>
      <c r="K40" s="45">
        <v>205935</v>
      </c>
      <c r="L40" s="48"/>
      <c r="M40" s="45">
        <v>1306691</v>
      </c>
      <c r="N40" s="48"/>
      <c r="O40" s="45">
        <v>902496</v>
      </c>
      <c r="P40" s="48"/>
      <c r="Q40" s="45">
        <v>0</v>
      </c>
      <c r="R40" s="48"/>
      <c r="S40" s="45">
        <v>2578677</v>
      </c>
      <c r="T40" s="48"/>
      <c r="U40" s="45">
        <v>0</v>
      </c>
      <c r="V40" s="48"/>
      <c r="W40" s="48"/>
      <c r="X40" s="35"/>
      <c r="Z40" s="35"/>
      <c r="AA40" s="35"/>
      <c r="AB40" s="45">
        <v>66823</v>
      </c>
      <c r="AC40" s="65"/>
      <c r="AD40" s="45">
        <v>36226</v>
      </c>
      <c r="AE40" s="65"/>
      <c r="AF40" s="45">
        <v>0</v>
      </c>
      <c r="AG40" s="65"/>
      <c r="AH40" s="48">
        <f t="shared" si="0"/>
        <v>12406210</v>
      </c>
      <c r="AI40" s="48"/>
      <c r="AJ40" s="48">
        <v>0</v>
      </c>
      <c r="AK40" s="48"/>
      <c r="AL40" s="45">
        <v>679924</v>
      </c>
      <c r="AM40" s="45"/>
      <c r="AN40" s="45">
        <v>5172970</v>
      </c>
      <c r="AO40" s="45"/>
      <c r="AP40" s="45">
        <v>0</v>
      </c>
      <c r="AQ40" s="45"/>
      <c r="AR40" s="45">
        <f>+'GVFund Rev'!U40+'GVFund Rev'!W40-'GVFund Exp'!AH40-'GVFund Exp'!AL40+AJ40+AN40+AP40-'GV Fund BS'!S40</f>
        <v>0</v>
      </c>
      <c r="AS40" s="48"/>
    </row>
    <row r="41" spans="1:45" s="137" customFormat="1" ht="12.75" hidden="1" customHeight="1">
      <c r="A41" s="137" t="s">
        <v>477</v>
      </c>
      <c r="C41" s="142" t="s">
        <v>15</v>
      </c>
      <c r="E41" s="143"/>
      <c r="F41" s="148"/>
      <c r="G41" s="143"/>
      <c r="H41" s="148"/>
      <c r="I41" s="143"/>
      <c r="J41" s="148"/>
      <c r="K41" s="143"/>
      <c r="L41" s="148"/>
      <c r="M41" s="143"/>
      <c r="N41" s="148"/>
      <c r="O41" s="143"/>
      <c r="P41" s="148"/>
      <c r="Q41" s="143"/>
      <c r="R41" s="148"/>
      <c r="S41" s="143"/>
      <c r="T41" s="148"/>
      <c r="U41" s="143"/>
      <c r="V41" s="148"/>
      <c r="W41" s="148"/>
      <c r="X41" s="142"/>
      <c r="Z41" s="142"/>
      <c r="AA41" s="142"/>
      <c r="AB41" s="143"/>
      <c r="AC41" s="141"/>
      <c r="AD41" s="143"/>
      <c r="AE41" s="141"/>
      <c r="AF41" s="143"/>
      <c r="AG41" s="141"/>
      <c r="AH41" s="148">
        <f t="shared" si="0"/>
        <v>0</v>
      </c>
      <c r="AI41" s="148"/>
      <c r="AJ41" s="148">
        <v>0</v>
      </c>
      <c r="AK41" s="148"/>
      <c r="AL41" s="143"/>
      <c r="AM41" s="143"/>
      <c r="AN41" s="143"/>
      <c r="AO41" s="143"/>
      <c r="AP41" s="143"/>
      <c r="AQ41" s="143"/>
      <c r="AR41" s="143">
        <f>+'GVFund Rev'!U41+'GVFund Rev'!W41-'GVFund Exp'!AH41-'GVFund Exp'!AL41+AJ41+AN41+AP41-'GV Fund BS'!S41</f>
        <v>0</v>
      </c>
      <c r="AS41" s="148"/>
    </row>
    <row r="42" spans="1:45" s="137" customFormat="1" ht="12.75" hidden="1" customHeight="1">
      <c r="A42" s="142" t="s">
        <v>60</v>
      </c>
      <c r="C42" s="142" t="s">
        <v>61</v>
      </c>
      <c r="E42" s="143"/>
      <c r="F42" s="148"/>
      <c r="G42" s="143"/>
      <c r="H42" s="148"/>
      <c r="I42" s="143"/>
      <c r="J42" s="148"/>
      <c r="K42" s="143"/>
      <c r="L42" s="148"/>
      <c r="M42" s="143"/>
      <c r="N42" s="148"/>
      <c r="O42" s="143"/>
      <c r="P42" s="148"/>
      <c r="Q42" s="143"/>
      <c r="R42" s="148"/>
      <c r="S42" s="143"/>
      <c r="T42" s="148"/>
      <c r="U42" s="143"/>
      <c r="V42" s="148"/>
      <c r="W42" s="148"/>
      <c r="X42" s="142"/>
      <c r="Z42" s="142"/>
      <c r="AA42" s="142"/>
      <c r="AB42" s="143"/>
      <c r="AC42" s="141"/>
      <c r="AD42" s="143"/>
      <c r="AE42" s="141"/>
      <c r="AF42" s="143"/>
      <c r="AG42" s="141"/>
      <c r="AH42" s="148">
        <f t="shared" ref="AH42:AH70" si="1">SUM(E42:AF42)</f>
        <v>0</v>
      </c>
      <c r="AI42" s="148"/>
      <c r="AJ42" s="148">
        <v>0</v>
      </c>
      <c r="AK42" s="148"/>
      <c r="AL42" s="143"/>
      <c r="AM42" s="143"/>
      <c r="AN42" s="143"/>
      <c r="AO42" s="143"/>
      <c r="AP42" s="143"/>
      <c r="AQ42" s="143"/>
      <c r="AR42" s="143">
        <f>+'GVFund Rev'!U42+'GVFund Rev'!W42-'GVFund Exp'!AH42-'GVFund Exp'!AL42+AJ42+AN42+AP42-'GV Fund BS'!S42</f>
        <v>0</v>
      </c>
      <c r="AS42" s="148"/>
    </row>
    <row r="43" spans="1:45" s="44" customFormat="1" ht="12.75" customHeight="1">
      <c r="A43" s="44" t="s">
        <v>62</v>
      </c>
      <c r="C43" s="35" t="s">
        <v>15</v>
      </c>
      <c r="E43" s="45">
        <v>20015769</v>
      </c>
      <c r="F43" s="48"/>
      <c r="G43" s="45">
        <v>36419061</v>
      </c>
      <c r="H43" s="48"/>
      <c r="I43" s="45">
        <v>7385194</v>
      </c>
      <c r="J43" s="48"/>
      <c r="K43" s="45">
        <v>6052678</v>
      </c>
      <c r="L43" s="48"/>
      <c r="M43" s="45">
        <v>4447301</v>
      </c>
      <c r="N43" s="48"/>
      <c r="O43" s="45">
        <v>2531251</v>
      </c>
      <c r="P43" s="48"/>
      <c r="Q43" s="45">
        <v>0</v>
      </c>
      <c r="R43" s="48"/>
      <c r="S43" s="45">
        <v>13342502</v>
      </c>
      <c r="T43" s="48"/>
      <c r="U43" s="45">
        <v>0</v>
      </c>
      <c r="V43" s="48"/>
      <c r="W43" s="48"/>
      <c r="X43" s="35"/>
      <c r="Z43" s="35"/>
      <c r="AA43" s="35"/>
      <c r="AB43" s="45">
        <v>3672211</v>
      </c>
      <c r="AC43" s="65"/>
      <c r="AD43" s="45">
        <v>1259708</v>
      </c>
      <c r="AE43" s="65"/>
      <c r="AF43" s="45">
        <v>0</v>
      </c>
      <c r="AG43" s="65"/>
      <c r="AH43" s="48">
        <f t="shared" si="1"/>
        <v>95125675</v>
      </c>
      <c r="AI43" s="48"/>
      <c r="AJ43" s="48">
        <v>0</v>
      </c>
      <c r="AK43" s="48"/>
      <c r="AL43" s="45">
        <v>62776</v>
      </c>
      <c r="AM43" s="45"/>
      <c r="AN43" s="45">
        <v>37089893</v>
      </c>
      <c r="AO43" s="45"/>
      <c r="AP43" s="45">
        <v>39518</v>
      </c>
      <c r="AQ43" s="45"/>
      <c r="AR43" s="45">
        <f>+'GVFund Rev'!U43+'GVFund Rev'!W43-'GVFund Exp'!AH43-'GVFund Exp'!AL43+AJ43+AN43+AP43-'GV Fund BS'!S43</f>
        <v>0</v>
      </c>
      <c r="AS43" s="48"/>
    </row>
    <row r="44" spans="1:45" s="137" customFormat="1" ht="12.75" hidden="1" customHeight="1">
      <c r="A44" s="142" t="s">
        <v>486</v>
      </c>
      <c r="C44" s="142" t="s">
        <v>111</v>
      </c>
      <c r="E44" s="143">
        <v>0</v>
      </c>
      <c r="F44" s="148"/>
      <c r="G44" s="143">
        <v>0</v>
      </c>
      <c r="H44" s="148"/>
      <c r="I44" s="143">
        <v>0</v>
      </c>
      <c r="J44" s="148"/>
      <c r="K44" s="143">
        <v>0</v>
      </c>
      <c r="L44" s="148"/>
      <c r="M44" s="143">
        <v>0</v>
      </c>
      <c r="N44" s="148"/>
      <c r="O44" s="143">
        <v>0</v>
      </c>
      <c r="P44" s="148"/>
      <c r="Q44" s="143">
        <v>0</v>
      </c>
      <c r="R44" s="148"/>
      <c r="S44" s="143">
        <v>0</v>
      </c>
      <c r="T44" s="148"/>
      <c r="U44" s="143">
        <v>0</v>
      </c>
      <c r="V44" s="148"/>
      <c r="W44" s="148"/>
      <c r="X44" s="142"/>
      <c r="Z44" s="142"/>
      <c r="AA44" s="142"/>
      <c r="AB44" s="143">
        <v>0</v>
      </c>
      <c r="AC44" s="141"/>
      <c r="AD44" s="143">
        <v>0</v>
      </c>
      <c r="AE44" s="141"/>
      <c r="AF44" s="143">
        <v>0</v>
      </c>
      <c r="AG44" s="141"/>
      <c r="AH44" s="148">
        <f>SUM(E44:AF44)</f>
        <v>0</v>
      </c>
      <c r="AI44" s="148"/>
      <c r="AJ44" s="148">
        <v>0</v>
      </c>
      <c r="AK44" s="148"/>
      <c r="AL44" s="143">
        <v>0</v>
      </c>
      <c r="AM44" s="143"/>
      <c r="AN44" s="143">
        <v>0</v>
      </c>
      <c r="AO44" s="143"/>
      <c r="AP44" s="143">
        <v>0</v>
      </c>
      <c r="AQ44" s="143"/>
      <c r="AR44" s="143">
        <f>+'GVFund Rev'!U44+'GVFund Rev'!W44-'GVFund Exp'!AH44-'GVFund Exp'!AL44+AJ44+AN44+AP44-'GV Fund BS'!S44</f>
        <v>0</v>
      </c>
      <c r="AS44" s="148"/>
    </row>
    <row r="45" spans="1:45" s="44" customFormat="1" ht="12.75" customHeight="1">
      <c r="A45" s="35" t="s">
        <v>63</v>
      </c>
      <c r="C45" s="35" t="s">
        <v>64</v>
      </c>
      <c r="E45" s="45">
        <v>1664602</v>
      </c>
      <c r="F45" s="48"/>
      <c r="G45" s="45">
        <v>2976202</v>
      </c>
      <c r="H45" s="48"/>
      <c r="I45" s="45">
        <v>499313</v>
      </c>
      <c r="J45" s="48"/>
      <c r="K45" s="45">
        <v>68768</v>
      </c>
      <c r="L45" s="48"/>
      <c r="M45" s="45">
        <v>3436368</v>
      </c>
      <c r="N45" s="48"/>
      <c r="O45" s="45">
        <v>785829</v>
      </c>
      <c r="P45" s="48"/>
      <c r="Q45" s="45">
        <v>406568</v>
      </c>
      <c r="R45" s="48"/>
      <c r="S45" s="45">
        <v>0</v>
      </c>
      <c r="T45" s="48"/>
      <c r="U45" s="45">
        <v>0</v>
      </c>
      <c r="V45" s="48"/>
      <c r="W45" s="48"/>
      <c r="X45" s="35"/>
      <c r="Z45" s="35"/>
      <c r="AA45" s="35"/>
      <c r="AB45" s="45">
        <v>12037</v>
      </c>
      <c r="AC45" s="65"/>
      <c r="AD45" s="45">
        <v>65952</v>
      </c>
      <c r="AE45" s="65"/>
      <c r="AF45" s="45">
        <v>0</v>
      </c>
      <c r="AG45" s="65"/>
      <c r="AH45" s="48">
        <f t="shared" si="1"/>
        <v>9915639</v>
      </c>
      <c r="AI45" s="48"/>
      <c r="AJ45" s="48">
        <v>0</v>
      </c>
      <c r="AK45" s="48"/>
      <c r="AL45" s="45">
        <v>0</v>
      </c>
      <c r="AM45" s="45"/>
      <c r="AN45" s="45">
        <v>1906036</v>
      </c>
      <c r="AO45" s="45"/>
      <c r="AP45" s="45">
        <v>0</v>
      </c>
      <c r="AQ45" s="45"/>
      <c r="AR45" s="45">
        <f>+'GVFund Rev'!U45+'GVFund Rev'!W45-'GVFund Exp'!AH45-'GVFund Exp'!AL45+AJ45+AN45+AP45-'GV Fund BS'!S45</f>
        <v>0</v>
      </c>
      <c r="AS45" s="48"/>
    </row>
    <row r="46" spans="1:45" s="44" customFormat="1" ht="12.75" customHeight="1">
      <c r="A46" s="35" t="s">
        <v>65</v>
      </c>
      <c r="C46" s="35" t="s">
        <v>66</v>
      </c>
      <c r="E46" s="45">
        <v>4746269</v>
      </c>
      <c r="F46" s="48"/>
      <c r="G46" s="45">
        <v>5714067</v>
      </c>
      <c r="H46" s="48"/>
      <c r="I46" s="45">
        <v>268817</v>
      </c>
      <c r="J46" s="48"/>
      <c r="K46" s="45">
        <v>0</v>
      </c>
      <c r="L46" s="48"/>
      <c r="M46" s="45">
        <v>1913893</v>
      </c>
      <c r="N46" s="48"/>
      <c r="O46" s="45">
        <v>283056</v>
      </c>
      <c r="P46" s="48"/>
      <c r="Q46" s="45">
        <v>0</v>
      </c>
      <c r="R46" s="48"/>
      <c r="S46" s="45">
        <v>4547690</v>
      </c>
      <c r="T46" s="48"/>
      <c r="U46" s="45">
        <v>0</v>
      </c>
      <c r="V46" s="48"/>
      <c r="W46" s="48"/>
      <c r="X46" s="35"/>
      <c r="Z46" s="35"/>
      <c r="AA46" s="35"/>
      <c r="AB46" s="45">
        <v>976706</v>
      </c>
      <c r="AC46" s="65"/>
      <c r="AD46" s="45">
        <v>1133500</v>
      </c>
      <c r="AE46" s="65"/>
      <c r="AF46" s="45">
        <v>0</v>
      </c>
      <c r="AG46" s="65"/>
      <c r="AH46" s="48">
        <f t="shared" si="1"/>
        <v>19583998</v>
      </c>
      <c r="AI46" s="48"/>
      <c r="AJ46" s="48">
        <v>0</v>
      </c>
      <c r="AK46" s="48"/>
      <c r="AL46" s="45">
        <v>2725000</v>
      </c>
      <c r="AM46" s="45"/>
      <c r="AN46" s="45">
        <v>20943082</v>
      </c>
      <c r="AO46" s="45"/>
      <c r="AP46" s="45">
        <v>0</v>
      </c>
      <c r="AQ46" s="45"/>
      <c r="AR46" s="45">
        <f>+'GVFund Rev'!U46+'GVFund Rev'!W46-'GVFund Exp'!AH46-'GVFund Exp'!AL46+AJ46+AN46+AP46-'GV Fund BS'!S46</f>
        <v>0</v>
      </c>
      <c r="AS46" s="48"/>
    </row>
    <row r="47" spans="1:45" s="44" customFormat="1" ht="12.75" customHeight="1">
      <c r="A47" s="35" t="s">
        <v>67</v>
      </c>
      <c r="C47" s="35" t="s">
        <v>375</v>
      </c>
      <c r="E47" s="45">
        <v>3485581</v>
      </c>
      <c r="F47" s="48"/>
      <c r="G47" s="45">
        <v>2360184</v>
      </c>
      <c r="H47" s="48"/>
      <c r="I47" s="45">
        <v>291855</v>
      </c>
      <c r="J47" s="48"/>
      <c r="K47" s="45">
        <v>95945</v>
      </c>
      <c r="L47" s="48"/>
      <c r="M47" s="45">
        <v>1109827</v>
      </c>
      <c r="N47" s="48"/>
      <c r="O47" s="45">
        <v>239053</v>
      </c>
      <c r="P47" s="48"/>
      <c r="Q47" s="45">
        <v>13650</v>
      </c>
      <c r="R47" s="48"/>
      <c r="S47" s="45">
        <v>1404306</v>
      </c>
      <c r="T47" s="48"/>
      <c r="U47" s="45">
        <v>0</v>
      </c>
      <c r="V47" s="48"/>
      <c r="W47" s="48"/>
      <c r="X47" s="35"/>
      <c r="Z47" s="35"/>
      <c r="AA47" s="35"/>
      <c r="AB47" s="45">
        <v>251769</v>
      </c>
      <c r="AC47" s="65"/>
      <c r="AD47" s="45">
        <v>66494</v>
      </c>
      <c r="AE47" s="65"/>
      <c r="AF47" s="45">
        <v>0</v>
      </c>
      <c r="AG47" s="65"/>
      <c r="AH47" s="48">
        <f t="shared" si="1"/>
        <v>9318664</v>
      </c>
      <c r="AI47" s="48"/>
      <c r="AJ47" s="48">
        <v>0</v>
      </c>
      <c r="AK47" s="48"/>
      <c r="AL47" s="45">
        <v>3092230</v>
      </c>
      <c r="AM47" s="45"/>
      <c r="AN47" s="45">
        <v>4318766</v>
      </c>
      <c r="AO47" s="45"/>
      <c r="AP47" s="45">
        <v>0</v>
      </c>
      <c r="AQ47" s="45"/>
      <c r="AR47" s="45">
        <f>+'GVFund Rev'!U47+'GVFund Rev'!W47-'GVFund Exp'!AH47-'GVFund Exp'!AL47+AJ47+AN47+AP47-'GV Fund BS'!S47</f>
        <v>0</v>
      </c>
      <c r="AS47" s="48"/>
    </row>
    <row r="48" spans="1:45" s="44" customFormat="1" ht="12.75" customHeight="1">
      <c r="A48" s="35" t="s">
        <v>68</v>
      </c>
      <c r="C48" s="35" t="s">
        <v>45</v>
      </c>
      <c r="E48" s="45">
        <v>1353540</v>
      </c>
      <c r="F48" s="48"/>
      <c r="G48" s="45">
        <v>1913650</v>
      </c>
      <c r="H48" s="48"/>
      <c r="I48" s="45">
        <v>386451</v>
      </c>
      <c r="J48" s="48"/>
      <c r="K48" s="45">
        <v>6894</v>
      </c>
      <c r="L48" s="48"/>
      <c r="M48" s="45">
        <v>619016</v>
      </c>
      <c r="N48" s="48"/>
      <c r="O48" s="45">
        <v>141490</v>
      </c>
      <c r="P48" s="48"/>
      <c r="Q48" s="45">
        <v>0</v>
      </c>
      <c r="R48" s="48"/>
      <c r="S48" s="45">
        <v>160154</v>
      </c>
      <c r="T48" s="48"/>
      <c r="U48" s="45">
        <v>0</v>
      </c>
      <c r="V48" s="48"/>
      <c r="W48" s="48"/>
      <c r="X48" s="35"/>
      <c r="Z48" s="35"/>
      <c r="AA48" s="35"/>
      <c r="AB48" s="45">
        <v>37979</v>
      </c>
      <c r="AC48" s="65"/>
      <c r="AD48" s="45">
        <v>7676</v>
      </c>
      <c r="AE48" s="65"/>
      <c r="AF48" s="45">
        <v>0</v>
      </c>
      <c r="AG48" s="65"/>
      <c r="AH48" s="48">
        <f t="shared" si="1"/>
        <v>4626850</v>
      </c>
      <c r="AI48" s="48"/>
      <c r="AJ48" s="48">
        <v>0</v>
      </c>
      <c r="AK48" s="48"/>
      <c r="AL48" s="45">
        <v>54155</v>
      </c>
      <c r="AM48" s="45"/>
      <c r="AN48" s="45">
        <v>1172861</v>
      </c>
      <c r="AO48" s="45"/>
      <c r="AP48" s="45">
        <v>0</v>
      </c>
      <c r="AQ48" s="45"/>
      <c r="AR48" s="45">
        <f>+'GVFund Rev'!U48+'GVFund Rev'!W48-'GVFund Exp'!AH48-'GVFund Exp'!AL48+AJ48+AN48+AP48-'GV Fund BS'!S48</f>
        <v>0</v>
      </c>
      <c r="AS48" s="48"/>
    </row>
    <row r="49" spans="1:45" s="44" customFormat="1" ht="12.75" customHeight="1">
      <c r="A49" s="35" t="s">
        <v>69</v>
      </c>
      <c r="C49" s="35" t="s">
        <v>70</v>
      </c>
      <c r="E49" s="45">
        <v>5005119</v>
      </c>
      <c r="F49" s="48"/>
      <c r="G49" s="45">
        <f>5013183+4563369</f>
        <v>9576552</v>
      </c>
      <c r="H49" s="48"/>
      <c r="I49" s="45">
        <v>489853</v>
      </c>
      <c r="J49" s="48"/>
      <c r="K49" s="45">
        <v>0</v>
      </c>
      <c r="L49" s="48"/>
      <c r="M49" s="45">
        <v>4643236</v>
      </c>
      <c r="N49" s="48"/>
      <c r="O49" s="45">
        <v>900563</v>
      </c>
      <c r="P49" s="48"/>
      <c r="Q49" s="45">
        <v>1069275</v>
      </c>
      <c r="R49" s="48"/>
      <c r="S49" s="45">
        <v>1599605</v>
      </c>
      <c r="T49" s="48"/>
      <c r="U49" s="45">
        <v>0</v>
      </c>
      <c r="V49" s="48"/>
      <c r="W49" s="48"/>
      <c r="X49" s="35"/>
      <c r="Z49" s="35"/>
      <c r="AA49" s="35"/>
      <c r="AB49" s="45">
        <v>721505</v>
      </c>
      <c r="AC49" s="65"/>
      <c r="AD49" s="45">
        <v>93755</v>
      </c>
      <c r="AE49" s="65"/>
      <c r="AF49" s="45">
        <v>0</v>
      </c>
      <c r="AG49" s="65"/>
      <c r="AH49" s="48">
        <f t="shared" si="1"/>
        <v>24099463</v>
      </c>
      <c r="AI49" s="48"/>
      <c r="AJ49" s="48">
        <v>0</v>
      </c>
      <c r="AK49" s="48"/>
      <c r="AL49" s="45">
        <v>2257510</v>
      </c>
      <c r="AM49" s="45"/>
      <c r="AN49" s="45">
        <v>7297326</v>
      </c>
      <c r="AO49" s="45"/>
      <c r="AP49" s="45">
        <v>0</v>
      </c>
      <c r="AQ49" s="45"/>
      <c r="AR49" s="45">
        <f>+'GVFund Rev'!U49+'GVFund Rev'!W49-'GVFund Exp'!AH49-'GVFund Exp'!AL49+AJ49+AN49+AP49-'GV Fund BS'!S49</f>
        <v>0</v>
      </c>
      <c r="AS49" s="48"/>
    </row>
    <row r="50" spans="1:45" s="44" customFormat="1" ht="12.75" customHeight="1">
      <c r="A50" s="35" t="s">
        <v>71</v>
      </c>
      <c r="C50" s="35" t="s">
        <v>45</v>
      </c>
      <c r="E50" s="45">
        <v>51621000</v>
      </c>
      <c r="F50" s="48"/>
      <c r="G50" s="45">
        <f>171533000+38371000</f>
        <v>209904000</v>
      </c>
      <c r="H50" s="48"/>
      <c r="I50" s="45">
        <v>8934000</v>
      </c>
      <c r="J50" s="48"/>
      <c r="K50" s="45">
        <f>33461000+86334000</f>
        <v>119795000</v>
      </c>
      <c r="L50" s="48"/>
      <c r="M50" s="45">
        <f>8422000+43820000</f>
        <v>52242000</v>
      </c>
      <c r="N50" s="48"/>
      <c r="O50" s="45">
        <v>30746000</v>
      </c>
      <c r="P50" s="48"/>
      <c r="Q50" s="45">
        <v>0</v>
      </c>
      <c r="R50" s="48"/>
      <c r="S50" s="45">
        <v>114357000</v>
      </c>
      <c r="T50" s="48"/>
      <c r="U50" s="45">
        <v>0</v>
      </c>
      <c r="V50" s="48"/>
      <c r="W50" s="48"/>
      <c r="X50" s="35"/>
      <c r="Z50" s="35"/>
      <c r="AA50" s="35"/>
      <c r="AB50" s="45">
        <v>53079000</v>
      </c>
      <c r="AC50" s="65"/>
      <c r="AD50" s="45">
        <v>19298000</v>
      </c>
      <c r="AE50" s="65"/>
      <c r="AF50" s="45">
        <v>1059000</v>
      </c>
      <c r="AG50" s="65"/>
      <c r="AH50" s="48">
        <f t="shared" si="1"/>
        <v>661035000</v>
      </c>
      <c r="AI50" s="48"/>
      <c r="AJ50" s="48">
        <v>0</v>
      </c>
      <c r="AK50" s="48"/>
      <c r="AL50" s="45">
        <f>54308000+82031000</f>
        <v>136339000</v>
      </c>
      <c r="AM50" s="45"/>
      <c r="AN50" s="45">
        <v>360630000</v>
      </c>
      <c r="AO50" s="45"/>
      <c r="AP50" s="45">
        <v>0</v>
      </c>
      <c r="AQ50" s="45"/>
      <c r="AR50" s="45">
        <f>+'GVFund Rev'!U50+'GVFund Rev'!W50-'GVFund Exp'!AH50-'GVFund Exp'!AL50+AJ50+AN50+AP50-'GV Fund BS'!S50</f>
        <v>0</v>
      </c>
      <c r="AS50" s="48"/>
    </row>
    <row r="51" spans="1:45" s="44" customFormat="1" ht="12.75" customHeight="1">
      <c r="A51" s="44" t="s">
        <v>464</v>
      </c>
      <c r="C51" s="44" t="s">
        <v>465</v>
      </c>
      <c r="E51" s="45">
        <v>2681806</v>
      </c>
      <c r="F51" s="48"/>
      <c r="G51" s="45">
        <f>2564285+1613256+137286</f>
        <v>4314827</v>
      </c>
      <c r="H51" s="48"/>
      <c r="I51" s="45">
        <f>337269+398778</f>
        <v>736047</v>
      </c>
      <c r="J51" s="48"/>
      <c r="K51" s="45">
        <v>173250</v>
      </c>
      <c r="L51" s="48"/>
      <c r="M51" s="45">
        <v>1025585</v>
      </c>
      <c r="N51" s="48"/>
      <c r="O51" s="45">
        <f>103970+7500+21894</f>
        <v>133364</v>
      </c>
      <c r="P51" s="48"/>
      <c r="Q51" s="45">
        <v>0</v>
      </c>
      <c r="R51" s="48"/>
      <c r="S51" s="45">
        <v>1566821</v>
      </c>
      <c r="T51" s="48"/>
      <c r="U51" s="45">
        <v>0</v>
      </c>
      <c r="V51" s="48"/>
      <c r="W51" s="48"/>
      <c r="X51" s="35"/>
      <c r="Z51" s="35"/>
      <c r="AA51" s="35"/>
      <c r="AB51" s="45">
        <v>296497</v>
      </c>
      <c r="AC51" s="65"/>
      <c r="AD51" s="45">
        <v>278991</v>
      </c>
      <c r="AE51" s="65"/>
      <c r="AF51" s="45">
        <v>34712</v>
      </c>
      <c r="AG51" s="65"/>
      <c r="AH51" s="48">
        <f t="shared" si="1"/>
        <v>11241900</v>
      </c>
      <c r="AI51" s="48"/>
      <c r="AJ51" s="48">
        <v>0</v>
      </c>
      <c r="AK51" s="48"/>
      <c r="AL51" s="45">
        <v>10000</v>
      </c>
      <c r="AM51" s="45"/>
      <c r="AN51" s="45">
        <v>5531654</v>
      </c>
      <c r="AO51" s="45"/>
      <c r="AP51" s="45">
        <v>0</v>
      </c>
      <c r="AQ51" s="45"/>
      <c r="AR51" s="45">
        <f>+'GVFund Rev'!U51+'GVFund Rev'!W51-'GVFund Exp'!AH51-'GVFund Exp'!AL51+AJ51+AN51+AP51-'GV Fund BS'!S51</f>
        <v>0</v>
      </c>
      <c r="AS51" s="48"/>
    </row>
    <row r="52" spans="1:45" s="44" customFormat="1" ht="12.75" customHeight="1">
      <c r="A52" s="35" t="s">
        <v>72</v>
      </c>
      <c r="C52" s="35" t="s">
        <v>66</v>
      </c>
      <c r="E52" s="45">
        <v>2673903</v>
      </c>
      <c r="F52" s="48"/>
      <c r="G52" s="45">
        <v>2906093</v>
      </c>
      <c r="H52" s="48"/>
      <c r="I52" s="45">
        <v>0</v>
      </c>
      <c r="J52" s="48"/>
      <c r="K52" s="45">
        <v>5101</v>
      </c>
      <c r="L52" s="48"/>
      <c r="M52" s="45">
        <v>1015617</v>
      </c>
      <c r="N52" s="48"/>
      <c r="O52" s="45">
        <v>0</v>
      </c>
      <c r="P52" s="48"/>
      <c r="Q52" s="45">
        <v>0</v>
      </c>
      <c r="R52" s="48"/>
      <c r="S52" s="45">
        <v>0</v>
      </c>
      <c r="T52" s="48"/>
      <c r="U52" s="45">
        <v>0</v>
      </c>
      <c r="V52" s="48"/>
      <c r="W52" s="48"/>
      <c r="X52" s="35"/>
      <c r="Z52" s="35"/>
      <c r="AA52" s="35"/>
      <c r="AB52" s="45">
        <v>347434</v>
      </c>
      <c r="AC52" s="65"/>
      <c r="AD52" s="45">
        <v>222743</v>
      </c>
      <c r="AE52" s="65"/>
      <c r="AF52" s="45">
        <v>0</v>
      </c>
      <c r="AG52" s="65"/>
      <c r="AH52" s="48">
        <f t="shared" si="1"/>
        <v>7170891</v>
      </c>
      <c r="AI52" s="48"/>
      <c r="AJ52" s="48">
        <v>0</v>
      </c>
      <c r="AK52" s="48"/>
      <c r="AL52" s="45">
        <v>1673038</v>
      </c>
      <c r="AM52" s="45"/>
      <c r="AN52" s="45">
        <v>3745533</v>
      </c>
      <c r="AO52" s="45"/>
      <c r="AP52" s="45">
        <v>0</v>
      </c>
      <c r="AQ52" s="45"/>
      <c r="AR52" s="45">
        <f>+'GVFund Rev'!U52+'GVFund Rev'!W52-'GVFund Exp'!AH52-'GVFund Exp'!AL52+AJ52+AN52+AP52-'GV Fund BS'!S52</f>
        <v>0</v>
      </c>
      <c r="AS52" s="48"/>
    </row>
    <row r="53" spans="1:45" s="44" customFormat="1" ht="12.75" customHeight="1">
      <c r="A53" s="35" t="s">
        <v>342</v>
      </c>
      <c r="C53" s="35" t="s">
        <v>27</v>
      </c>
      <c r="E53" s="45">
        <v>84578000</v>
      </c>
      <c r="F53" s="48"/>
      <c r="G53" s="45">
        <f>60700000+311606000</f>
        <v>372306000</v>
      </c>
      <c r="H53" s="48"/>
      <c r="I53" s="45">
        <f>53668000+13892000+33787000</f>
        <v>101347000</v>
      </c>
      <c r="J53" s="48"/>
      <c r="K53" s="45">
        <v>21014000</v>
      </c>
      <c r="L53" s="48"/>
      <c r="M53" s="45">
        <v>0</v>
      </c>
      <c r="N53" s="48"/>
      <c r="O53" s="45">
        <v>40494000</v>
      </c>
      <c r="P53" s="48"/>
      <c r="Q53" s="45">
        <f>9206000+3933000</f>
        <v>13139000</v>
      </c>
      <c r="R53" s="48"/>
      <c r="S53" s="45">
        <v>120680000</v>
      </c>
      <c r="T53" s="48"/>
      <c r="U53" s="45">
        <v>0</v>
      </c>
      <c r="V53" s="48"/>
      <c r="W53" s="48"/>
      <c r="X53" s="35"/>
      <c r="Z53" s="35"/>
      <c r="AA53" s="35"/>
      <c r="AB53" s="45">
        <v>44258000</v>
      </c>
      <c r="AC53" s="65"/>
      <c r="AD53" s="45">
        <v>30075000</v>
      </c>
      <c r="AE53" s="65"/>
      <c r="AF53" s="45">
        <v>2438000</v>
      </c>
      <c r="AG53" s="65"/>
      <c r="AH53" s="48">
        <f t="shared" si="1"/>
        <v>830329000</v>
      </c>
      <c r="AI53" s="48"/>
      <c r="AJ53" s="48">
        <v>0</v>
      </c>
      <c r="AK53" s="48"/>
      <c r="AL53" s="45">
        <f>61894000+18000+140457000</f>
        <v>202369000</v>
      </c>
      <c r="AM53" s="45"/>
      <c r="AN53" s="45">
        <v>416260000</v>
      </c>
      <c r="AO53" s="45"/>
      <c r="AP53" s="45">
        <v>0</v>
      </c>
      <c r="AQ53" s="45"/>
      <c r="AR53" s="45">
        <f>+'GVFund Rev'!U53+'GVFund Rev'!W53-'GVFund Exp'!AH53-'GVFund Exp'!AL53+AJ53+AN53+AP53-'GV Fund BS'!S53</f>
        <v>0</v>
      </c>
      <c r="AS53" s="48"/>
    </row>
    <row r="54" spans="1:45" s="44" customFormat="1" ht="12.75" customHeight="1">
      <c r="A54" s="35" t="s">
        <v>74</v>
      </c>
      <c r="C54" s="35" t="s">
        <v>27</v>
      </c>
      <c r="E54" s="45">
        <v>14924067</v>
      </c>
      <c r="F54" s="48"/>
      <c r="G54" s="45">
        <v>17607171</v>
      </c>
      <c r="H54" s="48"/>
      <c r="I54" s="45">
        <v>5909549</v>
      </c>
      <c r="J54" s="48"/>
      <c r="K54" s="45">
        <v>414663</v>
      </c>
      <c r="L54" s="48"/>
      <c r="M54" s="45">
        <v>3841022</v>
      </c>
      <c r="N54" s="48"/>
      <c r="O54" s="45">
        <v>3460288</v>
      </c>
      <c r="P54" s="48"/>
      <c r="Q54" s="45">
        <v>2618865</v>
      </c>
      <c r="R54" s="48"/>
      <c r="S54" s="45">
        <v>4353749</v>
      </c>
      <c r="T54" s="48"/>
      <c r="U54" s="45">
        <v>0</v>
      </c>
      <c r="V54" s="48"/>
      <c r="W54" s="48"/>
      <c r="X54" s="35"/>
      <c r="Z54" s="35"/>
      <c r="AA54" s="35"/>
      <c r="AB54" s="45">
        <v>1858838</v>
      </c>
      <c r="AC54" s="65"/>
      <c r="AD54" s="45">
        <v>1045066</v>
      </c>
      <c r="AE54" s="65"/>
      <c r="AF54" s="45">
        <v>0</v>
      </c>
      <c r="AG54" s="65"/>
      <c r="AH54" s="48">
        <f t="shared" si="1"/>
        <v>56033278</v>
      </c>
      <c r="AI54" s="48"/>
      <c r="AJ54" s="48">
        <v>0</v>
      </c>
      <c r="AK54" s="48"/>
      <c r="AL54" s="45">
        <v>5340318</v>
      </c>
      <c r="AM54" s="45"/>
      <c r="AN54" s="45">
        <v>11991144</v>
      </c>
      <c r="AO54" s="45"/>
      <c r="AP54" s="45">
        <v>0</v>
      </c>
      <c r="AQ54" s="45"/>
      <c r="AR54" s="45">
        <f>+'GVFund Rev'!U54+'GVFund Rev'!W54-'GVFund Exp'!AH54-'GVFund Exp'!AL54+AJ54+AN54+AP54-'GV Fund BS'!S54</f>
        <v>0</v>
      </c>
      <c r="AS54" s="48"/>
    </row>
    <row r="55" spans="1:45" s="46" customFormat="1" ht="12.75" customHeight="1">
      <c r="A55" s="35" t="s">
        <v>75</v>
      </c>
      <c r="B55" s="44"/>
      <c r="C55" s="35" t="s">
        <v>76</v>
      </c>
      <c r="D55" s="44"/>
      <c r="E55" s="45">
        <v>1143042</v>
      </c>
      <c r="F55" s="48"/>
      <c r="G55" s="45">
        <v>2505032</v>
      </c>
      <c r="H55" s="48"/>
      <c r="I55" s="45">
        <v>280950</v>
      </c>
      <c r="J55" s="48"/>
      <c r="K55" s="45">
        <v>752520</v>
      </c>
      <c r="L55" s="48"/>
      <c r="M55" s="45">
        <v>298820</v>
      </c>
      <c r="N55" s="48"/>
      <c r="O55" s="45">
        <v>128763</v>
      </c>
      <c r="P55" s="48"/>
      <c r="Q55" s="45">
        <v>63630</v>
      </c>
      <c r="R55" s="48"/>
      <c r="S55" s="45">
        <v>994337</v>
      </c>
      <c r="T55" s="48"/>
      <c r="U55" s="45">
        <v>0</v>
      </c>
      <c r="V55" s="48"/>
      <c r="W55" s="48"/>
      <c r="X55" s="35"/>
      <c r="Y55" s="44"/>
      <c r="Z55" s="35"/>
      <c r="AA55" s="35"/>
      <c r="AB55" s="45">
        <v>397726</v>
      </c>
      <c r="AC55" s="65"/>
      <c r="AD55" s="45">
        <v>188756</v>
      </c>
      <c r="AE55" s="65"/>
      <c r="AF55" s="45">
        <v>0</v>
      </c>
      <c r="AG55" s="65"/>
      <c r="AH55" s="48">
        <f t="shared" si="1"/>
        <v>6753576</v>
      </c>
      <c r="AI55" s="48"/>
      <c r="AJ55" s="48">
        <v>0</v>
      </c>
      <c r="AK55" s="48"/>
      <c r="AL55" s="45">
        <v>1017880</v>
      </c>
      <c r="AM55" s="45"/>
      <c r="AN55" s="45">
        <v>2815583</v>
      </c>
      <c r="AO55" s="45"/>
      <c r="AP55" s="45">
        <v>0</v>
      </c>
      <c r="AQ55" s="45"/>
      <c r="AR55" s="45">
        <f>+'GVFund Rev'!U55+'GVFund Rev'!W55-'GVFund Exp'!AH55-'GVFund Exp'!AL55+AJ55+AN55+AP55-'GV Fund BS'!S55</f>
        <v>0</v>
      </c>
      <c r="AS55" s="48"/>
    </row>
    <row r="56" spans="1:45" s="44" customFormat="1" ht="12.75" customHeight="1">
      <c r="A56" s="35" t="s">
        <v>77</v>
      </c>
      <c r="C56" s="35" t="s">
        <v>43</v>
      </c>
      <c r="E56" s="45">
        <v>105466000</v>
      </c>
      <c r="F56" s="48"/>
      <c r="G56" s="45">
        <f>101363000+436945000</f>
        <v>538308000</v>
      </c>
      <c r="H56" s="48"/>
      <c r="I56" s="45">
        <v>64481000</v>
      </c>
      <c r="J56" s="48"/>
      <c r="K56" s="45">
        <v>45418000</v>
      </c>
      <c r="L56" s="48"/>
      <c r="M56" s="45">
        <v>0</v>
      </c>
      <c r="N56" s="48"/>
      <c r="O56" s="45">
        <v>93952000</v>
      </c>
      <c r="P56" s="48"/>
      <c r="Q56" s="45">
        <v>0</v>
      </c>
      <c r="R56" s="48"/>
      <c r="S56" s="45">
        <v>127650000</v>
      </c>
      <c r="T56" s="48"/>
      <c r="U56" s="45">
        <v>0</v>
      </c>
      <c r="V56" s="48"/>
      <c r="W56" s="48"/>
      <c r="X56" s="35"/>
      <c r="Z56" s="35"/>
      <c r="AA56" s="35"/>
      <c r="AB56" s="45">
        <v>94263000</v>
      </c>
      <c r="AC56" s="65"/>
      <c r="AD56" s="45">
        <v>43754000</v>
      </c>
      <c r="AE56" s="65"/>
      <c r="AF56" s="45">
        <v>0</v>
      </c>
      <c r="AG56" s="65"/>
      <c r="AH56" s="48">
        <f t="shared" si="1"/>
        <v>1113292000</v>
      </c>
      <c r="AI56" s="48"/>
      <c r="AJ56" s="48">
        <v>0</v>
      </c>
      <c r="AK56" s="48"/>
      <c r="AL56" s="45">
        <v>124770000</v>
      </c>
      <c r="AM56" s="45"/>
      <c r="AN56" s="45">
        <v>583608000</v>
      </c>
      <c r="AO56" s="45"/>
      <c r="AP56" s="45">
        <v>0</v>
      </c>
      <c r="AQ56" s="45"/>
      <c r="AR56" s="45">
        <f>+'GVFund Rev'!U56+'GVFund Rev'!W56-'GVFund Exp'!AH56-'GVFund Exp'!AL56+AJ56+AN56+AP56-'GV Fund BS'!S56</f>
        <v>0</v>
      </c>
      <c r="AS56" s="48"/>
    </row>
    <row r="57" spans="1:45" s="44" customFormat="1" ht="12.75" customHeight="1">
      <c r="A57" s="35" t="s">
        <v>94</v>
      </c>
      <c r="C57" s="35" t="s">
        <v>94</v>
      </c>
      <c r="E57" s="45">
        <v>1029767</v>
      </c>
      <c r="F57" s="48"/>
      <c r="G57" s="45">
        <v>1489610</v>
      </c>
      <c r="H57" s="48"/>
      <c r="I57" s="45">
        <v>0</v>
      </c>
      <c r="J57" s="48"/>
      <c r="K57" s="45">
        <v>181246</v>
      </c>
      <c r="L57" s="48"/>
      <c r="M57" s="45">
        <v>366452</v>
      </c>
      <c r="N57" s="48"/>
      <c r="O57" s="45">
        <v>357115</v>
      </c>
      <c r="P57" s="48"/>
      <c r="Q57" s="45">
        <v>0</v>
      </c>
      <c r="R57" s="48"/>
      <c r="S57" s="45">
        <v>892373</v>
      </c>
      <c r="T57" s="48"/>
      <c r="U57" s="45">
        <v>0</v>
      </c>
      <c r="V57" s="48"/>
      <c r="W57" s="48"/>
      <c r="X57" s="35"/>
      <c r="Z57" s="35"/>
      <c r="AA57" s="35"/>
      <c r="AB57" s="45">
        <v>0</v>
      </c>
      <c r="AC57" s="65"/>
      <c r="AD57" s="45">
        <v>7676</v>
      </c>
      <c r="AE57" s="65"/>
      <c r="AF57" s="45">
        <v>0</v>
      </c>
      <c r="AG57" s="65"/>
      <c r="AH57" s="48">
        <f>SUM(E57:AF57)</f>
        <v>4324239</v>
      </c>
      <c r="AI57" s="48"/>
      <c r="AJ57" s="48">
        <v>0</v>
      </c>
      <c r="AK57" s="48"/>
      <c r="AL57" s="45">
        <v>2032293</v>
      </c>
      <c r="AM57" s="45"/>
      <c r="AN57" s="45">
        <v>2294054</v>
      </c>
      <c r="AO57" s="45"/>
      <c r="AP57" s="45">
        <v>0</v>
      </c>
      <c r="AQ57" s="45"/>
      <c r="AR57" s="45">
        <f>+'GVFund Rev'!U57+'GVFund Rev'!W57-'GVFund Exp'!AH57-'GVFund Exp'!AL57+AJ57+AN57+AP57-'GV Fund BS'!S57</f>
        <v>0</v>
      </c>
      <c r="AS57" s="48"/>
    </row>
    <row r="58" spans="1:45" s="44" customFormat="1" ht="12.75" customHeight="1">
      <c r="A58" s="35" t="s">
        <v>78</v>
      </c>
      <c r="C58" s="35" t="s">
        <v>19</v>
      </c>
      <c r="E58" s="45">
        <v>1187788</v>
      </c>
      <c r="F58" s="48"/>
      <c r="G58" s="45">
        <v>3680658</v>
      </c>
      <c r="H58" s="48"/>
      <c r="I58" s="45">
        <v>317665</v>
      </c>
      <c r="J58" s="48"/>
      <c r="K58" s="45">
        <v>429521</v>
      </c>
      <c r="L58" s="48"/>
      <c r="M58" s="45">
        <v>1592808</v>
      </c>
      <c r="N58" s="48"/>
      <c r="O58" s="45">
        <v>141403</v>
      </c>
      <c r="P58" s="48"/>
      <c r="Q58" s="45">
        <v>31975</v>
      </c>
      <c r="R58" s="48"/>
      <c r="S58" s="45">
        <v>418959</v>
      </c>
      <c r="T58" s="48"/>
      <c r="U58" s="45">
        <v>0</v>
      </c>
      <c r="V58" s="48"/>
      <c r="W58" s="48"/>
      <c r="X58" s="35"/>
      <c r="Z58" s="35"/>
      <c r="AA58" s="35"/>
      <c r="AB58" s="45">
        <f>412952+93500</f>
        <v>506452</v>
      </c>
      <c r="AC58" s="65"/>
      <c r="AD58" s="45">
        <v>190401</v>
      </c>
      <c r="AE58" s="65"/>
      <c r="AF58" s="45">
        <v>0</v>
      </c>
      <c r="AG58" s="65"/>
      <c r="AH58" s="48">
        <f t="shared" si="1"/>
        <v>8497630</v>
      </c>
      <c r="AI58" s="48"/>
      <c r="AJ58" s="48">
        <v>0</v>
      </c>
      <c r="AK58" s="48"/>
      <c r="AL58" s="45">
        <f>203500+116750</f>
        <v>320250</v>
      </c>
      <c r="AM58" s="45"/>
      <c r="AN58" s="45">
        <v>3261999</v>
      </c>
      <c r="AO58" s="45"/>
      <c r="AP58" s="45">
        <v>0</v>
      </c>
      <c r="AQ58" s="45"/>
      <c r="AR58" s="45">
        <f>+'GVFund Rev'!U58+'GVFund Rev'!W58-'GVFund Exp'!AH58-'GVFund Exp'!AL58+AJ58+AN58+AP58-'GV Fund BS'!S58</f>
        <v>0</v>
      </c>
      <c r="AS58" s="48"/>
    </row>
    <row r="59" spans="1:45" s="44" customFormat="1" ht="12.75" customHeight="1">
      <c r="A59" s="35" t="s">
        <v>79</v>
      </c>
      <c r="C59" s="35" t="s">
        <v>80</v>
      </c>
      <c r="E59" s="45">
        <v>745106</v>
      </c>
      <c r="F59" s="48"/>
      <c r="G59" s="45">
        <v>1966377</v>
      </c>
      <c r="H59" s="48"/>
      <c r="I59" s="45">
        <v>57157</v>
      </c>
      <c r="J59" s="48"/>
      <c r="K59" s="45">
        <v>43831</v>
      </c>
      <c r="L59" s="48"/>
      <c r="M59" s="45">
        <v>323347</v>
      </c>
      <c r="N59" s="48"/>
      <c r="O59" s="45">
        <v>22101</v>
      </c>
      <c r="P59" s="48"/>
      <c r="Q59" s="45">
        <v>15242</v>
      </c>
      <c r="R59" s="48"/>
      <c r="S59" s="45">
        <v>413621</v>
      </c>
      <c r="T59" s="48"/>
      <c r="U59" s="45">
        <v>0</v>
      </c>
      <c r="V59" s="48"/>
      <c r="W59" s="48"/>
      <c r="X59" s="35"/>
      <c r="Z59" s="35"/>
      <c r="AA59" s="35"/>
      <c r="AB59" s="45">
        <v>11175</v>
      </c>
      <c r="AC59" s="65"/>
      <c r="AD59" s="45">
        <v>738</v>
      </c>
      <c r="AE59" s="65"/>
      <c r="AF59" s="45">
        <v>0</v>
      </c>
      <c r="AG59" s="65"/>
      <c r="AH59" s="48">
        <f t="shared" si="1"/>
        <v>3598695</v>
      </c>
      <c r="AI59" s="48"/>
      <c r="AJ59" s="48">
        <v>0</v>
      </c>
      <c r="AK59" s="48"/>
      <c r="AL59" s="45">
        <v>120000</v>
      </c>
      <c r="AM59" s="45"/>
      <c r="AN59" s="45">
        <v>963188</v>
      </c>
      <c r="AO59" s="45"/>
      <c r="AP59" s="45">
        <v>0</v>
      </c>
      <c r="AQ59" s="45"/>
      <c r="AR59" s="45">
        <f>+'GVFund Rev'!U59+'GVFund Rev'!W59-'GVFund Exp'!AH59-'GVFund Exp'!AL59+AJ59+AN59+AP59-'GV Fund BS'!S59</f>
        <v>0</v>
      </c>
      <c r="AS59" s="48"/>
    </row>
    <row r="60" spans="1:45" s="44" customFormat="1" ht="12.75" customHeight="1">
      <c r="A60" s="35" t="s">
        <v>81</v>
      </c>
      <c r="C60" s="35" t="s">
        <v>81</v>
      </c>
      <c r="E60" s="45">
        <v>2424748</v>
      </c>
      <c r="F60" s="48"/>
      <c r="G60" s="45">
        <v>3200341</v>
      </c>
      <c r="H60" s="48"/>
      <c r="I60" s="45">
        <f>13040+449736</f>
        <v>462776</v>
      </c>
      <c r="J60" s="48"/>
      <c r="K60" s="45">
        <v>1282054</v>
      </c>
      <c r="L60" s="48"/>
      <c r="M60" s="45">
        <v>840083</v>
      </c>
      <c r="N60" s="48"/>
      <c r="O60" s="45">
        <v>184494</v>
      </c>
      <c r="P60" s="48"/>
      <c r="Q60" s="45">
        <v>0</v>
      </c>
      <c r="R60" s="48"/>
      <c r="S60" s="45">
        <v>249358</v>
      </c>
      <c r="T60" s="48"/>
      <c r="U60" s="45">
        <v>0</v>
      </c>
      <c r="V60" s="48"/>
      <c r="W60" s="48"/>
      <c r="X60" s="35"/>
      <c r="Z60" s="35"/>
      <c r="AA60" s="35"/>
      <c r="AB60" s="45">
        <v>221644</v>
      </c>
      <c r="AC60" s="65"/>
      <c r="AD60" s="45">
        <v>41672</v>
      </c>
      <c r="AE60" s="65"/>
      <c r="AF60" s="45">
        <v>0</v>
      </c>
      <c r="AG60" s="65"/>
      <c r="AH60" s="48">
        <f t="shared" si="1"/>
        <v>8907170</v>
      </c>
      <c r="AI60" s="48"/>
      <c r="AJ60" s="48">
        <v>0</v>
      </c>
      <c r="AK60" s="48"/>
      <c r="AL60" s="45">
        <v>97695</v>
      </c>
      <c r="AM60" s="45"/>
      <c r="AN60" s="45">
        <v>1785537</v>
      </c>
      <c r="AO60" s="45"/>
      <c r="AP60" s="45">
        <v>0</v>
      </c>
      <c r="AQ60" s="45"/>
      <c r="AR60" s="45">
        <f>+'GVFund Rev'!U60+'GVFund Rev'!W60-'GVFund Exp'!AH60-'GVFund Exp'!AL60+AJ60+AN60+AP60-'GV Fund BS'!S60</f>
        <v>0</v>
      </c>
      <c r="AS60" s="48"/>
    </row>
    <row r="61" spans="1:45" s="44" customFormat="1" ht="12.75" customHeight="1">
      <c r="A61" s="47" t="s">
        <v>466</v>
      </c>
      <c r="B61" s="47"/>
      <c r="C61" s="47" t="s">
        <v>57</v>
      </c>
      <c r="E61" s="45">
        <v>328804</v>
      </c>
      <c r="F61" s="48"/>
      <c r="G61" s="45">
        <v>1122441</v>
      </c>
      <c r="H61" s="48"/>
      <c r="I61" s="45">
        <v>742330</v>
      </c>
      <c r="J61" s="48"/>
      <c r="K61" s="45">
        <v>0</v>
      </c>
      <c r="L61" s="48"/>
      <c r="M61" s="45">
        <v>407351</v>
      </c>
      <c r="N61" s="48"/>
      <c r="O61" s="45">
        <v>99797</v>
      </c>
      <c r="P61" s="48"/>
      <c r="Q61" s="45">
        <v>0</v>
      </c>
      <c r="R61" s="48"/>
      <c r="S61" s="45">
        <v>192059</v>
      </c>
      <c r="T61" s="48"/>
      <c r="U61" s="45">
        <v>0</v>
      </c>
      <c r="V61" s="48"/>
      <c r="W61" s="48"/>
      <c r="X61" s="35"/>
      <c r="Z61" s="35"/>
      <c r="AA61" s="35"/>
      <c r="AB61" s="45">
        <v>107548</v>
      </c>
      <c r="AC61" s="65"/>
      <c r="AD61" s="45">
        <v>21187</v>
      </c>
      <c r="AE61" s="65"/>
      <c r="AF61" s="45">
        <v>0</v>
      </c>
      <c r="AG61" s="65"/>
      <c r="AH61" s="48">
        <f t="shared" si="1"/>
        <v>3021517</v>
      </c>
      <c r="AI61" s="48"/>
      <c r="AJ61" s="48">
        <v>0</v>
      </c>
      <c r="AK61" s="48"/>
      <c r="AL61" s="45">
        <v>76415</v>
      </c>
      <c r="AM61" s="45"/>
      <c r="AN61" s="45">
        <v>1271125</v>
      </c>
      <c r="AO61" s="45"/>
      <c r="AP61" s="45">
        <v>0</v>
      </c>
      <c r="AQ61" s="45"/>
      <c r="AR61" s="45">
        <f>+'GVFund Rev'!U61+'GVFund Rev'!W61-'GVFund Exp'!AH61-'GVFund Exp'!AL61+AJ61+AN61+AP61-'GV Fund BS'!S61</f>
        <v>0</v>
      </c>
      <c r="AS61" s="48"/>
    </row>
    <row r="62" spans="1:45" s="46" customFormat="1" ht="12.75" customHeight="1">
      <c r="A62" s="35" t="s">
        <v>82</v>
      </c>
      <c r="B62" s="44"/>
      <c r="C62" s="35" t="s">
        <v>13</v>
      </c>
      <c r="D62" s="44"/>
      <c r="E62" s="45">
        <v>10504859</v>
      </c>
      <c r="F62" s="48"/>
      <c r="G62" s="45">
        <v>19989704</v>
      </c>
      <c r="H62" s="48"/>
      <c r="I62" s="45">
        <v>2205502</v>
      </c>
      <c r="J62" s="48"/>
      <c r="K62" s="45">
        <v>0</v>
      </c>
      <c r="L62" s="48"/>
      <c r="M62" s="45">
        <v>4110655</v>
      </c>
      <c r="N62" s="48"/>
      <c r="O62" s="45">
        <v>2204179</v>
      </c>
      <c r="P62" s="48"/>
      <c r="Q62" s="45">
        <v>0</v>
      </c>
      <c r="R62" s="48"/>
      <c r="S62" s="45">
        <v>9124330</v>
      </c>
      <c r="T62" s="48"/>
      <c r="U62" s="45">
        <v>0</v>
      </c>
      <c r="V62" s="48"/>
      <c r="W62" s="48"/>
      <c r="X62" s="35"/>
      <c r="Y62" s="44"/>
      <c r="Z62" s="35"/>
      <c r="AA62" s="35"/>
      <c r="AB62" s="45">
        <v>1304266</v>
      </c>
      <c r="AC62" s="65"/>
      <c r="AD62" s="45">
        <v>590418</v>
      </c>
      <c r="AE62" s="65"/>
      <c r="AF62" s="45">
        <v>0</v>
      </c>
      <c r="AG62" s="65"/>
      <c r="AH62" s="48">
        <f t="shared" si="1"/>
        <v>50033913</v>
      </c>
      <c r="AI62" s="48"/>
      <c r="AJ62" s="48">
        <v>0</v>
      </c>
      <c r="AK62" s="48"/>
      <c r="AL62" s="45">
        <v>25040981</v>
      </c>
      <c r="AM62" s="45"/>
      <c r="AN62" s="45">
        <v>12563402</v>
      </c>
      <c r="AO62" s="45"/>
      <c r="AP62" s="45">
        <f>-11675-13015</f>
        <v>-24690</v>
      </c>
      <c r="AQ62" s="45"/>
      <c r="AR62" s="45">
        <f>+'GVFund Rev'!U62+'GVFund Rev'!W62-'GVFund Exp'!AH62-'GVFund Exp'!AL62+AJ62+AN62+AP62-'GV Fund BS'!S62</f>
        <v>0</v>
      </c>
      <c r="AS62" s="48"/>
    </row>
    <row r="63" spans="1:45" s="46" customFormat="1" ht="12.75" customHeight="1">
      <c r="A63" s="35" t="s">
        <v>83</v>
      </c>
      <c r="B63" s="44"/>
      <c r="C63" s="35" t="s">
        <v>66</v>
      </c>
      <c r="D63" s="44"/>
      <c r="E63" s="45">
        <v>0</v>
      </c>
      <c r="F63" s="48"/>
      <c r="G63" s="45">
        <v>98432234</v>
      </c>
      <c r="H63" s="48"/>
      <c r="I63" s="45">
        <f>21016004+4651014+15082881</f>
        <v>40749899</v>
      </c>
      <c r="J63" s="48"/>
      <c r="K63" s="45">
        <v>2420958</v>
      </c>
      <c r="L63" s="48"/>
      <c r="M63" s="45">
        <v>0</v>
      </c>
      <c r="N63" s="48"/>
      <c r="O63" s="45">
        <v>0</v>
      </c>
      <c r="P63" s="48"/>
      <c r="Q63" s="45">
        <f>36925472+16597674+1377348</f>
        <v>54900494</v>
      </c>
      <c r="R63" s="48"/>
      <c r="S63" s="45">
        <v>28529727</v>
      </c>
      <c r="T63" s="48"/>
      <c r="U63" s="45">
        <v>0</v>
      </c>
      <c r="V63" s="48"/>
      <c r="W63" s="48"/>
      <c r="X63" s="35"/>
      <c r="Y63" s="44"/>
      <c r="Z63" s="35"/>
      <c r="AA63" s="35"/>
      <c r="AB63" s="45">
        <v>5789851</v>
      </c>
      <c r="AC63" s="65"/>
      <c r="AD63" s="45">
        <v>5062029</v>
      </c>
      <c r="AE63" s="65"/>
      <c r="AF63" s="45">
        <v>312327</v>
      </c>
      <c r="AG63" s="65"/>
      <c r="AH63" s="48">
        <f t="shared" si="1"/>
        <v>236197519</v>
      </c>
      <c r="AI63" s="48"/>
      <c r="AJ63" s="48">
        <v>0</v>
      </c>
      <c r="AK63" s="48"/>
      <c r="AL63" s="45">
        <f>10383734+13757721</f>
        <v>24141455</v>
      </c>
      <c r="AM63" s="45"/>
      <c r="AN63" s="45">
        <v>97179278</v>
      </c>
      <c r="AO63" s="45"/>
      <c r="AP63" s="45">
        <v>0</v>
      </c>
      <c r="AQ63" s="45"/>
      <c r="AR63" s="45">
        <f>+'GVFund Rev'!U63+'GVFund Rev'!W63-'GVFund Exp'!AH63-'GVFund Exp'!AL63+AJ63+AN63+AP63-'GV Fund BS'!S63</f>
        <v>0</v>
      </c>
      <c r="AS63" s="48"/>
    </row>
    <row r="64" spans="1:45" s="137" customFormat="1" ht="12.75" hidden="1" customHeight="1">
      <c r="A64" s="142" t="s">
        <v>84</v>
      </c>
      <c r="C64" s="142" t="s">
        <v>45</v>
      </c>
      <c r="E64" s="143"/>
      <c r="F64" s="148"/>
      <c r="G64" s="143"/>
      <c r="H64" s="148"/>
      <c r="I64" s="143"/>
      <c r="J64" s="148"/>
      <c r="K64" s="143"/>
      <c r="L64" s="148"/>
      <c r="M64" s="143"/>
      <c r="N64" s="148"/>
      <c r="O64" s="143"/>
      <c r="P64" s="148"/>
      <c r="Q64" s="143"/>
      <c r="R64" s="148"/>
      <c r="S64" s="143"/>
      <c r="T64" s="148"/>
      <c r="U64" s="143"/>
      <c r="V64" s="148"/>
      <c r="W64" s="148"/>
      <c r="X64" s="142"/>
      <c r="Z64" s="142"/>
      <c r="AA64" s="142"/>
      <c r="AB64" s="143"/>
      <c r="AC64" s="141"/>
      <c r="AD64" s="143"/>
      <c r="AE64" s="141"/>
      <c r="AF64" s="143"/>
      <c r="AG64" s="141"/>
      <c r="AH64" s="148">
        <f t="shared" si="1"/>
        <v>0</v>
      </c>
      <c r="AI64" s="148"/>
      <c r="AJ64" s="148">
        <v>0</v>
      </c>
      <c r="AK64" s="148"/>
      <c r="AL64" s="143"/>
      <c r="AM64" s="143"/>
      <c r="AN64" s="143"/>
      <c r="AO64" s="143"/>
      <c r="AP64" s="143"/>
      <c r="AQ64" s="143"/>
      <c r="AR64" s="143">
        <f>+'GVFund Rev'!U64+'GVFund Rev'!W64-'GVFund Exp'!AH64-'GVFund Exp'!AL64+AJ64+AN64+AP64-'GV Fund BS'!S64</f>
        <v>0</v>
      </c>
      <c r="AS64" s="148"/>
    </row>
    <row r="65" spans="1:45" s="44" customFormat="1" ht="12.75" customHeight="1">
      <c r="A65" s="35" t="s">
        <v>85</v>
      </c>
      <c r="C65" s="35" t="s">
        <v>85</v>
      </c>
      <c r="E65" s="45">
        <v>3310360</v>
      </c>
      <c r="F65" s="48"/>
      <c r="G65" s="45">
        <v>5168495</v>
      </c>
      <c r="H65" s="48"/>
      <c r="I65" s="45">
        <f>489268+275686</f>
        <v>764954</v>
      </c>
      <c r="J65" s="48"/>
      <c r="K65" s="45">
        <v>237907</v>
      </c>
      <c r="L65" s="48"/>
      <c r="M65" s="45">
        <v>925825</v>
      </c>
      <c r="N65" s="48"/>
      <c r="O65" s="45">
        <v>783809</v>
      </c>
      <c r="P65" s="48"/>
      <c r="Q65" s="45">
        <v>0</v>
      </c>
      <c r="R65" s="48"/>
      <c r="S65" s="45">
        <v>1914186</v>
      </c>
      <c r="T65" s="48"/>
      <c r="U65" s="45">
        <v>0</v>
      </c>
      <c r="V65" s="48"/>
      <c r="W65" s="48"/>
      <c r="X65" s="35"/>
      <c r="Z65" s="35"/>
      <c r="AA65" s="35"/>
      <c r="AB65" s="45">
        <v>551951</v>
      </c>
      <c r="AC65" s="65"/>
      <c r="AD65" s="45">
        <v>49224</v>
      </c>
      <c r="AE65" s="65"/>
      <c r="AF65" s="45">
        <v>4908</v>
      </c>
      <c r="AG65" s="65"/>
      <c r="AH65" s="48">
        <f t="shared" si="1"/>
        <v>13711619</v>
      </c>
      <c r="AI65" s="48"/>
      <c r="AJ65" s="48">
        <v>0</v>
      </c>
      <c r="AK65" s="48"/>
      <c r="AL65" s="45">
        <v>400781</v>
      </c>
      <c r="AM65" s="45"/>
      <c r="AN65" s="45">
        <v>9324758</v>
      </c>
      <c r="AO65" s="45"/>
      <c r="AP65" s="45">
        <v>0</v>
      </c>
      <c r="AQ65" s="45"/>
      <c r="AR65" s="45">
        <f>+'GVFund Rev'!U65+'GVFund Rev'!W65-'GVFund Exp'!AH65-'GVFund Exp'!AL65+AJ65+AN65+AP65-'GV Fund BS'!S65</f>
        <v>0</v>
      </c>
      <c r="AS65" s="48"/>
    </row>
    <row r="66" spans="1:45" s="44" customFormat="1" ht="12.75" customHeight="1">
      <c r="A66" s="35" t="s">
        <v>86</v>
      </c>
      <c r="C66" s="35" t="s">
        <v>86</v>
      </c>
      <c r="E66" s="45">
        <v>5367520</v>
      </c>
      <c r="F66" s="48"/>
      <c r="G66" s="45">
        <f>5747008+4437377+2116629+507724</f>
        <v>12808738</v>
      </c>
      <c r="H66" s="48"/>
      <c r="I66" s="45">
        <f>414304+2337900</f>
        <v>2752204</v>
      </c>
      <c r="J66" s="48"/>
      <c r="K66" s="45">
        <v>0</v>
      </c>
      <c r="L66" s="48"/>
      <c r="M66" s="45">
        <v>0</v>
      </c>
      <c r="N66" s="48"/>
      <c r="O66" s="45">
        <v>1342676</v>
      </c>
      <c r="P66" s="48"/>
      <c r="Q66" s="45">
        <v>632474</v>
      </c>
      <c r="R66" s="48"/>
      <c r="S66" s="45">
        <v>9849491</v>
      </c>
      <c r="T66" s="48"/>
      <c r="U66" s="45">
        <v>0</v>
      </c>
      <c r="V66" s="48"/>
      <c r="W66" s="48"/>
      <c r="X66" s="35"/>
      <c r="Z66" s="35"/>
      <c r="AA66" s="35"/>
      <c r="AB66" s="45">
        <v>523889</v>
      </c>
      <c r="AC66" s="65"/>
      <c r="AD66" s="45">
        <v>959636</v>
      </c>
      <c r="AE66" s="65"/>
      <c r="AF66" s="45">
        <v>0</v>
      </c>
      <c r="AG66" s="65"/>
      <c r="AH66" s="48">
        <f t="shared" si="1"/>
        <v>34236628</v>
      </c>
      <c r="AI66" s="48"/>
      <c r="AJ66" s="48">
        <v>0</v>
      </c>
      <c r="AK66" s="48"/>
      <c r="AL66" s="45">
        <v>5744361</v>
      </c>
      <c r="AM66" s="45"/>
      <c r="AN66" s="45">
        <v>9033151</v>
      </c>
      <c r="AO66" s="45"/>
      <c r="AP66" s="45">
        <v>0</v>
      </c>
      <c r="AQ66" s="45"/>
      <c r="AR66" s="45">
        <f>+'GVFund Rev'!U66+'GVFund Rev'!W66-'GVFund Exp'!AH66-'GVFund Exp'!AL66+AJ66+AN66+AP66-'GV Fund BS'!S66</f>
        <v>0</v>
      </c>
      <c r="AS66" s="48"/>
    </row>
    <row r="67" spans="1:45" s="44" customFormat="1" ht="12.75" customHeight="1">
      <c r="A67" s="64" t="s">
        <v>87</v>
      </c>
      <c r="B67" s="46"/>
      <c r="C67" s="64" t="s">
        <v>88</v>
      </c>
      <c r="D67" s="46"/>
      <c r="E67" s="45">
        <v>1029811</v>
      </c>
      <c r="F67" s="48"/>
      <c r="G67" s="45">
        <v>1785570</v>
      </c>
      <c r="H67" s="48"/>
      <c r="I67" s="45">
        <v>243657</v>
      </c>
      <c r="J67" s="48"/>
      <c r="K67" s="45">
        <v>127459</v>
      </c>
      <c r="L67" s="48"/>
      <c r="M67" s="45">
        <v>561661</v>
      </c>
      <c r="N67" s="48"/>
      <c r="O67" s="45">
        <v>398132</v>
      </c>
      <c r="P67" s="48"/>
      <c r="Q67" s="45">
        <v>5784</v>
      </c>
      <c r="R67" s="48"/>
      <c r="S67" s="45">
        <v>790412</v>
      </c>
      <c r="T67" s="48"/>
      <c r="U67" s="45">
        <v>0</v>
      </c>
      <c r="V67" s="48"/>
      <c r="W67" s="48"/>
      <c r="X67" s="35"/>
      <c r="Z67" s="35"/>
      <c r="AA67" s="35"/>
      <c r="AB67" s="45">
        <v>55496</v>
      </c>
      <c r="AC67" s="65"/>
      <c r="AD67" s="45">
        <v>2769</v>
      </c>
      <c r="AE67" s="65"/>
      <c r="AF67" s="45">
        <v>0</v>
      </c>
      <c r="AG67" s="65"/>
      <c r="AH67" s="48">
        <f t="shared" si="1"/>
        <v>5000751</v>
      </c>
      <c r="AI67" s="48"/>
      <c r="AJ67" s="45">
        <v>0</v>
      </c>
      <c r="AK67" s="48"/>
      <c r="AL67" s="45">
        <v>1829344</v>
      </c>
      <c r="AM67" s="45"/>
      <c r="AN67" s="45">
        <v>1666965</v>
      </c>
      <c r="AO67" s="45"/>
      <c r="AP67" s="45">
        <v>0</v>
      </c>
      <c r="AQ67" s="94"/>
      <c r="AR67" s="45">
        <f>+'GVFund Rev'!U67+'GVFund Rev'!W67-'GVFund Exp'!AH67-'GVFund Exp'!AL67+AJ67+AN67+AP67-'GV Fund BS'!S67</f>
        <v>0</v>
      </c>
      <c r="AS67" s="48"/>
    </row>
    <row r="68" spans="1:45" s="44" customFormat="1" ht="12.75" customHeight="1">
      <c r="A68" s="35" t="s">
        <v>394</v>
      </c>
      <c r="C68" s="35" t="s">
        <v>89</v>
      </c>
      <c r="E68" s="45">
        <v>1237668</v>
      </c>
      <c r="F68" s="48"/>
      <c r="G68" s="45">
        <v>3787088</v>
      </c>
      <c r="H68" s="48"/>
      <c r="I68" s="45">
        <v>107893</v>
      </c>
      <c r="J68" s="48"/>
      <c r="K68" s="45">
        <v>685428</v>
      </c>
      <c r="L68" s="48"/>
      <c r="M68" s="45">
        <v>1067923</v>
      </c>
      <c r="N68" s="48"/>
      <c r="O68" s="45">
        <v>710690</v>
      </c>
      <c r="P68" s="48"/>
      <c r="Q68" s="45">
        <v>578515</v>
      </c>
      <c r="R68" s="48"/>
      <c r="S68" s="45">
        <v>1522384</v>
      </c>
      <c r="T68" s="48"/>
      <c r="U68" s="45">
        <v>0</v>
      </c>
      <c r="V68" s="48"/>
      <c r="W68" s="48"/>
      <c r="X68" s="35"/>
      <c r="Z68" s="35"/>
      <c r="AA68" s="35"/>
      <c r="AB68" s="45">
        <v>5511</v>
      </c>
      <c r="AC68" s="65"/>
      <c r="AD68" s="45">
        <v>15621</v>
      </c>
      <c r="AE68" s="65"/>
      <c r="AF68" s="45">
        <v>0</v>
      </c>
      <c r="AG68" s="65"/>
      <c r="AH68" s="48">
        <f t="shared" si="1"/>
        <v>9718721</v>
      </c>
      <c r="AI68" s="48"/>
      <c r="AJ68" s="48">
        <v>0</v>
      </c>
      <c r="AK68" s="48"/>
      <c r="AL68" s="45">
        <v>2570000</v>
      </c>
      <c r="AM68" s="45"/>
      <c r="AN68" s="45">
        <v>2075244</v>
      </c>
      <c r="AO68" s="45"/>
      <c r="AP68" s="45">
        <v>0</v>
      </c>
      <c r="AQ68" s="45"/>
      <c r="AR68" s="45">
        <f>+'GVFund Rev'!U68+'GVFund Rev'!W68-'GVFund Exp'!AH68-'GVFund Exp'!AL68+AJ68+AN68+AP68-'GV Fund BS'!S68</f>
        <v>0</v>
      </c>
      <c r="AS68" s="48"/>
    </row>
    <row r="69" spans="1:45" s="46" customFormat="1" ht="12.75" customHeight="1">
      <c r="A69" s="35" t="s">
        <v>90</v>
      </c>
      <c r="B69" s="44"/>
      <c r="C69" s="35" t="s">
        <v>43</v>
      </c>
      <c r="D69" s="44"/>
      <c r="E69" s="45">
        <v>21386232</v>
      </c>
      <c r="F69" s="48"/>
      <c r="G69" s="45">
        <v>9590734</v>
      </c>
      <c r="H69" s="48"/>
      <c r="I69" s="45">
        <v>6401483</v>
      </c>
      <c r="J69" s="48"/>
      <c r="K69" s="45">
        <v>319452</v>
      </c>
      <c r="L69" s="48"/>
      <c r="M69" s="45">
        <v>3108373</v>
      </c>
      <c r="N69" s="48"/>
      <c r="O69" s="45">
        <v>15321848</v>
      </c>
      <c r="P69" s="48"/>
      <c r="Q69" s="45">
        <v>0</v>
      </c>
      <c r="R69" s="48"/>
      <c r="S69" s="45">
        <v>24141769</v>
      </c>
      <c r="T69" s="48"/>
      <c r="U69" s="45">
        <v>0</v>
      </c>
      <c r="V69" s="48"/>
      <c r="W69" s="48"/>
      <c r="X69" s="35"/>
      <c r="Y69" s="44"/>
      <c r="Z69" s="35"/>
      <c r="AA69" s="35"/>
      <c r="AB69" s="45">
        <v>5535524</v>
      </c>
      <c r="AC69" s="107"/>
      <c r="AD69" s="45">
        <v>2684952</v>
      </c>
      <c r="AE69" s="107"/>
      <c r="AF69" s="45">
        <v>2555967</v>
      </c>
      <c r="AG69" s="107"/>
      <c r="AH69" s="48">
        <f t="shared" si="1"/>
        <v>91046334</v>
      </c>
      <c r="AI69" s="48"/>
      <c r="AJ69" s="48">
        <v>0</v>
      </c>
      <c r="AK69" s="48"/>
      <c r="AL69" s="45">
        <v>36708031</v>
      </c>
      <c r="AM69" s="45"/>
      <c r="AN69" s="45">
        <v>55780628</v>
      </c>
      <c r="AO69" s="45"/>
      <c r="AP69" s="45">
        <v>0</v>
      </c>
      <c r="AQ69" s="45"/>
      <c r="AR69" s="45">
        <f>+'GVFund Rev'!U69+'GVFund Rev'!W69-'GVFund Exp'!AH69-'GVFund Exp'!AL69+AJ69+AN69+AP69-'GV Fund BS'!S69</f>
        <v>0</v>
      </c>
      <c r="AS69" s="48"/>
    </row>
    <row r="70" spans="1:45" s="44" customFormat="1" ht="12.75" customHeight="1">
      <c r="A70" s="35" t="s">
        <v>93</v>
      </c>
      <c r="C70" s="35" t="s">
        <v>94</v>
      </c>
      <c r="E70" s="45">
        <v>1439959</v>
      </c>
      <c r="F70" s="48"/>
      <c r="G70" s="45">
        <v>3399218</v>
      </c>
      <c r="H70" s="48"/>
      <c r="I70" s="45">
        <v>591672</v>
      </c>
      <c r="J70" s="48"/>
      <c r="K70" s="45">
        <v>169142</v>
      </c>
      <c r="L70" s="48"/>
      <c r="M70" s="45">
        <v>802670</v>
      </c>
      <c r="N70" s="48"/>
      <c r="O70" s="45">
        <v>125627</v>
      </c>
      <c r="P70" s="48"/>
      <c r="Q70" s="45">
        <v>0</v>
      </c>
      <c r="R70" s="48"/>
      <c r="S70" s="45">
        <v>725107</v>
      </c>
      <c r="T70" s="48"/>
      <c r="U70" s="45"/>
      <c r="V70" s="48"/>
      <c r="W70" s="48"/>
      <c r="X70" s="35"/>
      <c r="Z70" s="35"/>
      <c r="AA70" s="35"/>
      <c r="AB70" s="45">
        <v>316139</v>
      </c>
      <c r="AC70" s="65"/>
      <c r="AD70" s="45">
        <v>79480</v>
      </c>
      <c r="AE70" s="65"/>
      <c r="AF70" s="45">
        <v>0</v>
      </c>
      <c r="AG70" s="65"/>
      <c r="AH70" s="48">
        <f t="shared" si="1"/>
        <v>7649014</v>
      </c>
      <c r="AI70" s="48"/>
      <c r="AJ70" s="48">
        <v>0</v>
      </c>
      <c r="AK70" s="48"/>
      <c r="AL70" s="45">
        <v>0</v>
      </c>
      <c r="AM70" s="45"/>
      <c r="AN70" s="45">
        <v>1520155</v>
      </c>
      <c r="AO70" s="45"/>
      <c r="AP70" s="45">
        <v>0</v>
      </c>
      <c r="AQ70" s="45"/>
      <c r="AR70" s="45">
        <f>+'GVFund Rev'!U70+'GVFund Rev'!W70-'GVFund Exp'!AH70-'GVFund Exp'!AL70+AJ70+AN70+AP70-'GV Fund BS'!S70</f>
        <v>0</v>
      </c>
      <c r="AS70" s="48"/>
    </row>
    <row r="71" spans="1:45" s="44" customFormat="1" ht="12.75" customHeight="1">
      <c r="A71" s="35" t="s">
        <v>492</v>
      </c>
      <c r="C71" s="35" t="s">
        <v>27</v>
      </c>
      <c r="E71" s="45">
        <v>5496365</v>
      </c>
      <c r="F71" s="48"/>
      <c r="G71" s="45">
        <v>9160243</v>
      </c>
      <c r="H71" s="48"/>
      <c r="I71" s="45">
        <v>2295519</v>
      </c>
      <c r="J71" s="48"/>
      <c r="K71" s="45">
        <v>0</v>
      </c>
      <c r="L71" s="48"/>
      <c r="M71" s="45">
        <v>886337</v>
      </c>
      <c r="N71" s="48"/>
      <c r="O71" s="45">
        <v>547992</v>
      </c>
      <c r="P71" s="48"/>
      <c r="Q71" s="45">
        <v>955329</v>
      </c>
      <c r="R71" s="48"/>
      <c r="S71" s="45">
        <v>89389</v>
      </c>
      <c r="T71" s="48"/>
      <c r="U71" s="45">
        <v>0</v>
      </c>
      <c r="V71" s="48"/>
      <c r="W71" s="48"/>
      <c r="X71" s="35"/>
      <c r="Z71" s="35"/>
      <c r="AA71" s="35"/>
      <c r="AB71" s="45">
        <v>235190</v>
      </c>
      <c r="AC71" s="65"/>
      <c r="AD71" s="45">
        <v>115611</v>
      </c>
      <c r="AE71" s="65"/>
      <c r="AF71" s="45">
        <v>0</v>
      </c>
      <c r="AG71" s="65"/>
      <c r="AH71" s="48">
        <f>SUM(E71:AF71)</f>
        <v>19781975</v>
      </c>
      <c r="AI71" s="48"/>
      <c r="AJ71" s="48">
        <v>0</v>
      </c>
      <c r="AK71" s="48"/>
      <c r="AL71" s="45">
        <v>80000</v>
      </c>
      <c r="AM71" s="45"/>
      <c r="AN71" s="45">
        <v>1765856</v>
      </c>
      <c r="AO71" s="45"/>
      <c r="AP71" s="45">
        <v>0</v>
      </c>
      <c r="AQ71" s="45"/>
      <c r="AR71" s="45">
        <f>+'GVFund Rev'!U71+'GVFund Rev'!W71-'GVFund Exp'!AH71-'GVFund Exp'!AL71+AJ71+AN71+AP71-'GV Fund BS'!S71</f>
        <v>0</v>
      </c>
      <c r="AS71" s="48"/>
    </row>
    <row r="72" spans="1:45" s="44" customFormat="1" ht="12.75" customHeight="1">
      <c r="A72" s="35"/>
      <c r="C72" s="35"/>
      <c r="E72" s="45"/>
      <c r="F72" s="48"/>
      <c r="G72" s="45"/>
      <c r="H72" s="48"/>
      <c r="I72" s="45"/>
      <c r="J72" s="48"/>
      <c r="K72" s="45"/>
      <c r="L72" s="48"/>
      <c r="M72" s="45"/>
      <c r="N72" s="48"/>
      <c r="O72" s="45"/>
      <c r="P72" s="48"/>
      <c r="Q72" s="45"/>
      <c r="R72" s="48"/>
      <c r="S72" s="45"/>
      <c r="T72" s="48"/>
      <c r="U72" s="45"/>
      <c r="V72" s="48"/>
      <c r="W72" s="48"/>
      <c r="X72" s="35"/>
      <c r="Z72" s="35"/>
      <c r="AA72" s="35"/>
      <c r="AB72" s="45"/>
      <c r="AC72" s="65"/>
      <c r="AD72" s="45"/>
      <c r="AE72" s="65"/>
      <c r="AF72" s="45"/>
      <c r="AG72" s="65"/>
      <c r="AH72" s="48"/>
      <c r="AI72" s="48"/>
      <c r="AJ72" s="48"/>
      <c r="AK72" s="48"/>
      <c r="AL72" s="48" t="s">
        <v>485</v>
      </c>
      <c r="AM72" s="45"/>
      <c r="AN72" s="45"/>
      <c r="AO72" s="45"/>
      <c r="AP72" s="45"/>
      <c r="AQ72" s="45"/>
      <c r="AR72" s="45"/>
      <c r="AS72" s="48"/>
    </row>
    <row r="73" spans="1:45" s="46" customFormat="1" ht="12.75" customHeight="1">
      <c r="A73" s="64" t="s">
        <v>95</v>
      </c>
      <c r="C73" s="64" t="s">
        <v>94</v>
      </c>
      <c r="E73" s="94">
        <v>570958</v>
      </c>
      <c r="F73" s="68"/>
      <c r="G73" s="94">
        <v>1110858</v>
      </c>
      <c r="H73" s="68"/>
      <c r="I73" s="94">
        <v>221301</v>
      </c>
      <c r="J73" s="68"/>
      <c r="K73" s="94">
        <v>115942</v>
      </c>
      <c r="L73" s="68"/>
      <c r="M73" s="94">
        <v>341874</v>
      </c>
      <c r="N73" s="68"/>
      <c r="O73" s="94">
        <v>259243</v>
      </c>
      <c r="P73" s="68"/>
      <c r="Q73" s="94">
        <v>0</v>
      </c>
      <c r="R73" s="68"/>
      <c r="S73" s="94">
        <v>370729</v>
      </c>
      <c r="T73" s="68"/>
      <c r="U73" s="94">
        <v>0</v>
      </c>
      <c r="V73" s="68"/>
      <c r="W73" s="68"/>
      <c r="X73" s="64"/>
      <c r="Z73" s="64"/>
      <c r="AA73" s="64"/>
      <c r="AB73" s="94">
        <v>0</v>
      </c>
      <c r="AC73" s="66"/>
      <c r="AD73" s="94">
        <v>305</v>
      </c>
      <c r="AE73" s="66"/>
      <c r="AF73" s="94">
        <v>0</v>
      </c>
      <c r="AG73" s="66"/>
      <c r="AH73" s="68">
        <f t="shared" ref="AH73:AH79" si="2">SUM(E73:AF73)</f>
        <v>2991210</v>
      </c>
      <c r="AI73" s="68"/>
      <c r="AJ73" s="68">
        <v>0</v>
      </c>
      <c r="AK73" s="68"/>
      <c r="AL73" s="94">
        <v>145058</v>
      </c>
      <c r="AM73" s="94"/>
      <c r="AN73" s="94">
        <v>683791</v>
      </c>
      <c r="AO73" s="94"/>
      <c r="AP73" s="94">
        <v>-2913</v>
      </c>
      <c r="AQ73" s="94"/>
      <c r="AR73" s="94">
        <f>+'GVFund Rev'!U73+'GVFund Rev'!W73-'GVFund Exp'!AH73-'GVFund Exp'!AL73+AJ73+AN73+AP73-'GV Fund BS'!S73</f>
        <v>0</v>
      </c>
      <c r="AS73" s="68"/>
    </row>
    <row r="74" spans="1:45" s="46" customFormat="1" ht="12.75" customHeight="1">
      <c r="A74" s="35" t="s">
        <v>91</v>
      </c>
      <c r="B74" s="44"/>
      <c r="C74" s="35" t="s">
        <v>92</v>
      </c>
      <c r="D74" s="44"/>
      <c r="E74" s="45">
        <v>3920201</v>
      </c>
      <c r="F74" s="48"/>
      <c r="G74" s="45">
        <v>6565397</v>
      </c>
      <c r="H74" s="48"/>
      <c r="I74" s="45">
        <v>298901</v>
      </c>
      <c r="J74" s="48"/>
      <c r="K74" s="45">
        <v>174954</v>
      </c>
      <c r="L74" s="48"/>
      <c r="M74" s="45">
        <v>1234152</v>
      </c>
      <c r="N74" s="48"/>
      <c r="O74" s="45">
        <v>444994</v>
      </c>
      <c r="P74" s="48"/>
      <c r="Q74" s="45">
        <v>1288913</v>
      </c>
      <c r="R74" s="48"/>
      <c r="S74" s="45">
        <v>3073389</v>
      </c>
      <c r="T74" s="48"/>
      <c r="U74" s="45">
        <v>0</v>
      </c>
      <c r="V74" s="48"/>
      <c r="W74" s="48"/>
      <c r="X74" s="35"/>
      <c r="Y74" s="44"/>
      <c r="Z74" s="35"/>
      <c r="AA74" s="35"/>
      <c r="AB74" s="45">
        <v>754831</v>
      </c>
      <c r="AC74" s="65"/>
      <c r="AD74" s="45">
        <v>1398315</v>
      </c>
      <c r="AE74" s="65"/>
      <c r="AF74" s="45">
        <v>0</v>
      </c>
      <c r="AG74" s="65"/>
      <c r="AH74" s="48">
        <f t="shared" si="2"/>
        <v>19154047</v>
      </c>
      <c r="AI74" s="48"/>
      <c r="AJ74" s="48">
        <v>0</v>
      </c>
      <c r="AK74" s="48"/>
      <c r="AL74" s="45">
        <f>2976757+4181</f>
        <v>2980938</v>
      </c>
      <c r="AM74" s="45"/>
      <c r="AN74" s="45">
        <v>8816482</v>
      </c>
      <c r="AO74" s="45"/>
      <c r="AP74" s="45">
        <v>3046</v>
      </c>
      <c r="AQ74" s="45"/>
      <c r="AR74" s="45">
        <f>+'GVFund Rev'!U74+'GVFund Rev'!W74-'GVFund Exp'!AH74-'GVFund Exp'!AL74+AJ74+AN74+AP74-'GV Fund BS'!S74</f>
        <v>0</v>
      </c>
      <c r="AS74" s="68"/>
    </row>
    <row r="75" spans="1:45" s="44" customFormat="1" ht="12.75" customHeight="1">
      <c r="A75" s="35" t="s">
        <v>96</v>
      </c>
      <c r="C75" s="35" t="s">
        <v>97</v>
      </c>
      <c r="E75" s="45">
        <v>1851892</v>
      </c>
      <c r="F75" s="48"/>
      <c r="G75" s="45">
        <v>2425488</v>
      </c>
      <c r="H75" s="48"/>
      <c r="I75" s="45">
        <v>238791</v>
      </c>
      <c r="J75" s="48"/>
      <c r="K75" s="45">
        <v>154688</v>
      </c>
      <c r="L75" s="48"/>
      <c r="M75" s="45">
        <v>1030897</v>
      </c>
      <c r="N75" s="48"/>
      <c r="O75" s="45">
        <v>88466</v>
      </c>
      <c r="P75" s="48"/>
      <c r="Q75" s="45">
        <v>0</v>
      </c>
      <c r="R75" s="48"/>
      <c r="S75" s="45">
        <v>1099687</v>
      </c>
      <c r="T75" s="48"/>
      <c r="U75" s="45">
        <v>0</v>
      </c>
      <c r="V75" s="48"/>
      <c r="W75" s="48"/>
      <c r="X75" s="35"/>
      <c r="Z75" s="35"/>
      <c r="AA75" s="35"/>
      <c r="AB75" s="45">
        <v>175538</v>
      </c>
      <c r="AC75" s="65"/>
      <c r="AD75" s="45">
        <v>70260</v>
      </c>
      <c r="AE75" s="65"/>
      <c r="AF75" s="45">
        <v>0</v>
      </c>
      <c r="AG75" s="65"/>
      <c r="AH75" s="48">
        <f t="shared" si="2"/>
        <v>7135707</v>
      </c>
      <c r="AI75" s="48"/>
      <c r="AJ75" s="48">
        <v>0</v>
      </c>
      <c r="AK75" s="48"/>
      <c r="AL75" s="45">
        <v>88434</v>
      </c>
      <c r="AM75" s="45"/>
      <c r="AN75" s="45">
        <v>5453531</v>
      </c>
      <c r="AO75" s="45"/>
      <c r="AP75" s="45">
        <v>0</v>
      </c>
      <c r="AQ75" s="45"/>
      <c r="AR75" s="45">
        <f>+'GVFund Rev'!U75+'GVFund Rev'!W75-'GVFund Exp'!AH75-'GVFund Exp'!AL75+AJ75+AN75+AP75-'GV Fund BS'!S75</f>
        <v>0</v>
      </c>
      <c r="AS75" s="48"/>
    </row>
    <row r="76" spans="1:45" s="44" customFormat="1" ht="12.75" customHeight="1">
      <c r="A76" s="35" t="s">
        <v>98</v>
      </c>
      <c r="C76" s="35" t="s">
        <v>17</v>
      </c>
      <c r="E76" s="45">
        <v>7576891</v>
      </c>
      <c r="F76" s="48"/>
      <c r="G76" s="45">
        <v>20586863</v>
      </c>
      <c r="H76" s="48"/>
      <c r="I76" s="45">
        <v>1633115</v>
      </c>
      <c r="J76" s="48"/>
      <c r="K76" s="45">
        <v>2472201</v>
      </c>
      <c r="L76" s="48"/>
      <c r="M76" s="45">
        <v>1681542</v>
      </c>
      <c r="N76" s="48"/>
      <c r="O76" s="45">
        <v>2207061</v>
      </c>
      <c r="P76" s="48"/>
      <c r="Q76" s="45">
        <v>0</v>
      </c>
      <c r="R76" s="48"/>
      <c r="S76" s="45">
        <v>12321193</v>
      </c>
      <c r="T76" s="48"/>
      <c r="U76" s="45">
        <v>0</v>
      </c>
      <c r="V76" s="48"/>
      <c r="W76" s="48"/>
      <c r="X76" s="35"/>
      <c r="Z76" s="35"/>
      <c r="AA76" s="35"/>
      <c r="AB76" s="45">
        <v>1416488</v>
      </c>
      <c r="AC76" s="65"/>
      <c r="AD76" s="45">
        <v>1699981</v>
      </c>
      <c r="AE76" s="65"/>
      <c r="AF76" s="45">
        <v>0</v>
      </c>
      <c r="AG76" s="65"/>
      <c r="AH76" s="48">
        <f t="shared" si="2"/>
        <v>51595335</v>
      </c>
      <c r="AI76" s="48"/>
      <c r="AJ76" s="48">
        <v>0</v>
      </c>
      <c r="AK76" s="48"/>
      <c r="AL76" s="45">
        <v>1146725</v>
      </c>
      <c r="AM76" s="45"/>
      <c r="AN76" s="45">
        <v>8483831</v>
      </c>
      <c r="AO76" s="45"/>
      <c r="AP76" s="45">
        <v>0</v>
      </c>
      <c r="AQ76" s="45"/>
      <c r="AR76" s="45">
        <f>+'GVFund Rev'!U76+'GVFund Rev'!W76-'GVFund Exp'!AH76-'GVFund Exp'!AL76+AJ76+AN76+AP76-'GV Fund BS'!S76</f>
        <v>0</v>
      </c>
      <c r="AS76" s="48"/>
    </row>
    <row r="77" spans="1:45" s="44" customFormat="1" ht="12.75" customHeight="1">
      <c r="A77" s="35" t="s">
        <v>99</v>
      </c>
      <c r="C77" s="35" t="s">
        <v>66</v>
      </c>
      <c r="E77" s="45">
        <v>1465802</v>
      </c>
      <c r="F77" s="48"/>
      <c r="G77" s="45">
        <v>3994682</v>
      </c>
      <c r="H77" s="48"/>
      <c r="I77" s="45">
        <v>546178</v>
      </c>
      <c r="J77" s="48"/>
      <c r="K77" s="45">
        <v>6149</v>
      </c>
      <c r="L77" s="48"/>
      <c r="M77" s="45">
        <v>2918711</v>
      </c>
      <c r="N77" s="48"/>
      <c r="O77" s="45">
        <v>143880</v>
      </c>
      <c r="P77" s="48"/>
      <c r="Q77" s="45">
        <v>2475</v>
      </c>
      <c r="R77" s="48"/>
      <c r="S77" s="45">
        <v>1305487</v>
      </c>
      <c r="T77" s="48"/>
      <c r="U77" s="45">
        <v>0</v>
      </c>
      <c r="V77" s="48"/>
      <c r="W77" s="48"/>
      <c r="X77" s="35"/>
      <c r="Z77" s="35"/>
      <c r="AA77" s="35"/>
      <c r="AB77" s="45">
        <v>0</v>
      </c>
      <c r="AC77" s="65"/>
      <c r="AD77" s="45">
        <v>0</v>
      </c>
      <c r="AE77" s="65"/>
      <c r="AF77" s="45">
        <v>0</v>
      </c>
      <c r="AG77" s="65"/>
      <c r="AH77" s="48">
        <f t="shared" si="2"/>
        <v>10383364</v>
      </c>
      <c r="AI77" s="48"/>
      <c r="AJ77" s="48">
        <v>0</v>
      </c>
      <c r="AK77" s="48"/>
      <c r="AL77" s="45">
        <v>6512736</v>
      </c>
      <c r="AM77" s="45"/>
      <c r="AN77" s="45">
        <v>7733515</v>
      </c>
      <c r="AO77" s="45"/>
      <c r="AP77" s="45">
        <v>-5281</v>
      </c>
      <c r="AQ77" s="45"/>
      <c r="AR77" s="45">
        <f>+'GVFund Rev'!U77+'GVFund Rev'!W77-'GVFund Exp'!AH77-'GVFund Exp'!AL77+AJ77+AN77+AP77-'GV Fund BS'!S77</f>
        <v>0</v>
      </c>
      <c r="AS77" s="48"/>
    </row>
    <row r="78" spans="1:45" s="44" customFormat="1" ht="12.75" customHeight="1">
      <c r="A78" s="35" t="s">
        <v>100</v>
      </c>
      <c r="C78" s="35" t="s">
        <v>27</v>
      </c>
      <c r="E78" s="45">
        <v>12372323</v>
      </c>
      <c r="F78" s="48"/>
      <c r="G78" s="45">
        <v>20876789</v>
      </c>
      <c r="H78" s="48"/>
      <c r="I78" s="45">
        <v>2611642</v>
      </c>
      <c r="J78" s="48"/>
      <c r="K78" s="45">
        <v>277809</v>
      </c>
      <c r="L78" s="48"/>
      <c r="M78" s="45">
        <v>2242299</v>
      </c>
      <c r="N78" s="48"/>
      <c r="O78" s="45">
        <v>1966648</v>
      </c>
      <c r="P78" s="48"/>
      <c r="Q78" s="45">
        <v>2204171</v>
      </c>
      <c r="R78" s="48"/>
      <c r="S78" s="45">
        <v>3440615</v>
      </c>
      <c r="T78" s="48"/>
      <c r="U78" s="45">
        <v>0</v>
      </c>
      <c r="V78" s="48"/>
      <c r="W78" s="48"/>
      <c r="X78" s="35"/>
      <c r="Z78" s="35"/>
      <c r="AA78" s="35"/>
      <c r="AB78" s="45">
        <v>6419365</v>
      </c>
      <c r="AC78" s="65"/>
      <c r="AD78" s="45">
        <v>1529377</v>
      </c>
      <c r="AE78" s="65"/>
      <c r="AF78" s="45">
        <v>0</v>
      </c>
      <c r="AG78" s="65"/>
      <c r="AH78" s="48">
        <f t="shared" si="2"/>
        <v>53941038</v>
      </c>
      <c r="AI78" s="48"/>
      <c r="AJ78" s="48">
        <v>0</v>
      </c>
      <c r="AK78" s="48"/>
      <c r="AL78" s="45">
        <v>538844</v>
      </c>
      <c r="AM78" s="45"/>
      <c r="AN78" s="45">
        <v>15653898</v>
      </c>
      <c r="AO78" s="45"/>
      <c r="AP78" s="45">
        <v>0</v>
      </c>
      <c r="AQ78" s="45"/>
      <c r="AR78" s="45">
        <f>+'GVFund Rev'!U78+'GVFund Rev'!W78-'GVFund Exp'!AH78-'GVFund Exp'!AL78+AJ78+AN78+AP78-'GV Fund BS'!S78</f>
        <v>0</v>
      </c>
      <c r="AS78" s="48"/>
    </row>
    <row r="79" spans="1:45" s="44" customFormat="1" ht="12.75" customHeight="1">
      <c r="A79" s="35" t="s">
        <v>101</v>
      </c>
      <c r="C79" s="35" t="s">
        <v>30</v>
      </c>
      <c r="E79" s="45">
        <v>6043973</v>
      </c>
      <c r="F79" s="48"/>
      <c r="G79" s="45">
        <v>12254446</v>
      </c>
      <c r="H79" s="48"/>
      <c r="I79" s="45">
        <v>1004676</v>
      </c>
      <c r="J79" s="48"/>
      <c r="K79" s="45">
        <v>104930</v>
      </c>
      <c r="L79" s="48"/>
      <c r="M79" s="45">
        <v>1098406</v>
      </c>
      <c r="N79" s="48"/>
      <c r="O79" s="45">
        <v>211967</v>
      </c>
      <c r="P79" s="48"/>
      <c r="Q79" s="45">
        <v>0</v>
      </c>
      <c r="R79" s="48"/>
      <c r="S79" s="45">
        <v>4252263</v>
      </c>
      <c r="T79" s="48"/>
      <c r="U79" s="45">
        <v>0</v>
      </c>
      <c r="V79" s="48"/>
      <c r="W79" s="48"/>
      <c r="X79" s="35"/>
      <c r="Z79" s="35"/>
      <c r="AA79" s="35"/>
      <c r="AB79" s="45">
        <v>1562422</v>
      </c>
      <c r="AC79" s="65"/>
      <c r="AD79" s="45">
        <v>755436</v>
      </c>
      <c r="AE79" s="65"/>
      <c r="AF79" s="45">
        <v>0</v>
      </c>
      <c r="AG79" s="65"/>
      <c r="AH79" s="48">
        <f t="shared" si="2"/>
        <v>27288519</v>
      </c>
      <c r="AI79" s="48"/>
      <c r="AJ79" s="48">
        <v>0</v>
      </c>
      <c r="AK79" s="48"/>
      <c r="AL79" s="45">
        <v>4138584</v>
      </c>
      <c r="AM79" s="45"/>
      <c r="AN79" s="45">
        <v>8265819</v>
      </c>
      <c r="AO79" s="45"/>
      <c r="AP79" s="45">
        <v>-22303</v>
      </c>
      <c r="AQ79" s="45"/>
      <c r="AR79" s="45">
        <f>+'GVFund Rev'!U79+'GVFund Rev'!W79-'GVFund Exp'!AH79-'GVFund Exp'!AL79+AJ79+AN79+AP79-'GV Fund BS'!S79</f>
        <v>0</v>
      </c>
      <c r="AS79" s="48"/>
    </row>
    <row r="80" spans="1:45" s="44" customFormat="1" ht="12.75" customHeight="1">
      <c r="A80" s="35" t="s">
        <v>102</v>
      </c>
      <c r="C80" s="35" t="s">
        <v>103</v>
      </c>
      <c r="E80" s="45">
        <v>6697012</v>
      </c>
      <c r="F80" s="48"/>
      <c r="G80" s="45">
        <v>14094273</v>
      </c>
      <c r="H80" s="48"/>
      <c r="I80" s="45">
        <v>1573045</v>
      </c>
      <c r="J80" s="48"/>
      <c r="K80" s="45">
        <v>24166</v>
      </c>
      <c r="L80" s="48"/>
      <c r="M80" s="45">
        <v>7946070</v>
      </c>
      <c r="N80" s="48"/>
      <c r="O80" s="45">
        <v>2215832</v>
      </c>
      <c r="P80" s="48"/>
      <c r="Q80" s="45">
        <v>461934</v>
      </c>
      <c r="R80" s="48"/>
      <c r="S80" s="45">
        <v>5363198</v>
      </c>
      <c r="T80" s="48"/>
      <c r="U80" s="45">
        <v>0</v>
      </c>
      <c r="V80" s="48"/>
      <c r="W80" s="48"/>
      <c r="X80" s="35"/>
      <c r="Z80" s="35"/>
      <c r="AA80" s="35"/>
      <c r="AB80" s="45">
        <v>890000</v>
      </c>
      <c r="AC80" s="65"/>
      <c r="AD80" s="45">
        <v>954928</v>
      </c>
      <c r="AE80" s="65"/>
      <c r="AF80" s="45">
        <v>0</v>
      </c>
      <c r="AG80" s="65"/>
      <c r="AH80" s="48">
        <f t="shared" ref="AH80:AH96" si="3">SUM(E80:AF80)</f>
        <v>40220458</v>
      </c>
      <c r="AI80" s="48"/>
      <c r="AJ80" s="48">
        <v>0</v>
      </c>
      <c r="AK80" s="48"/>
      <c r="AL80" s="45">
        <v>817818</v>
      </c>
      <c r="AM80" s="45"/>
      <c r="AN80" s="45">
        <v>20438486</v>
      </c>
      <c r="AO80" s="45"/>
      <c r="AP80" s="45">
        <v>0</v>
      </c>
      <c r="AQ80" s="45"/>
      <c r="AR80" s="45">
        <f>+'GVFund Rev'!U80+'GVFund Rev'!W80-'GVFund Exp'!AH80-'GVFund Exp'!AL80+AJ80+AN80+AP80-'GV Fund BS'!S80</f>
        <v>0</v>
      </c>
      <c r="AS80" s="48"/>
    </row>
    <row r="81" spans="1:45" s="44" customFormat="1" ht="12.75" customHeight="1">
      <c r="A81" s="35" t="s">
        <v>104</v>
      </c>
      <c r="C81" s="35" t="s">
        <v>13</v>
      </c>
      <c r="E81" s="45">
        <v>2592407</v>
      </c>
      <c r="F81" s="48"/>
      <c r="G81" s="45">
        <v>6080111</v>
      </c>
      <c r="H81" s="48"/>
      <c r="I81" s="45">
        <v>37512</v>
      </c>
      <c r="J81" s="48"/>
      <c r="K81" s="45">
        <v>112448</v>
      </c>
      <c r="L81" s="48"/>
      <c r="M81" s="45">
        <v>1956419</v>
      </c>
      <c r="N81" s="48"/>
      <c r="O81" s="45">
        <v>318399</v>
      </c>
      <c r="P81" s="48"/>
      <c r="Q81" s="45">
        <f>358153</f>
        <v>358153</v>
      </c>
      <c r="R81" s="48"/>
      <c r="S81" s="45">
        <v>3010782</v>
      </c>
      <c r="T81" s="48"/>
      <c r="U81" s="45">
        <v>0</v>
      </c>
      <c r="V81" s="48"/>
      <c r="W81" s="48"/>
      <c r="X81" s="35"/>
      <c r="Z81" s="35"/>
      <c r="AA81" s="35"/>
      <c r="AB81" s="45">
        <v>747370</v>
      </c>
      <c r="AC81" s="65"/>
      <c r="AD81" s="45">
        <v>464102</v>
      </c>
      <c r="AE81" s="65"/>
      <c r="AF81" s="45">
        <v>0</v>
      </c>
      <c r="AG81" s="65"/>
      <c r="AH81" s="48">
        <f t="shared" si="3"/>
        <v>15677703</v>
      </c>
      <c r="AI81" s="48"/>
      <c r="AJ81" s="48">
        <v>0</v>
      </c>
      <c r="AK81" s="48"/>
      <c r="AL81" s="45">
        <v>930186</v>
      </c>
      <c r="AM81" s="45"/>
      <c r="AN81" s="45">
        <v>13742954</v>
      </c>
      <c r="AO81" s="45"/>
      <c r="AP81" s="45">
        <v>-45183</v>
      </c>
      <c r="AQ81" s="45"/>
      <c r="AR81" s="45">
        <f>+'GVFund Rev'!U81+'GVFund Rev'!W81-'GVFund Exp'!AH81-'GVFund Exp'!AL81+AJ81+AN81+AP81-'GV Fund BS'!S81</f>
        <v>0</v>
      </c>
      <c r="AS81" s="48"/>
    </row>
    <row r="82" spans="1:45" s="44" customFormat="1" ht="12.75" customHeight="1">
      <c r="A82" s="35" t="s">
        <v>105</v>
      </c>
      <c r="C82" s="35" t="s">
        <v>27</v>
      </c>
      <c r="E82" s="45">
        <v>1575760</v>
      </c>
      <c r="F82" s="48"/>
      <c r="G82" s="45">
        <v>6541135</v>
      </c>
      <c r="H82" s="48"/>
      <c r="I82" s="45">
        <v>1735926</v>
      </c>
      <c r="J82" s="48"/>
      <c r="K82" s="45">
        <v>2405</v>
      </c>
      <c r="L82" s="48"/>
      <c r="M82" s="45">
        <v>2378136</v>
      </c>
      <c r="N82" s="48"/>
      <c r="O82" s="45">
        <v>1673816</v>
      </c>
      <c r="P82" s="48"/>
      <c r="Q82" s="45">
        <v>0</v>
      </c>
      <c r="R82" s="48"/>
      <c r="S82" s="45">
        <v>1128042</v>
      </c>
      <c r="T82" s="48"/>
      <c r="U82" s="45">
        <v>0</v>
      </c>
      <c r="V82" s="48"/>
      <c r="W82" s="48"/>
      <c r="X82" s="35"/>
      <c r="Z82" s="35"/>
      <c r="AA82" s="35"/>
      <c r="AB82" s="45">
        <v>892753</v>
      </c>
      <c r="AC82" s="65"/>
      <c r="AD82" s="45">
        <v>1150463</v>
      </c>
      <c r="AE82" s="65"/>
      <c r="AF82" s="45">
        <v>0</v>
      </c>
      <c r="AG82" s="65"/>
      <c r="AH82" s="48">
        <f t="shared" si="3"/>
        <v>17078436</v>
      </c>
      <c r="AI82" s="48"/>
      <c r="AJ82" s="48">
        <v>0</v>
      </c>
      <c r="AK82" s="48"/>
      <c r="AL82" s="45">
        <v>862634</v>
      </c>
      <c r="AM82" s="45"/>
      <c r="AN82" s="45">
        <v>19716017</v>
      </c>
      <c r="AO82" s="45"/>
      <c r="AP82" s="45">
        <v>0</v>
      </c>
      <c r="AQ82" s="45"/>
      <c r="AR82" s="45">
        <f>+'GVFund Rev'!U82+'GVFund Rev'!W82-'GVFund Exp'!AH82-'GVFund Exp'!AL82+AJ82+AN82+AP82-'GV Fund BS'!S82</f>
        <v>0</v>
      </c>
      <c r="AS82" s="48"/>
    </row>
    <row r="83" spans="1:45" s="44" customFormat="1" ht="12.75" customHeight="1">
      <c r="A83" s="35" t="s">
        <v>106</v>
      </c>
      <c r="C83" s="35" t="s">
        <v>107</v>
      </c>
      <c r="E83" s="45">
        <v>7267755</v>
      </c>
      <c r="F83" s="48"/>
      <c r="G83" s="45">
        <v>13812880</v>
      </c>
      <c r="H83" s="48"/>
      <c r="I83" s="45">
        <v>0</v>
      </c>
      <c r="J83" s="48"/>
      <c r="K83" s="45">
        <v>1636529</v>
      </c>
      <c r="L83" s="48"/>
      <c r="M83" s="45">
        <v>2693686</v>
      </c>
      <c r="N83" s="48"/>
      <c r="O83" s="45">
        <v>1408200</v>
      </c>
      <c r="P83" s="48"/>
      <c r="Q83" s="45">
        <v>0</v>
      </c>
      <c r="R83" s="48"/>
      <c r="S83" s="45">
        <v>11368519</v>
      </c>
      <c r="T83" s="48"/>
      <c r="U83" s="45">
        <v>0</v>
      </c>
      <c r="V83" s="48"/>
      <c r="W83" s="48"/>
      <c r="X83" s="35"/>
      <c r="Z83" s="35"/>
      <c r="AA83" s="35"/>
      <c r="AB83" s="45">
        <v>483353</v>
      </c>
      <c r="AC83" s="65"/>
      <c r="AD83" s="45">
        <v>616955</v>
      </c>
      <c r="AE83" s="65"/>
      <c r="AF83" s="45">
        <v>10284</v>
      </c>
      <c r="AG83" s="65"/>
      <c r="AH83" s="48">
        <f t="shared" si="3"/>
        <v>39298161</v>
      </c>
      <c r="AI83" s="48"/>
      <c r="AJ83" s="48">
        <v>0</v>
      </c>
      <c r="AK83" s="48"/>
      <c r="AL83" s="45">
        <v>22432184</v>
      </c>
      <c r="AM83" s="45"/>
      <c r="AN83" s="45">
        <v>15381683</v>
      </c>
      <c r="AO83" s="45"/>
      <c r="AP83" s="45">
        <f>1515-192824</f>
        <v>-191309</v>
      </c>
      <c r="AQ83" s="45"/>
      <c r="AR83" s="45">
        <f>+'GVFund Rev'!U83+'GVFund Rev'!W83-'GVFund Exp'!AH83-'GVFund Exp'!AL83+AJ83+AN83+AP83-'GV Fund BS'!S83</f>
        <v>0</v>
      </c>
      <c r="AS83" s="48"/>
    </row>
    <row r="84" spans="1:45" s="44" customFormat="1" ht="12.75" customHeight="1">
      <c r="A84" s="35" t="s">
        <v>108</v>
      </c>
      <c r="C84" s="35" t="s">
        <v>45</v>
      </c>
      <c r="E84" s="45">
        <v>3764431</v>
      </c>
      <c r="F84" s="48"/>
      <c r="G84" s="45">
        <v>8622400</v>
      </c>
      <c r="H84" s="48"/>
      <c r="I84" s="45">
        <v>777763</v>
      </c>
      <c r="J84" s="48"/>
      <c r="K84" s="45">
        <f>2426832+21436</f>
        <v>2448268</v>
      </c>
      <c r="L84" s="48"/>
      <c r="M84" s="45">
        <v>0</v>
      </c>
      <c r="N84" s="48"/>
      <c r="O84" s="45">
        <v>408299</v>
      </c>
      <c r="P84" s="48"/>
      <c r="Q84" s="45">
        <v>0</v>
      </c>
      <c r="R84" s="48"/>
      <c r="S84" s="45">
        <v>2121330</v>
      </c>
      <c r="T84" s="48"/>
      <c r="U84" s="45">
        <v>0</v>
      </c>
      <c r="V84" s="48"/>
      <c r="W84" s="48"/>
      <c r="X84" s="35"/>
      <c r="Z84" s="35"/>
      <c r="AA84" s="35"/>
      <c r="AB84" s="45">
        <v>405565</v>
      </c>
      <c r="AC84" s="65"/>
      <c r="AD84" s="45">
        <v>151810</v>
      </c>
      <c r="AE84" s="65"/>
      <c r="AF84" s="45">
        <v>0</v>
      </c>
      <c r="AG84" s="65"/>
      <c r="AH84" s="48">
        <f t="shared" si="3"/>
        <v>18699866</v>
      </c>
      <c r="AI84" s="48"/>
      <c r="AJ84" s="48">
        <v>0</v>
      </c>
      <c r="AK84" s="48"/>
      <c r="AL84" s="45">
        <v>1584006</v>
      </c>
      <c r="AM84" s="45"/>
      <c r="AN84" s="45">
        <v>8726441</v>
      </c>
      <c r="AO84" s="45"/>
      <c r="AP84" s="45">
        <v>0</v>
      </c>
      <c r="AQ84" s="45"/>
      <c r="AR84" s="45">
        <f>+'GVFund Rev'!U84+'GVFund Rev'!W84-'GVFund Exp'!AH84-'GVFund Exp'!AL84+AJ84+AN84+AP84-'GV Fund BS'!S84</f>
        <v>0</v>
      </c>
      <c r="AS84" s="48"/>
    </row>
    <row r="85" spans="1:45" s="44" customFormat="1" ht="12.75" customHeight="1">
      <c r="A85" s="35" t="s">
        <v>109</v>
      </c>
      <c r="C85" s="35" t="s">
        <v>110</v>
      </c>
      <c r="E85" s="45">
        <v>1700144</v>
      </c>
      <c r="F85" s="48"/>
      <c r="G85" s="45">
        <v>5392627</v>
      </c>
      <c r="H85" s="48"/>
      <c r="I85" s="45">
        <v>957385</v>
      </c>
      <c r="J85" s="48"/>
      <c r="K85" s="45">
        <v>284508</v>
      </c>
      <c r="L85" s="48"/>
      <c r="M85" s="45">
        <v>1010127</v>
      </c>
      <c r="N85" s="48"/>
      <c r="O85" s="45">
        <v>129236</v>
      </c>
      <c r="P85" s="48"/>
      <c r="Q85" s="45">
        <v>16022</v>
      </c>
      <c r="R85" s="48"/>
      <c r="S85" s="45">
        <v>1209382</v>
      </c>
      <c r="T85" s="48"/>
      <c r="U85" s="45">
        <v>0</v>
      </c>
      <c r="V85" s="48"/>
      <c r="W85" s="48"/>
      <c r="X85" s="35"/>
      <c r="Z85" s="35"/>
      <c r="AA85" s="35"/>
      <c r="AB85" s="45">
        <v>163432</v>
      </c>
      <c r="AC85" s="65"/>
      <c r="AD85" s="45">
        <v>28092</v>
      </c>
      <c r="AE85" s="65"/>
      <c r="AF85" s="45">
        <v>0</v>
      </c>
      <c r="AG85" s="65"/>
      <c r="AH85" s="48">
        <f t="shared" si="3"/>
        <v>10890955</v>
      </c>
      <c r="AI85" s="48"/>
      <c r="AJ85" s="48">
        <v>0</v>
      </c>
      <c r="AK85" s="48"/>
      <c r="AL85" s="45">
        <v>1345338</v>
      </c>
      <c r="AM85" s="45"/>
      <c r="AN85" s="45">
        <v>5911863</v>
      </c>
      <c r="AO85" s="45"/>
      <c r="AP85" s="45">
        <v>0</v>
      </c>
      <c r="AQ85" s="45"/>
      <c r="AR85" s="45">
        <f>+'GVFund Rev'!U85+'GVFund Rev'!W85-'GVFund Exp'!AH85-'GVFund Exp'!AL85+AJ85+AN85+AP85-'GV Fund BS'!S85</f>
        <v>0</v>
      </c>
      <c r="AS85" s="48"/>
    </row>
    <row r="86" spans="1:45" s="44" customFormat="1" ht="12.75" customHeight="1">
      <c r="A86" s="35" t="s">
        <v>43</v>
      </c>
      <c r="C86" s="35" t="s">
        <v>111</v>
      </c>
      <c r="E86" s="45">
        <v>2673282</v>
      </c>
      <c r="F86" s="48"/>
      <c r="G86" s="45">
        <f>3503941+1709379+314844</f>
        <v>5528164</v>
      </c>
      <c r="H86" s="48"/>
      <c r="I86" s="45">
        <v>95314</v>
      </c>
      <c r="J86" s="48"/>
      <c r="K86" s="45">
        <v>21911</v>
      </c>
      <c r="L86" s="48"/>
      <c r="M86" s="45">
        <v>1842933</v>
      </c>
      <c r="N86" s="48"/>
      <c r="O86" s="45">
        <v>288923</v>
      </c>
      <c r="P86" s="48"/>
      <c r="Q86" s="45">
        <v>0</v>
      </c>
      <c r="R86" s="48"/>
      <c r="S86" s="45">
        <v>1219077</v>
      </c>
      <c r="T86" s="48"/>
      <c r="U86" s="45">
        <v>0</v>
      </c>
      <c r="V86" s="48"/>
      <c r="W86" s="48"/>
      <c r="X86" s="35"/>
      <c r="Z86" s="35"/>
      <c r="AA86" s="35"/>
      <c r="AB86" s="45">
        <v>616313</v>
      </c>
      <c r="AC86" s="65"/>
      <c r="AD86" s="45">
        <v>598441</v>
      </c>
      <c r="AE86" s="65"/>
      <c r="AF86" s="45">
        <v>103000</v>
      </c>
      <c r="AG86" s="65"/>
      <c r="AH86" s="48">
        <f t="shared" si="3"/>
        <v>12987358</v>
      </c>
      <c r="AI86" s="48"/>
      <c r="AJ86" s="48">
        <v>0</v>
      </c>
      <c r="AK86" s="48"/>
      <c r="AL86" s="45">
        <f>775000+5035028</f>
        <v>5810028</v>
      </c>
      <c r="AM86" s="45"/>
      <c r="AN86" s="45">
        <v>5713937</v>
      </c>
      <c r="AO86" s="45"/>
      <c r="AP86" s="45">
        <v>0</v>
      </c>
      <c r="AQ86" s="45"/>
      <c r="AR86" s="45">
        <f>+'GVFund Rev'!U86+'GVFund Rev'!W86-'GVFund Exp'!AH86-'GVFund Exp'!AL86+AJ86+AN86+AP86-'GV Fund BS'!S86</f>
        <v>0</v>
      </c>
      <c r="AS86" s="48"/>
    </row>
    <row r="87" spans="1:45" s="44" customFormat="1" ht="12.75" customHeight="1">
      <c r="A87" s="35" t="s">
        <v>112</v>
      </c>
      <c r="C87" s="35" t="s">
        <v>76</v>
      </c>
      <c r="E87" s="45">
        <v>2288541</v>
      </c>
      <c r="F87" s="48"/>
      <c r="G87" s="45">
        <v>5513048</v>
      </c>
      <c r="H87" s="48"/>
      <c r="I87" s="45">
        <f>635145+103086</f>
        <v>738231</v>
      </c>
      <c r="J87" s="48"/>
      <c r="K87" s="45">
        <v>11532</v>
      </c>
      <c r="L87" s="48"/>
      <c r="M87" s="45">
        <v>1325948</v>
      </c>
      <c r="N87" s="48"/>
      <c r="O87" s="45">
        <v>1755553</v>
      </c>
      <c r="P87" s="48"/>
      <c r="Q87" s="45">
        <v>0</v>
      </c>
      <c r="R87" s="48"/>
      <c r="S87" s="45">
        <v>2888730</v>
      </c>
      <c r="T87" s="48"/>
      <c r="U87" s="45">
        <v>0</v>
      </c>
      <c r="V87" s="48"/>
      <c r="W87" s="48"/>
      <c r="X87" s="35"/>
      <c r="Z87" s="35"/>
      <c r="AA87" s="35"/>
      <c r="AB87" s="45">
        <v>227241</v>
      </c>
      <c r="AC87" s="65"/>
      <c r="AD87" s="45">
        <v>202704</v>
      </c>
      <c r="AE87" s="65"/>
      <c r="AF87" s="45">
        <v>0</v>
      </c>
      <c r="AG87" s="65"/>
      <c r="AH87" s="48">
        <f t="shared" si="3"/>
        <v>14951528</v>
      </c>
      <c r="AI87" s="48"/>
      <c r="AJ87" s="48">
        <v>0</v>
      </c>
      <c r="AK87" s="48"/>
      <c r="AL87" s="45">
        <v>7925000</v>
      </c>
      <c r="AM87" s="45"/>
      <c r="AN87" s="45">
        <v>14186460</v>
      </c>
      <c r="AO87" s="45"/>
      <c r="AP87" s="45">
        <v>0</v>
      </c>
      <c r="AQ87" s="45"/>
      <c r="AR87" s="45">
        <f>+'GVFund Rev'!U87+'GVFund Rev'!W87-'GVFund Exp'!AH87-'GVFund Exp'!AL87+AJ87+AN87+AP87-'GV Fund BS'!S87</f>
        <v>0</v>
      </c>
      <c r="AS87" s="48"/>
    </row>
    <row r="88" spans="1:45" s="44" customFormat="1" ht="12.75" customHeight="1">
      <c r="A88" s="35" t="s">
        <v>113</v>
      </c>
      <c r="C88" s="35" t="s">
        <v>43</v>
      </c>
      <c r="E88" s="45">
        <v>3953578</v>
      </c>
      <c r="F88" s="45"/>
      <c r="G88" s="45">
        <v>7887657</v>
      </c>
      <c r="H88" s="45"/>
      <c r="I88" s="45">
        <v>4169888</v>
      </c>
      <c r="J88" s="45"/>
      <c r="K88" s="45">
        <v>174923</v>
      </c>
      <c r="L88" s="45"/>
      <c r="M88" s="45">
        <v>2734654</v>
      </c>
      <c r="N88" s="45"/>
      <c r="O88" s="45">
        <v>2218050</v>
      </c>
      <c r="P88" s="45"/>
      <c r="Q88" s="45">
        <v>1457644</v>
      </c>
      <c r="R88" s="45"/>
      <c r="S88" s="45">
        <v>12773759</v>
      </c>
      <c r="T88" s="45"/>
      <c r="U88" s="45">
        <v>0</v>
      </c>
      <c r="V88" s="45"/>
      <c r="W88" s="45"/>
      <c r="X88" s="45"/>
      <c r="Y88" s="45"/>
      <c r="AB88" s="45">
        <v>973430</v>
      </c>
      <c r="AC88" s="65"/>
      <c r="AD88" s="45">
        <v>760188</v>
      </c>
      <c r="AE88" s="65"/>
      <c r="AF88" s="45">
        <v>94262</v>
      </c>
      <c r="AG88" s="65"/>
      <c r="AH88" s="48">
        <f t="shared" si="3"/>
        <v>37198033</v>
      </c>
      <c r="AI88" s="48"/>
      <c r="AJ88" s="48">
        <v>0</v>
      </c>
      <c r="AK88" s="48"/>
      <c r="AL88" s="45">
        <v>0</v>
      </c>
      <c r="AM88" s="45"/>
      <c r="AN88" s="45">
        <v>37489995</v>
      </c>
      <c r="AO88" s="45"/>
      <c r="AP88" s="45">
        <v>0</v>
      </c>
      <c r="AQ88" s="45"/>
      <c r="AR88" s="45">
        <f>+'GVFund Rev'!U88+'GVFund Rev'!W88-'GVFund Exp'!AH88-'GVFund Exp'!AL88+AJ88+AN88+AP88-'GV Fund BS'!S88</f>
        <v>0</v>
      </c>
      <c r="AS88" s="48"/>
    </row>
    <row r="89" spans="1:45" s="44" customFormat="1" ht="12.75" customHeight="1">
      <c r="A89" s="35" t="s">
        <v>493</v>
      </c>
      <c r="C89" s="35" t="s">
        <v>57</v>
      </c>
      <c r="E89" s="45">
        <v>1284806</v>
      </c>
      <c r="F89" s="48"/>
      <c r="G89" s="45">
        <f>1649206+1488918</f>
        <v>3138124</v>
      </c>
      <c r="H89" s="48"/>
      <c r="I89" s="45">
        <v>267385</v>
      </c>
      <c r="J89" s="48"/>
      <c r="K89" s="45">
        <v>357579</v>
      </c>
      <c r="L89" s="48"/>
      <c r="M89" s="45">
        <v>862366</v>
      </c>
      <c r="N89" s="48"/>
      <c r="O89" s="45">
        <v>490962</v>
      </c>
      <c r="P89" s="48"/>
      <c r="Q89" s="45">
        <v>0</v>
      </c>
      <c r="R89" s="48"/>
      <c r="S89" s="45">
        <v>0</v>
      </c>
      <c r="T89" s="48"/>
      <c r="U89" s="45">
        <v>0</v>
      </c>
      <c r="V89" s="48"/>
      <c r="W89" s="48"/>
      <c r="X89" s="35"/>
      <c r="Z89" s="35"/>
      <c r="AA89" s="35"/>
      <c r="AB89" s="45">
        <v>1101571</v>
      </c>
      <c r="AC89" s="65"/>
      <c r="AD89" s="45">
        <v>223837</v>
      </c>
      <c r="AE89" s="65"/>
      <c r="AF89" s="45">
        <v>0</v>
      </c>
      <c r="AG89" s="65"/>
      <c r="AH89" s="48">
        <f>SUM(E89:AF89)</f>
        <v>7726630</v>
      </c>
      <c r="AI89" s="48"/>
      <c r="AJ89" s="48">
        <v>0</v>
      </c>
      <c r="AK89" s="48"/>
      <c r="AL89" s="45">
        <v>2207276</v>
      </c>
      <c r="AM89" s="45"/>
      <c r="AN89" s="45">
        <v>2789416</v>
      </c>
      <c r="AO89" s="45"/>
      <c r="AP89" s="45">
        <v>0</v>
      </c>
      <c r="AQ89" s="45"/>
      <c r="AR89" s="45">
        <f>+'GVFund Rev'!U89+'GVFund Rev'!W89-'GVFund Exp'!AH89-'GVFund Exp'!AL89+AJ89+AN89+AP89-'GV Fund BS'!S89</f>
        <v>0</v>
      </c>
      <c r="AS89" s="48"/>
    </row>
    <row r="90" spans="1:45" s="44" customFormat="1" ht="12.75" customHeight="1">
      <c r="A90" s="35" t="s">
        <v>114</v>
      </c>
      <c r="C90" s="35" t="s">
        <v>27</v>
      </c>
      <c r="E90" s="45">
        <v>8992738</v>
      </c>
      <c r="F90" s="48"/>
      <c r="G90" s="45">
        <v>12427965</v>
      </c>
      <c r="H90" s="48"/>
      <c r="I90" s="45">
        <v>210659</v>
      </c>
      <c r="J90" s="48"/>
      <c r="K90" s="45">
        <v>704706</v>
      </c>
      <c r="L90" s="48"/>
      <c r="M90" s="45">
        <v>2271002</v>
      </c>
      <c r="N90" s="48"/>
      <c r="O90" s="45">
        <v>1144508</v>
      </c>
      <c r="P90" s="48"/>
      <c r="Q90" s="45">
        <v>1844312</v>
      </c>
      <c r="R90" s="48"/>
      <c r="S90" s="45">
        <v>3028789</v>
      </c>
      <c r="T90" s="48"/>
      <c r="U90" s="45">
        <v>0</v>
      </c>
      <c r="V90" s="48"/>
      <c r="W90" s="48"/>
      <c r="X90" s="35"/>
      <c r="Z90" s="35"/>
      <c r="AA90" s="35"/>
      <c r="AB90" s="45">
        <v>4088625</v>
      </c>
      <c r="AC90" s="65"/>
      <c r="AD90" s="45">
        <v>1613442</v>
      </c>
      <c r="AE90" s="65"/>
      <c r="AF90" s="45">
        <v>0</v>
      </c>
      <c r="AG90" s="65"/>
      <c r="AH90" s="48">
        <f>SUM(E90:AF90)</f>
        <v>36326746</v>
      </c>
      <c r="AI90" s="48"/>
      <c r="AJ90" s="48">
        <v>0</v>
      </c>
      <c r="AK90" s="48"/>
      <c r="AL90" s="45">
        <v>2761077</v>
      </c>
      <c r="AM90" s="45"/>
      <c r="AN90" s="45">
        <v>-1695079</v>
      </c>
      <c r="AO90" s="45"/>
      <c r="AP90" s="45">
        <v>0</v>
      </c>
      <c r="AQ90" s="45"/>
      <c r="AR90" s="45">
        <f>+'GVFund Rev'!U90+'GVFund Rev'!W90-'GVFund Exp'!AH90-'GVFund Exp'!AL90+AJ90+AN90+AP90-'GV Fund BS'!S90</f>
        <v>0</v>
      </c>
      <c r="AS90" s="48"/>
    </row>
    <row r="91" spans="1:45" s="44" customFormat="1" ht="12.75" customHeight="1">
      <c r="A91" s="35" t="s">
        <v>115</v>
      </c>
      <c r="C91" s="35" t="s">
        <v>19</v>
      </c>
      <c r="E91" s="45">
        <v>765663</v>
      </c>
      <c r="F91" s="48"/>
      <c r="G91" s="45">
        <v>2024019</v>
      </c>
      <c r="H91" s="48"/>
      <c r="I91" s="45">
        <v>403728</v>
      </c>
      <c r="J91" s="48"/>
      <c r="K91" s="45">
        <v>0</v>
      </c>
      <c r="L91" s="48"/>
      <c r="M91" s="45">
        <v>796450</v>
      </c>
      <c r="N91" s="48"/>
      <c r="O91" s="45">
        <v>149885</v>
      </c>
      <c r="P91" s="48"/>
      <c r="Q91" s="45">
        <v>0</v>
      </c>
      <c r="R91" s="48"/>
      <c r="S91" s="45">
        <v>393420</v>
      </c>
      <c r="T91" s="48"/>
      <c r="U91" s="45">
        <v>0</v>
      </c>
      <c r="V91" s="48"/>
      <c r="W91" s="48"/>
      <c r="X91" s="35"/>
      <c r="Z91" s="35"/>
      <c r="AA91" s="35"/>
      <c r="AB91" s="45">
        <v>336526</v>
      </c>
      <c r="AC91" s="65"/>
      <c r="AD91" s="45">
        <v>158092</v>
      </c>
      <c r="AE91" s="65"/>
      <c r="AF91" s="45">
        <v>0</v>
      </c>
      <c r="AG91" s="65"/>
      <c r="AH91" s="48">
        <f t="shared" si="3"/>
        <v>5027783</v>
      </c>
      <c r="AI91" s="48"/>
      <c r="AJ91" s="48">
        <v>0</v>
      </c>
      <c r="AK91" s="48"/>
      <c r="AL91" s="45">
        <v>866442</v>
      </c>
      <c r="AM91" s="45"/>
      <c r="AN91" s="45">
        <v>1531297</v>
      </c>
      <c r="AO91" s="45"/>
      <c r="AP91" s="45">
        <v>0</v>
      </c>
      <c r="AQ91" s="45"/>
      <c r="AR91" s="45">
        <f>+'GVFund Rev'!U91+'GVFund Rev'!W91-'GVFund Exp'!AH91-'GVFund Exp'!AL91+AJ91+AN91+AP91-'GV Fund BS'!S91</f>
        <v>0</v>
      </c>
      <c r="AS91" s="48"/>
    </row>
    <row r="92" spans="1:45" s="44" customFormat="1" ht="12.75" customHeight="1">
      <c r="A92" s="35" t="s">
        <v>116</v>
      </c>
      <c r="C92" s="35" t="s">
        <v>80</v>
      </c>
      <c r="E92" s="45">
        <v>1970147</v>
      </c>
      <c r="F92" s="48"/>
      <c r="G92" s="45">
        <v>2993369</v>
      </c>
      <c r="H92" s="48"/>
      <c r="I92" s="45">
        <v>931382</v>
      </c>
      <c r="J92" s="48"/>
      <c r="K92" s="45">
        <v>604972</v>
      </c>
      <c r="L92" s="48"/>
      <c r="M92" s="45">
        <v>1169323</v>
      </c>
      <c r="N92" s="48"/>
      <c r="O92" s="45">
        <v>47729</v>
      </c>
      <c r="P92" s="48"/>
      <c r="Q92" s="45">
        <v>399519</v>
      </c>
      <c r="R92" s="48"/>
      <c r="S92" s="45">
        <v>300105</v>
      </c>
      <c r="T92" s="48"/>
      <c r="U92" s="45">
        <v>0</v>
      </c>
      <c r="V92" s="48"/>
      <c r="W92" s="48"/>
      <c r="X92" s="35"/>
      <c r="Z92" s="35"/>
      <c r="AA92" s="35"/>
      <c r="AB92" s="45">
        <v>291060</v>
      </c>
      <c r="AC92" s="65"/>
      <c r="AD92" s="45">
        <v>242498</v>
      </c>
      <c r="AE92" s="65"/>
      <c r="AF92" s="45">
        <v>0</v>
      </c>
      <c r="AG92" s="65"/>
      <c r="AH92" s="48">
        <f t="shared" si="3"/>
        <v>8950104</v>
      </c>
      <c r="AI92" s="48"/>
      <c r="AJ92" s="48">
        <v>0</v>
      </c>
      <c r="AK92" s="48"/>
      <c r="AL92" s="45">
        <v>0</v>
      </c>
      <c r="AM92" s="45"/>
      <c r="AN92" s="45">
        <v>1666516</v>
      </c>
      <c r="AO92" s="45"/>
      <c r="AP92" s="45">
        <v>0</v>
      </c>
      <c r="AQ92" s="45"/>
      <c r="AR92" s="45">
        <f>+'GVFund Rev'!U92+'GVFund Rev'!W92-'GVFund Exp'!AH92-'GVFund Exp'!AL92+AJ92+AN92+AP92-'GV Fund BS'!S92</f>
        <v>0</v>
      </c>
      <c r="AS92" s="48"/>
    </row>
    <row r="93" spans="1:45" s="44" customFormat="1" ht="12.75" customHeight="1">
      <c r="A93" s="44" t="s">
        <v>117</v>
      </c>
      <c r="C93" s="35" t="s">
        <v>43</v>
      </c>
      <c r="E93" s="45">
        <v>2035446</v>
      </c>
      <c r="F93" s="48"/>
      <c r="G93" s="45">
        <v>4149691</v>
      </c>
      <c r="H93" s="48"/>
      <c r="I93" s="45">
        <v>0</v>
      </c>
      <c r="J93" s="48"/>
      <c r="K93" s="45">
        <v>34345</v>
      </c>
      <c r="L93" s="48"/>
      <c r="M93" s="45">
        <v>1255987</v>
      </c>
      <c r="N93" s="48"/>
      <c r="O93" s="45">
        <v>690768</v>
      </c>
      <c r="P93" s="48"/>
      <c r="Q93" s="45">
        <v>107153</v>
      </c>
      <c r="R93" s="48"/>
      <c r="S93" s="45">
        <v>548017</v>
      </c>
      <c r="T93" s="48"/>
      <c r="U93" s="45">
        <v>0</v>
      </c>
      <c r="V93" s="48"/>
      <c r="W93" s="48"/>
      <c r="X93" s="35"/>
      <c r="Z93" s="35"/>
      <c r="AA93" s="35"/>
      <c r="AB93" s="45">
        <v>252474</v>
      </c>
      <c r="AC93" s="65"/>
      <c r="AD93" s="45">
        <v>26004</v>
      </c>
      <c r="AE93" s="65"/>
      <c r="AF93" s="45">
        <v>0</v>
      </c>
      <c r="AG93" s="65"/>
      <c r="AH93" s="48">
        <f t="shared" si="3"/>
        <v>9099885</v>
      </c>
      <c r="AI93" s="48"/>
      <c r="AJ93" s="48">
        <v>0</v>
      </c>
      <c r="AK93" s="48"/>
      <c r="AL93" s="45">
        <v>638412</v>
      </c>
      <c r="AM93" s="45"/>
      <c r="AN93" s="45">
        <v>3062298</v>
      </c>
      <c r="AO93" s="45"/>
      <c r="AP93" s="45">
        <v>0</v>
      </c>
      <c r="AQ93" s="45"/>
      <c r="AR93" s="45">
        <f>+'GVFund Rev'!U93+'GVFund Rev'!W93-'GVFund Exp'!AH93-'GVFund Exp'!AL93+AJ93+AN93+AP93-'GV Fund BS'!S93</f>
        <v>0</v>
      </c>
      <c r="AS93" s="48"/>
    </row>
    <row r="94" spans="1:45" s="44" customFormat="1" ht="12.75" customHeight="1">
      <c r="A94" s="64" t="s">
        <v>118</v>
      </c>
      <c r="B94" s="46"/>
      <c r="C94" s="64" t="s">
        <v>13</v>
      </c>
      <c r="D94" s="46"/>
      <c r="E94" s="45">
        <v>4594949</v>
      </c>
      <c r="F94" s="48"/>
      <c r="G94" s="45">
        <v>6958813</v>
      </c>
      <c r="H94" s="48"/>
      <c r="I94" s="45">
        <v>749565</v>
      </c>
      <c r="J94" s="48"/>
      <c r="K94" s="45">
        <v>236064</v>
      </c>
      <c r="L94" s="48"/>
      <c r="M94" s="45">
        <v>6733390</v>
      </c>
      <c r="N94" s="48"/>
      <c r="O94" s="45">
        <v>1164109</v>
      </c>
      <c r="P94" s="48"/>
      <c r="Q94" s="45">
        <v>0</v>
      </c>
      <c r="R94" s="48"/>
      <c r="S94" s="45">
        <v>4699586</v>
      </c>
      <c r="T94" s="48"/>
      <c r="U94" s="45">
        <v>0</v>
      </c>
      <c r="V94" s="48"/>
      <c r="W94" s="48"/>
      <c r="X94" s="35"/>
      <c r="Z94" s="35"/>
      <c r="AA94" s="35"/>
      <c r="AB94" s="45">
        <v>770000</v>
      </c>
      <c r="AC94" s="65"/>
      <c r="AD94" s="45">
        <v>1888813</v>
      </c>
      <c r="AE94" s="65"/>
      <c r="AF94" s="45">
        <v>0</v>
      </c>
      <c r="AG94" s="65"/>
      <c r="AH94" s="48">
        <f t="shared" si="3"/>
        <v>27795289</v>
      </c>
      <c r="AI94" s="48"/>
      <c r="AJ94" s="48">
        <v>0</v>
      </c>
      <c r="AK94" s="48"/>
      <c r="AL94" s="45">
        <v>5874212</v>
      </c>
      <c r="AM94" s="45"/>
      <c r="AN94" s="45">
        <v>34624412</v>
      </c>
      <c r="AO94" s="45"/>
      <c r="AP94" s="45">
        <v>0</v>
      </c>
      <c r="AQ94" s="45"/>
      <c r="AR94" s="45">
        <f>+'GVFund Rev'!U94+'GVFund Rev'!W94-'GVFund Exp'!AH94-'GVFund Exp'!AL94+AJ94+AN94+AP94-'GV Fund BS'!S94</f>
        <v>0</v>
      </c>
      <c r="AS94" s="48"/>
    </row>
    <row r="95" spans="1:45" s="44" customFormat="1" ht="12.75" customHeight="1">
      <c r="A95" s="35" t="s">
        <v>120</v>
      </c>
      <c r="C95" s="35" t="s">
        <v>121</v>
      </c>
      <c r="E95" s="45">
        <v>1892768</v>
      </c>
      <c r="F95" s="48"/>
      <c r="G95" s="45">
        <v>4208855</v>
      </c>
      <c r="H95" s="48"/>
      <c r="I95" s="45">
        <v>15141</v>
      </c>
      <c r="J95" s="48"/>
      <c r="K95" s="45">
        <v>18297</v>
      </c>
      <c r="L95" s="48"/>
      <c r="M95" s="45">
        <v>3054560</v>
      </c>
      <c r="N95" s="48"/>
      <c r="O95" s="45">
        <v>575466</v>
      </c>
      <c r="P95" s="48"/>
      <c r="Q95" s="45">
        <v>279168</v>
      </c>
      <c r="R95" s="48"/>
      <c r="S95" s="45">
        <v>792693</v>
      </c>
      <c r="T95" s="48"/>
      <c r="U95" s="45">
        <v>0</v>
      </c>
      <c r="V95" s="48"/>
      <c r="W95" s="48"/>
      <c r="X95" s="35"/>
      <c r="Z95" s="35"/>
      <c r="AA95" s="35"/>
      <c r="AB95" s="45">
        <v>268929</v>
      </c>
      <c r="AC95" s="65"/>
      <c r="AD95" s="45">
        <v>170691</v>
      </c>
      <c r="AE95" s="65"/>
      <c r="AF95" s="45">
        <v>0</v>
      </c>
      <c r="AG95" s="65"/>
      <c r="AH95" s="48">
        <f t="shared" si="3"/>
        <v>11276568</v>
      </c>
      <c r="AI95" s="48"/>
      <c r="AJ95" s="48">
        <v>0</v>
      </c>
      <c r="AK95" s="48"/>
      <c r="AL95" s="45">
        <v>0</v>
      </c>
      <c r="AM95" s="45"/>
      <c r="AN95" s="45">
        <v>5369816</v>
      </c>
      <c r="AO95" s="45"/>
      <c r="AP95" s="45">
        <v>0</v>
      </c>
      <c r="AQ95" s="45"/>
      <c r="AR95" s="45">
        <f>+'GVFund Rev'!U95+'GVFund Rev'!W95-'GVFund Exp'!AH95-'GVFund Exp'!AL95+AJ95+AN95+AP95-'GV Fund BS'!S95</f>
        <v>0</v>
      </c>
      <c r="AS95" s="48"/>
    </row>
    <row r="96" spans="1:45" s="44" customFormat="1" ht="12.75" customHeight="1">
      <c r="A96" s="35" t="s">
        <v>122</v>
      </c>
      <c r="C96" s="35" t="s">
        <v>43</v>
      </c>
      <c r="E96" s="45">
        <v>6485530</v>
      </c>
      <c r="F96" s="48"/>
      <c r="G96" s="45">
        <v>8892889</v>
      </c>
      <c r="H96" s="48"/>
      <c r="I96" s="45">
        <v>1165585</v>
      </c>
      <c r="J96" s="48"/>
      <c r="K96" s="45">
        <v>240079</v>
      </c>
      <c r="L96" s="48"/>
      <c r="M96" s="45">
        <v>1282273</v>
      </c>
      <c r="N96" s="48"/>
      <c r="O96" s="45">
        <v>1890187</v>
      </c>
      <c r="P96" s="48"/>
      <c r="Q96" s="45">
        <v>0</v>
      </c>
      <c r="R96" s="48"/>
      <c r="S96" s="45">
        <v>11644456</v>
      </c>
      <c r="T96" s="48"/>
      <c r="U96" s="45">
        <v>0</v>
      </c>
      <c r="V96" s="48"/>
      <c r="W96" s="48"/>
      <c r="X96" s="35"/>
      <c r="Z96" s="35"/>
      <c r="AA96" s="35"/>
      <c r="AB96" s="45">
        <v>1054316</v>
      </c>
      <c r="AC96" s="65"/>
      <c r="AD96" s="45">
        <v>1849409</v>
      </c>
      <c r="AE96" s="65"/>
      <c r="AF96" s="45">
        <v>0</v>
      </c>
      <c r="AG96" s="65"/>
      <c r="AH96" s="48">
        <f t="shared" si="3"/>
        <v>34504724</v>
      </c>
      <c r="AI96" s="48"/>
      <c r="AJ96" s="48">
        <v>0</v>
      </c>
      <c r="AK96" s="48"/>
      <c r="AL96" s="45">
        <v>0</v>
      </c>
      <c r="AM96" s="45"/>
      <c r="AN96" s="45">
        <v>30931786</v>
      </c>
      <c r="AO96" s="45"/>
      <c r="AP96" s="45">
        <v>0</v>
      </c>
      <c r="AQ96" s="45"/>
      <c r="AR96" s="45">
        <f>+'GVFund Rev'!U96+'GVFund Rev'!W96-'GVFund Exp'!AH96-'GVFund Exp'!AL96+AJ96+AN96+AP96-'GV Fund BS'!S96</f>
        <v>0</v>
      </c>
      <c r="AS96" s="48"/>
    </row>
    <row r="97" spans="1:45" s="44" customFormat="1" ht="12.75" customHeight="1">
      <c r="A97" s="44" t="s">
        <v>45</v>
      </c>
      <c r="C97" s="35" t="s">
        <v>103</v>
      </c>
      <c r="E97" s="45">
        <v>7374610</v>
      </c>
      <c r="F97" s="48"/>
      <c r="G97" s="45">
        <v>30438704</v>
      </c>
      <c r="H97" s="48"/>
      <c r="I97" s="45">
        <v>5089993</v>
      </c>
      <c r="J97" s="48"/>
      <c r="K97" s="45">
        <v>2020528</v>
      </c>
      <c r="L97" s="48"/>
      <c r="M97" s="45">
        <v>3443964</v>
      </c>
      <c r="N97" s="48"/>
      <c r="O97" s="45">
        <v>2792748</v>
      </c>
      <c r="P97" s="48"/>
      <c r="Q97" s="45">
        <v>6465442</v>
      </c>
      <c r="R97" s="48"/>
      <c r="S97" s="45">
        <v>6522370</v>
      </c>
      <c r="T97" s="48"/>
      <c r="U97" s="45">
        <v>0</v>
      </c>
      <c r="V97" s="48"/>
      <c r="W97" s="48"/>
      <c r="X97" s="35"/>
      <c r="Z97" s="35"/>
      <c r="AA97" s="35"/>
      <c r="AB97" s="45">
        <v>1885000</v>
      </c>
      <c r="AC97" s="65"/>
      <c r="AD97" s="45">
        <v>1674562</v>
      </c>
      <c r="AE97" s="65"/>
      <c r="AF97" s="45">
        <v>0</v>
      </c>
      <c r="AG97" s="65"/>
      <c r="AH97" s="48">
        <f t="shared" ref="AH97:AH131" si="4">SUM(E97:AF97)</f>
        <v>67707921</v>
      </c>
      <c r="AI97" s="48"/>
      <c r="AJ97" s="48">
        <v>0</v>
      </c>
      <c r="AK97" s="48"/>
      <c r="AL97" s="45">
        <v>0</v>
      </c>
      <c r="AM97" s="45"/>
      <c r="AN97" s="45">
        <v>15541755</v>
      </c>
      <c r="AO97" s="45"/>
      <c r="AP97" s="45">
        <v>-1159</v>
      </c>
      <c r="AQ97" s="45"/>
      <c r="AR97" s="45">
        <f>+'GVFund Rev'!U97+'GVFund Rev'!W97-'GVFund Exp'!AH97-'GVFund Exp'!AL97+AJ97+AN97+AP97-'GV Fund BS'!S97</f>
        <v>0</v>
      </c>
      <c r="AS97" s="48"/>
    </row>
    <row r="98" spans="1:45" s="44" customFormat="1" ht="12.75" customHeight="1">
      <c r="A98" s="46" t="s">
        <v>123</v>
      </c>
      <c r="B98" s="46"/>
      <c r="C98" s="64" t="s">
        <v>45</v>
      </c>
      <c r="D98" s="46"/>
      <c r="E98" s="45">
        <v>836722</v>
      </c>
      <c r="F98" s="48"/>
      <c r="G98" s="45">
        <v>4507623</v>
      </c>
      <c r="H98" s="48"/>
      <c r="I98" s="45">
        <v>124646</v>
      </c>
      <c r="J98" s="48"/>
      <c r="K98" s="45">
        <v>279541</v>
      </c>
      <c r="L98" s="48"/>
      <c r="M98" s="45">
        <v>555511</v>
      </c>
      <c r="N98" s="48"/>
      <c r="O98" s="45">
        <v>251698</v>
      </c>
      <c r="P98" s="48"/>
      <c r="Q98" s="45">
        <v>0</v>
      </c>
      <c r="R98" s="48"/>
      <c r="S98" s="45">
        <v>2379123</v>
      </c>
      <c r="T98" s="48"/>
      <c r="U98" s="45">
        <v>0</v>
      </c>
      <c r="V98" s="48"/>
      <c r="W98" s="48"/>
      <c r="X98" s="35"/>
      <c r="Z98" s="35"/>
      <c r="AA98" s="35"/>
      <c r="AB98" s="45">
        <v>327701</v>
      </c>
      <c r="AC98" s="65"/>
      <c r="AD98" s="45">
        <v>37416</v>
      </c>
      <c r="AE98" s="65"/>
      <c r="AF98" s="45">
        <v>0</v>
      </c>
      <c r="AG98" s="65"/>
      <c r="AH98" s="48">
        <f t="shared" si="4"/>
        <v>9299981</v>
      </c>
      <c r="AI98" s="48"/>
      <c r="AJ98" s="48">
        <v>0</v>
      </c>
      <c r="AK98" s="48"/>
      <c r="AL98" s="45">
        <v>0</v>
      </c>
      <c r="AM98" s="45"/>
      <c r="AN98" s="45">
        <v>4805944</v>
      </c>
      <c r="AO98" s="45"/>
      <c r="AP98" s="45">
        <v>0</v>
      </c>
      <c r="AQ98" s="45"/>
      <c r="AR98" s="45">
        <f>+'GVFund Rev'!U98+'GVFund Rev'!W98-'GVFund Exp'!AH98-'GVFund Exp'!AL98+AJ98+AN98+AP98-'GV Fund BS'!S98</f>
        <v>0</v>
      </c>
      <c r="AS98" s="48"/>
    </row>
    <row r="99" spans="1:45" s="44" customFormat="1" ht="12.75" customHeight="1">
      <c r="A99" s="35" t="s">
        <v>124</v>
      </c>
      <c r="C99" s="35" t="s">
        <v>125</v>
      </c>
      <c r="E99" s="45">
        <v>1434312</v>
      </c>
      <c r="F99" s="48"/>
      <c r="G99" s="45">
        <v>4679467</v>
      </c>
      <c r="H99" s="48"/>
      <c r="I99" s="45">
        <v>248553</v>
      </c>
      <c r="J99" s="48"/>
      <c r="K99" s="45">
        <v>55000</v>
      </c>
      <c r="L99" s="48"/>
      <c r="M99" s="45">
        <v>1304268</v>
      </c>
      <c r="N99" s="48"/>
      <c r="O99" s="45">
        <v>1537158</v>
      </c>
      <c r="P99" s="48"/>
      <c r="Q99" s="45">
        <v>48759</v>
      </c>
      <c r="R99" s="48"/>
      <c r="S99" s="45">
        <v>0</v>
      </c>
      <c r="T99" s="48"/>
      <c r="U99" s="45">
        <v>0</v>
      </c>
      <c r="V99" s="48"/>
      <c r="W99" s="48"/>
      <c r="X99" s="35"/>
      <c r="Z99" s="35"/>
      <c r="AA99" s="35"/>
      <c r="AB99" s="45">
        <v>254165</v>
      </c>
      <c r="AC99" s="65"/>
      <c r="AD99" s="45">
        <v>212555</v>
      </c>
      <c r="AE99" s="65"/>
      <c r="AF99" s="45">
        <v>0</v>
      </c>
      <c r="AG99" s="65"/>
      <c r="AH99" s="48">
        <f t="shared" si="4"/>
        <v>9774237</v>
      </c>
      <c r="AI99" s="48"/>
      <c r="AJ99" s="48">
        <v>0</v>
      </c>
      <c r="AK99" s="48"/>
      <c r="AL99" s="45">
        <v>0</v>
      </c>
      <c r="AM99" s="45"/>
      <c r="AN99" s="45">
        <v>6485897</v>
      </c>
      <c r="AO99" s="45"/>
      <c r="AP99" s="45">
        <v>23914</v>
      </c>
      <c r="AQ99" s="45"/>
      <c r="AR99" s="45">
        <f>+'GVFund Rev'!U99+'GVFund Rev'!W99-'GVFund Exp'!AH99-'GVFund Exp'!AL99+AJ99+AN99+AP99-'GV Fund BS'!S99</f>
        <v>0</v>
      </c>
      <c r="AS99" s="48"/>
    </row>
    <row r="100" spans="1:45" s="44" customFormat="1" ht="12.75" customHeight="1">
      <c r="A100" s="35" t="s">
        <v>126</v>
      </c>
      <c r="C100" s="35" t="s">
        <v>27</v>
      </c>
      <c r="E100" s="45">
        <v>1979967</v>
      </c>
      <c r="F100" s="48"/>
      <c r="G100" s="45">
        <v>5602379</v>
      </c>
      <c r="H100" s="48"/>
      <c r="I100" s="45">
        <v>143886</v>
      </c>
      <c r="J100" s="48"/>
      <c r="K100" s="45">
        <v>32985</v>
      </c>
      <c r="L100" s="48"/>
      <c r="M100" s="45">
        <v>832429</v>
      </c>
      <c r="N100" s="48"/>
      <c r="O100" s="45">
        <v>571664</v>
      </c>
      <c r="P100" s="48"/>
      <c r="Q100" s="45">
        <v>1436091</v>
      </c>
      <c r="R100" s="48"/>
      <c r="S100" s="45">
        <v>2407424</v>
      </c>
      <c r="T100" s="48"/>
      <c r="U100" s="45">
        <v>0</v>
      </c>
      <c r="V100" s="48"/>
      <c r="W100" s="48"/>
      <c r="X100" s="35"/>
      <c r="Z100" s="35"/>
      <c r="AA100" s="35"/>
      <c r="AB100" s="45">
        <v>1171645</v>
      </c>
      <c r="AC100" s="65"/>
      <c r="AD100" s="45">
        <v>745247</v>
      </c>
      <c r="AE100" s="65"/>
      <c r="AF100" s="45">
        <v>0</v>
      </c>
      <c r="AG100" s="65"/>
      <c r="AH100" s="48">
        <f t="shared" si="4"/>
        <v>14923717</v>
      </c>
      <c r="AI100" s="48"/>
      <c r="AJ100" s="48">
        <v>0</v>
      </c>
      <c r="AK100" s="48"/>
      <c r="AL100" s="45">
        <v>0</v>
      </c>
      <c r="AM100" s="45"/>
      <c r="AN100" s="45">
        <v>5962147</v>
      </c>
      <c r="AO100" s="45"/>
      <c r="AP100" s="45">
        <v>-9553</v>
      </c>
      <c r="AQ100" s="45"/>
      <c r="AR100" s="45">
        <f>+'GVFund Rev'!U100+'GVFund Rev'!W100-'GVFund Exp'!AH100-'GVFund Exp'!AL100+AJ100+AN100+AP100-'GV Fund BS'!S100</f>
        <v>0</v>
      </c>
      <c r="AS100" s="48"/>
    </row>
    <row r="101" spans="1:45" s="44" customFormat="1" ht="12.75" customHeight="1">
      <c r="A101" s="35" t="s">
        <v>127</v>
      </c>
      <c r="C101" s="35" t="s">
        <v>43</v>
      </c>
      <c r="E101" s="45">
        <v>4105156</v>
      </c>
      <c r="F101" s="48"/>
      <c r="G101" s="45">
        <v>7507956</v>
      </c>
      <c r="H101" s="48"/>
      <c r="I101" s="45">
        <v>5565363</v>
      </c>
      <c r="J101" s="48"/>
      <c r="K101" s="45">
        <v>146530</v>
      </c>
      <c r="L101" s="48"/>
      <c r="M101" s="45">
        <v>5389484</v>
      </c>
      <c r="N101" s="48"/>
      <c r="O101" s="45">
        <v>4855085</v>
      </c>
      <c r="P101" s="48"/>
      <c r="Q101" s="45">
        <v>1599361</v>
      </c>
      <c r="R101" s="48"/>
      <c r="S101" s="45">
        <v>0</v>
      </c>
      <c r="T101" s="48"/>
      <c r="U101" s="45">
        <v>0</v>
      </c>
      <c r="V101" s="48"/>
      <c r="W101" s="48"/>
      <c r="X101" s="35"/>
      <c r="Z101" s="35"/>
      <c r="AA101" s="35"/>
      <c r="AB101" s="45">
        <v>2471327</v>
      </c>
      <c r="AC101" s="65"/>
      <c r="AD101" s="45">
        <v>2062148</v>
      </c>
      <c r="AE101" s="65"/>
      <c r="AF101" s="45">
        <v>0</v>
      </c>
      <c r="AG101" s="65"/>
      <c r="AH101" s="48">
        <f t="shared" si="4"/>
        <v>33702410</v>
      </c>
      <c r="AI101" s="48"/>
      <c r="AJ101" s="48">
        <v>0</v>
      </c>
      <c r="AK101" s="48"/>
      <c r="AL101" s="45">
        <v>0</v>
      </c>
      <c r="AM101" s="45"/>
      <c r="AN101" s="45">
        <v>13439583</v>
      </c>
      <c r="AO101" s="45"/>
      <c r="AP101" s="45">
        <v>0</v>
      </c>
      <c r="AQ101" s="45"/>
      <c r="AR101" s="45">
        <f>+'GVFund Rev'!U101+'GVFund Rev'!W101-'GVFund Exp'!AH101-'GVFund Exp'!AL101+AJ101+AN101+AP101-'GV Fund BS'!S101</f>
        <v>0</v>
      </c>
      <c r="AS101" s="48"/>
    </row>
    <row r="102" spans="1:45" s="46" customFormat="1" ht="12.75" customHeight="1">
      <c r="A102" s="35" t="s">
        <v>128</v>
      </c>
      <c r="B102" s="44"/>
      <c r="C102" s="35" t="s">
        <v>119</v>
      </c>
      <c r="D102" s="44"/>
      <c r="E102" s="45">
        <f>1150804+259149</f>
        <v>1409953</v>
      </c>
      <c r="F102" s="45"/>
      <c r="G102" s="45">
        <v>3242454</v>
      </c>
      <c r="H102" s="45"/>
      <c r="I102" s="45">
        <v>499284</v>
      </c>
      <c r="J102" s="45"/>
      <c r="K102" s="45">
        <v>26956</v>
      </c>
      <c r="L102" s="45"/>
      <c r="M102" s="45">
        <v>436906</v>
      </c>
      <c r="N102" s="45"/>
      <c r="O102" s="45">
        <v>88633</v>
      </c>
      <c r="P102" s="45"/>
      <c r="Q102" s="45">
        <v>0</v>
      </c>
      <c r="R102" s="45"/>
      <c r="S102" s="45">
        <v>759127</v>
      </c>
      <c r="T102" s="45"/>
      <c r="U102" s="45">
        <v>0</v>
      </c>
      <c r="V102" s="45"/>
      <c r="W102" s="45"/>
      <c r="X102" s="45"/>
      <c r="Y102" s="45"/>
      <c r="Z102" s="44"/>
      <c r="AA102" s="44"/>
      <c r="AB102" s="45">
        <v>109543</v>
      </c>
      <c r="AC102" s="65"/>
      <c r="AD102" s="45">
        <v>12665</v>
      </c>
      <c r="AE102" s="65"/>
      <c r="AF102" s="45">
        <v>0</v>
      </c>
      <c r="AG102" s="65"/>
      <c r="AH102" s="48">
        <f t="shared" si="4"/>
        <v>6585521</v>
      </c>
      <c r="AI102" s="48"/>
      <c r="AJ102" s="48">
        <v>0</v>
      </c>
      <c r="AK102" s="48"/>
      <c r="AL102" s="45">
        <v>804069</v>
      </c>
      <c r="AM102" s="45"/>
      <c r="AN102" s="45">
        <v>4443465</v>
      </c>
      <c r="AO102" s="45"/>
      <c r="AP102" s="45">
        <v>0</v>
      </c>
      <c r="AQ102" s="45"/>
      <c r="AR102" s="45">
        <f>+'GVFund Rev'!U102+'GVFund Rev'!W102-'GVFund Exp'!AH102-'GVFund Exp'!AL102+AJ102+AN102+AP102-'GV Fund BS'!S102</f>
        <v>0</v>
      </c>
      <c r="AS102" s="48"/>
    </row>
    <row r="103" spans="1:45" s="44" customFormat="1" ht="12.75" customHeight="1">
      <c r="A103" s="35" t="s">
        <v>129</v>
      </c>
      <c r="C103" s="35" t="s">
        <v>80</v>
      </c>
      <c r="E103" s="45">
        <v>358967</v>
      </c>
      <c r="F103" s="48"/>
      <c r="G103" s="45">
        <v>1731009</v>
      </c>
      <c r="H103" s="48"/>
      <c r="I103" s="45">
        <v>320</v>
      </c>
      <c r="J103" s="48"/>
      <c r="K103" s="45">
        <v>29075</v>
      </c>
      <c r="L103" s="48"/>
      <c r="M103" s="45">
        <v>642092</v>
      </c>
      <c r="N103" s="48"/>
      <c r="O103" s="45">
        <v>36461</v>
      </c>
      <c r="P103" s="48"/>
      <c r="Q103" s="45">
        <v>0</v>
      </c>
      <c r="R103" s="48"/>
      <c r="S103" s="45">
        <v>476320</v>
      </c>
      <c r="T103" s="48"/>
      <c r="U103" s="45">
        <v>0</v>
      </c>
      <c r="V103" s="48"/>
      <c r="W103" s="48"/>
      <c r="X103" s="35"/>
      <c r="Z103" s="35"/>
      <c r="AA103" s="35"/>
      <c r="AB103" s="45">
        <v>370000</v>
      </c>
      <c r="AC103" s="65"/>
      <c r="AD103" s="45">
        <v>155657</v>
      </c>
      <c r="AE103" s="65"/>
      <c r="AF103" s="45">
        <v>13112</v>
      </c>
      <c r="AG103" s="65"/>
      <c r="AH103" s="48">
        <f t="shared" si="4"/>
        <v>3813013</v>
      </c>
      <c r="AI103" s="48"/>
      <c r="AJ103" s="48">
        <v>0</v>
      </c>
      <c r="AK103" s="48"/>
      <c r="AL103" s="45">
        <v>0</v>
      </c>
      <c r="AM103" s="45"/>
      <c r="AN103" s="45">
        <v>1499012</v>
      </c>
      <c r="AO103" s="45"/>
      <c r="AP103" s="45">
        <v>0</v>
      </c>
      <c r="AQ103" s="45"/>
      <c r="AR103" s="45">
        <f>+'GVFund Rev'!U103+'GVFund Rev'!W103-'GVFund Exp'!AH103-'GVFund Exp'!AL103+AJ103+AN103+AP103-'GV Fund BS'!S103</f>
        <v>0</v>
      </c>
      <c r="AS103" s="48"/>
    </row>
    <row r="104" spans="1:45" s="44" customFormat="1" ht="12.75" customHeight="1">
      <c r="A104" s="35" t="s">
        <v>130</v>
      </c>
      <c r="C104" s="35" t="s">
        <v>66</v>
      </c>
      <c r="E104" s="45">
        <v>2982202</v>
      </c>
      <c r="F104" s="48"/>
      <c r="G104" s="45">
        <v>12959770</v>
      </c>
      <c r="H104" s="48"/>
      <c r="I104" s="45">
        <v>884252</v>
      </c>
      <c r="J104" s="48"/>
      <c r="K104" s="45">
        <v>0</v>
      </c>
      <c r="L104" s="48"/>
      <c r="M104" s="45">
        <v>1416004</v>
      </c>
      <c r="N104" s="48"/>
      <c r="O104" s="45">
        <v>244627</v>
      </c>
      <c r="P104" s="48"/>
      <c r="Q104" s="45">
        <v>0</v>
      </c>
      <c r="R104" s="48"/>
      <c r="S104" s="45">
        <v>3990252</v>
      </c>
      <c r="T104" s="48"/>
      <c r="U104" s="45">
        <v>0</v>
      </c>
      <c r="V104" s="48"/>
      <c r="W104" s="48"/>
      <c r="X104" s="35"/>
      <c r="Z104" s="35"/>
      <c r="AA104" s="35"/>
      <c r="AB104" s="45">
        <v>1505209</v>
      </c>
      <c r="AC104" s="65"/>
      <c r="AD104" s="45">
        <v>1187360</v>
      </c>
      <c r="AE104" s="65"/>
      <c r="AF104" s="45">
        <v>32803</v>
      </c>
      <c r="AG104" s="65"/>
      <c r="AH104" s="48">
        <f t="shared" si="4"/>
        <v>25202479</v>
      </c>
      <c r="AI104" s="48"/>
      <c r="AJ104" s="48">
        <v>0</v>
      </c>
      <c r="AK104" s="48"/>
      <c r="AL104" s="45">
        <v>0</v>
      </c>
      <c r="AM104" s="45"/>
      <c r="AN104" s="45">
        <v>15286860</v>
      </c>
      <c r="AO104" s="45"/>
      <c r="AP104" s="45">
        <v>43290</v>
      </c>
      <c r="AQ104" s="45"/>
      <c r="AR104" s="45">
        <f>+'GVFund Rev'!U104+'GVFund Rev'!W104-'GVFund Exp'!AH104-'GVFund Exp'!AL104+AJ104+AN104+AP104-'GV Fund BS'!S104</f>
        <v>0</v>
      </c>
      <c r="AS104" s="48"/>
    </row>
    <row r="105" spans="1:45" s="44" customFormat="1" ht="12.75" customHeight="1">
      <c r="A105" s="35" t="s">
        <v>131</v>
      </c>
      <c r="C105" s="35" t="s">
        <v>13</v>
      </c>
      <c r="E105" s="45">
        <v>4482277</v>
      </c>
      <c r="F105" s="48"/>
      <c r="G105" s="45">
        <v>5723253</v>
      </c>
      <c r="H105" s="48"/>
      <c r="I105" s="45">
        <v>1284515</v>
      </c>
      <c r="J105" s="48"/>
      <c r="K105" s="45">
        <v>507359</v>
      </c>
      <c r="L105" s="48"/>
      <c r="M105" s="45">
        <v>2935440</v>
      </c>
      <c r="N105" s="48"/>
      <c r="O105" s="45">
        <v>812898</v>
      </c>
      <c r="P105" s="48"/>
      <c r="Q105" s="45">
        <v>0</v>
      </c>
      <c r="R105" s="48"/>
      <c r="S105" s="45">
        <v>5851654</v>
      </c>
      <c r="T105" s="48"/>
      <c r="U105" s="45">
        <v>0</v>
      </c>
      <c r="V105" s="48"/>
      <c r="W105" s="48"/>
      <c r="X105" s="35"/>
      <c r="Z105" s="35"/>
      <c r="AA105" s="35"/>
      <c r="AB105" s="45">
        <v>2355000</v>
      </c>
      <c r="AC105" s="65"/>
      <c r="AD105" s="45">
        <v>1608609</v>
      </c>
      <c r="AE105" s="65"/>
      <c r="AF105" s="45">
        <v>0</v>
      </c>
      <c r="AG105" s="65"/>
      <c r="AH105" s="48">
        <f t="shared" si="4"/>
        <v>25561005</v>
      </c>
      <c r="AI105" s="48"/>
      <c r="AJ105" s="48">
        <v>0</v>
      </c>
      <c r="AK105" s="48"/>
      <c r="AL105" s="45">
        <v>3044684</v>
      </c>
      <c r="AM105" s="45"/>
      <c r="AN105" s="45">
        <v>18277570</v>
      </c>
      <c r="AO105" s="45"/>
      <c r="AP105" s="45">
        <v>0</v>
      </c>
      <c r="AQ105" s="45"/>
      <c r="AR105" s="45">
        <f>+'GVFund Rev'!U105+'GVFund Rev'!W105-'GVFund Exp'!AH105-'GVFund Exp'!AL105+AJ105+AN105+AP105-'GV Fund BS'!S105</f>
        <v>0</v>
      </c>
      <c r="AS105" s="48"/>
    </row>
    <row r="106" spans="1:45" s="44" customFormat="1" ht="12.75" customHeight="1">
      <c r="A106" s="35" t="s">
        <v>38</v>
      </c>
      <c r="C106" s="35" t="s">
        <v>132</v>
      </c>
      <c r="E106" s="45">
        <v>997363</v>
      </c>
      <c r="F106" s="48"/>
      <c r="G106" s="45">
        <v>3167515</v>
      </c>
      <c r="H106" s="48"/>
      <c r="I106" s="45">
        <v>0</v>
      </c>
      <c r="J106" s="48"/>
      <c r="K106" s="45">
        <v>0</v>
      </c>
      <c r="L106" s="48"/>
      <c r="M106" s="45">
        <v>596984</v>
      </c>
      <c r="N106" s="48"/>
      <c r="O106" s="45">
        <v>409907</v>
      </c>
      <c r="P106" s="48"/>
      <c r="Q106" s="45">
        <v>597207</v>
      </c>
      <c r="R106" s="48"/>
      <c r="S106" s="45">
        <v>137472</v>
      </c>
      <c r="T106" s="48"/>
      <c r="U106" s="45">
        <v>0</v>
      </c>
      <c r="V106" s="48"/>
      <c r="W106" s="48"/>
      <c r="X106" s="35"/>
      <c r="Z106" s="35"/>
      <c r="AA106" s="35"/>
      <c r="AB106" s="45">
        <v>289069</v>
      </c>
      <c r="AC106" s="65"/>
      <c r="AD106" s="45">
        <v>127479</v>
      </c>
      <c r="AE106" s="65"/>
      <c r="AF106" s="45">
        <v>15935</v>
      </c>
      <c r="AG106" s="65"/>
      <c r="AH106" s="48">
        <f t="shared" si="4"/>
        <v>6338931</v>
      </c>
      <c r="AI106" s="48"/>
      <c r="AJ106" s="48">
        <v>0</v>
      </c>
      <c r="AK106" s="48"/>
      <c r="AL106" s="45">
        <v>0</v>
      </c>
      <c r="AM106" s="45"/>
      <c r="AN106" s="45">
        <v>1493407</v>
      </c>
      <c r="AO106" s="45"/>
      <c r="AP106" s="45">
        <v>0</v>
      </c>
      <c r="AQ106" s="45"/>
      <c r="AR106" s="45">
        <f>+'GVFund Rev'!U106+'GVFund Rev'!W106-'GVFund Exp'!AH106-'GVFund Exp'!AL106+AJ106+AN106+AP106-'GV Fund BS'!S106</f>
        <v>0</v>
      </c>
      <c r="AS106" s="48"/>
    </row>
    <row r="107" spans="1:45" s="44" customFormat="1" ht="12.75" customHeight="1">
      <c r="A107" s="35" t="s">
        <v>133</v>
      </c>
      <c r="C107" s="35" t="s">
        <v>27</v>
      </c>
      <c r="E107" s="45">
        <v>5477071</v>
      </c>
      <c r="F107" s="48"/>
      <c r="G107" s="45">
        <v>8024379</v>
      </c>
      <c r="H107" s="48"/>
      <c r="I107" s="45">
        <v>2315832</v>
      </c>
      <c r="J107" s="48"/>
      <c r="K107" s="45">
        <v>49480</v>
      </c>
      <c r="L107" s="48"/>
      <c r="M107" s="45">
        <v>2450069</v>
      </c>
      <c r="N107" s="48"/>
      <c r="O107" s="45">
        <v>3065576</v>
      </c>
      <c r="P107" s="48"/>
      <c r="Q107" s="45">
        <v>592856</v>
      </c>
      <c r="R107" s="48"/>
      <c r="S107" s="45">
        <v>8292293</v>
      </c>
      <c r="T107" s="48"/>
      <c r="U107" s="45">
        <v>0</v>
      </c>
      <c r="V107" s="48"/>
      <c r="W107" s="48"/>
      <c r="X107" s="35"/>
      <c r="Z107" s="35"/>
      <c r="AA107" s="35"/>
      <c r="AB107" s="45">
        <v>1359148</v>
      </c>
      <c r="AC107" s="65"/>
      <c r="AD107" s="45">
        <v>1620157</v>
      </c>
      <c r="AE107" s="65"/>
      <c r="AF107" s="45">
        <v>0</v>
      </c>
      <c r="AG107" s="65"/>
      <c r="AH107" s="48">
        <f t="shared" si="4"/>
        <v>33246861</v>
      </c>
      <c r="AI107" s="48"/>
      <c r="AJ107" s="48">
        <v>0</v>
      </c>
      <c r="AK107" s="48"/>
      <c r="AL107" s="45">
        <v>600000</v>
      </c>
      <c r="AM107" s="45"/>
      <c r="AN107" s="45">
        <v>12303185</v>
      </c>
      <c r="AO107" s="45"/>
      <c r="AP107" s="45">
        <v>0</v>
      </c>
      <c r="AQ107" s="45"/>
      <c r="AR107" s="45">
        <f>+'GVFund Rev'!U107+'GVFund Rev'!W107-'GVFund Exp'!AH107-'GVFund Exp'!AL107+AJ107+AN107+AP107-'GV Fund BS'!S107</f>
        <v>0</v>
      </c>
      <c r="AS107" s="48"/>
    </row>
    <row r="108" spans="1:45" s="44" customFormat="1" ht="12.75" customHeight="1">
      <c r="A108" s="35" t="s">
        <v>483</v>
      </c>
      <c r="C108" s="35" t="s">
        <v>45</v>
      </c>
      <c r="E108" s="45">
        <v>1856255</v>
      </c>
      <c r="F108" s="48"/>
      <c r="G108" s="45">
        <v>4256505</v>
      </c>
      <c r="H108" s="48"/>
      <c r="I108" s="45">
        <v>1436050</v>
      </c>
      <c r="J108" s="48"/>
      <c r="K108" s="45">
        <v>146124</v>
      </c>
      <c r="L108" s="48"/>
      <c r="M108" s="45">
        <v>1666716</v>
      </c>
      <c r="N108" s="48"/>
      <c r="O108" s="45">
        <v>1031833</v>
      </c>
      <c r="P108" s="48"/>
      <c r="Q108" s="45">
        <v>0</v>
      </c>
      <c r="R108" s="48"/>
      <c r="S108" s="45">
        <v>1143499</v>
      </c>
      <c r="T108" s="48"/>
      <c r="U108" s="45">
        <v>0</v>
      </c>
      <c r="V108" s="48"/>
      <c r="W108" s="48"/>
      <c r="X108" s="35"/>
      <c r="Z108" s="35"/>
      <c r="AA108" s="35"/>
      <c r="AB108" s="45">
        <v>467940</v>
      </c>
      <c r="AC108" s="65"/>
      <c r="AD108" s="45">
        <v>39935</v>
      </c>
      <c r="AE108" s="65"/>
      <c r="AF108" s="45">
        <v>0</v>
      </c>
      <c r="AG108" s="65"/>
      <c r="AH108" s="48">
        <f t="shared" si="4"/>
        <v>12044857</v>
      </c>
      <c r="AI108" s="48"/>
      <c r="AJ108" s="48"/>
      <c r="AK108" s="48"/>
      <c r="AL108" s="45">
        <v>0</v>
      </c>
      <c r="AM108" s="45"/>
      <c r="AN108" s="45">
        <v>8955224</v>
      </c>
      <c r="AO108" s="45"/>
      <c r="AP108" s="45">
        <v>-17325</v>
      </c>
      <c r="AQ108" s="45"/>
      <c r="AR108" s="45">
        <f>+'GVFund Rev'!U108+'GVFund Rev'!W108-'GVFund Exp'!AH108-'GVFund Exp'!AL108+AJ108+AN108+AP108-'GV Fund BS'!S108</f>
        <v>0</v>
      </c>
      <c r="AS108" s="48"/>
    </row>
    <row r="109" spans="1:45" s="44" customFormat="1" ht="12.75" customHeight="1">
      <c r="A109" s="35" t="s">
        <v>134</v>
      </c>
      <c r="C109" s="35" t="s">
        <v>135</v>
      </c>
      <c r="E109" s="45">
        <v>1768833</v>
      </c>
      <c r="F109" s="48"/>
      <c r="G109" s="45">
        <v>2763699</v>
      </c>
      <c r="H109" s="48"/>
      <c r="I109" s="45">
        <v>241961</v>
      </c>
      <c r="J109" s="48"/>
      <c r="K109" s="45">
        <v>250981</v>
      </c>
      <c r="L109" s="48"/>
      <c r="M109" s="45">
        <v>598925</v>
      </c>
      <c r="N109" s="48"/>
      <c r="O109" s="45">
        <v>72143</v>
      </c>
      <c r="P109" s="48"/>
      <c r="Q109" s="45">
        <v>0</v>
      </c>
      <c r="R109" s="48"/>
      <c r="S109" s="45">
        <v>583197</v>
      </c>
      <c r="T109" s="48"/>
      <c r="U109" s="45">
        <v>0</v>
      </c>
      <c r="V109" s="48"/>
      <c r="W109" s="48"/>
      <c r="X109" s="35"/>
      <c r="Z109" s="35"/>
      <c r="AA109" s="35"/>
      <c r="AB109" s="45">
        <v>210881</v>
      </c>
      <c r="AC109" s="65"/>
      <c r="AD109" s="45">
        <v>162515</v>
      </c>
      <c r="AE109" s="65"/>
      <c r="AF109" s="45">
        <v>0</v>
      </c>
      <c r="AG109" s="65"/>
      <c r="AH109" s="48">
        <f t="shared" si="4"/>
        <v>6653135</v>
      </c>
      <c r="AI109" s="48"/>
      <c r="AJ109" s="48">
        <v>0</v>
      </c>
      <c r="AK109" s="48"/>
      <c r="AL109" s="45">
        <v>0</v>
      </c>
      <c r="AM109" s="45"/>
      <c r="AN109" s="45">
        <v>4002957</v>
      </c>
      <c r="AO109" s="45"/>
      <c r="AP109" s="45">
        <v>4584</v>
      </c>
      <c r="AQ109" s="45"/>
      <c r="AR109" s="45">
        <f>+'GVFund Rev'!U109+'GVFund Rev'!W109-'GVFund Exp'!AH109-'GVFund Exp'!AL109+AJ109+AN109+AP109-'GV Fund BS'!S109</f>
        <v>0</v>
      </c>
      <c r="AS109" s="48"/>
    </row>
    <row r="110" spans="1:45" s="44" customFormat="1" ht="12.75" customHeight="1">
      <c r="A110" s="35" t="s">
        <v>136</v>
      </c>
      <c r="C110" s="35" t="s">
        <v>136</v>
      </c>
      <c r="E110" s="45">
        <v>1381152</v>
      </c>
      <c r="F110" s="48"/>
      <c r="G110" s="45">
        <v>2133157</v>
      </c>
      <c r="H110" s="48"/>
      <c r="I110" s="45">
        <v>608527</v>
      </c>
      <c r="J110" s="48"/>
      <c r="K110" s="45">
        <v>274540</v>
      </c>
      <c r="L110" s="48"/>
      <c r="M110" s="45">
        <v>644868</v>
      </c>
      <c r="N110" s="48"/>
      <c r="O110" s="45">
        <v>394706</v>
      </c>
      <c r="P110" s="48"/>
      <c r="Q110" s="45">
        <v>0</v>
      </c>
      <c r="R110" s="48"/>
      <c r="S110" s="45">
        <v>1120</v>
      </c>
      <c r="T110" s="48"/>
      <c r="U110" s="45">
        <v>0</v>
      </c>
      <c r="V110" s="48"/>
      <c r="W110" s="48"/>
      <c r="X110" s="35"/>
      <c r="Z110" s="35"/>
      <c r="AA110" s="35"/>
      <c r="AB110" s="45">
        <v>17714</v>
      </c>
      <c r="AC110" s="65"/>
      <c r="AD110" s="45">
        <v>11078</v>
      </c>
      <c r="AE110" s="65"/>
      <c r="AF110" s="45">
        <v>0</v>
      </c>
      <c r="AG110" s="65"/>
      <c r="AH110" s="48">
        <f t="shared" si="4"/>
        <v>5466862</v>
      </c>
      <c r="AI110" s="48"/>
      <c r="AJ110" s="48">
        <v>0</v>
      </c>
      <c r="AK110" s="48"/>
      <c r="AL110" s="45">
        <v>0</v>
      </c>
      <c r="AM110" s="45"/>
      <c r="AN110" s="45">
        <v>5079057</v>
      </c>
      <c r="AO110" s="45"/>
      <c r="AP110" s="45">
        <v>0</v>
      </c>
      <c r="AQ110" s="45"/>
      <c r="AR110" s="45">
        <f>+'GVFund Rev'!U110+'GVFund Rev'!W110-'GVFund Exp'!AH110-'GVFund Exp'!AL110+AJ110+AN110+AP110-'GV Fund BS'!S110</f>
        <v>0</v>
      </c>
      <c r="AS110" s="48"/>
    </row>
    <row r="111" spans="1:45" s="44" customFormat="1" ht="12.75" customHeight="1">
      <c r="A111" s="35" t="s">
        <v>137</v>
      </c>
      <c r="C111" s="35" t="s">
        <v>22</v>
      </c>
      <c r="E111" s="45">
        <v>2533830</v>
      </c>
      <c r="F111" s="48"/>
      <c r="G111" s="45">
        <v>9177854</v>
      </c>
      <c r="H111" s="48"/>
      <c r="I111" s="45">
        <v>1789461</v>
      </c>
      <c r="J111" s="48"/>
      <c r="K111" s="45">
        <v>561623</v>
      </c>
      <c r="L111" s="48"/>
      <c r="M111" s="45">
        <v>1471685</v>
      </c>
      <c r="N111" s="48"/>
      <c r="O111" s="45">
        <v>1233477</v>
      </c>
      <c r="P111" s="48"/>
      <c r="Q111" s="45">
        <v>0</v>
      </c>
      <c r="R111" s="48"/>
      <c r="S111" s="45">
        <v>2160125</v>
      </c>
      <c r="T111" s="48"/>
      <c r="U111" s="45">
        <v>0</v>
      </c>
      <c r="V111" s="48"/>
      <c r="W111" s="48"/>
      <c r="X111" s="35"/>
      <c r="Z111" s="35"/>
      <c r="AA111" s="35"/>
      <c r="AB111" s="45">
        <v>211947</v>
      </c>
      <c r="AC111" s="65"/>
      <c r="AD111" s="45">
        <v>277737</v>
      </c>
      <c r="AE111" s="65"/>
      <c r="AF111" s="45">
        <v>0</v>
      </c>
      <c r="AG111" s="65"/>
      <c r="AH111" s="48">
        <f t="shared" si="4"/>
        <v>19417739</v>
      </c>
      <c r="AI111" s="48"/>
      <c r="AJ111" s="48">
        <v>0</v>
      </c>
      <c r="AK111" s="48"/>
      <c r="AL111" s="45">
        <v>0</v>
      </c>
      <c r="AM111" s="45"/>
      <c r="AN111" s="45">
        <v>18573843</v>
      </c>
      <c r="AO111" s="45"/>
      <c r="AP111" s="45">
        <v>0</v>
      </c>
      <c r="AQ111" s="45"/>
      <c r="AR111" s="45">
        <f>+'GVFund Rev'!U111+'GVFund Rev'!W111-'GVFund Exp'!AH111-'GVFund Exp'!AL111+AJ111+AN111+AP111-'GV Fund BS'!S111</f>
        <v>0</v>
      </c>
      <c r="AS111" s="48"/>
    </row>
    <row r="112" spans="1:45" s="137" customFormat="1" ht="12.75" hidden="1" customHeight="1">
      <c r="A112" s="142" t="s">
        <v>138</v>
      </c>
      <c r="C112" s="142" t="s">
        <v>139</v>
      </c>
      <c r="E112" s="143"/>
      <c r="F112" s="148"/>
      <c r="G112" s="143"/>
      <c r="H112" s="148"/>
      <c r="I112" s="143"/>
      <c r="J112" s="148"/>
      <c r="K112" s="143"/>
      <c r="L112" s="148"/>
      <c r="M112" s="143"/>
      <c r="N112" s="148"/>
      <c r="O112" s="143"/>
      <c r="P112" s="148"/>
      <c r="Q112" s="143"/>
      <c r="R112" s="148"/>
      <c r="S112" s="143"/>
      <c r="T112" s="148"/>
      <c r="U112" s="143"/>
      <c r="V112" s="148"/>
      <c r="W112" s="148"/>
      <c r="X112" s="142"/>
      <c r="Z112" s="142"/>
      <c r="AA112" s="142"/>
      <c r="AB112" s="143"/>
      <c r="AC112" s="141"/>
      <c r="AD112" s="143"/>
      <c r="AE112" s="141"/>
      <c r="AF112" s="143"/>
      <c r="AG112" s="141"/>
      <c r="AH112" s="148">
        <f t="shared" si="4"/>
        <v>0</v>
      </c>
      <c r="AI112" s="148"/>
      <c r="AJ112" s="148">
        <v>0</v>
      </c>
      <c r="AK112" s="148"/>
      <c r="AL112" s="143"/>
      <c r="AM112" s="143"/>
      <c r="AN112" s="143"/>
      <c r="AO112" s="143"/>
      <c r="AP112" s="143"/>
      <c r="AQ112" s="143"/>
      <c r="AR112" s="143">
        <f>+'GVFund Rev'!U112+'GVFund Rev'!W112-'GVFund Exp'!AH112-'GVFund Exp'!AL112+AJ112+AN112+AP112-'GV Fund BS'!S112</f>
        <v>0</v>
      </c>
      <c r="AS112" s="148"/>
    </row>
    <row r="113" spans="1:46" s="44" customFormat="1" ht="12.75" customHeight="1">
      <c r="A113" s="35" t="s">
        <v>140</v>
      </c>
      <c r="C113" s="35" t="s">
        <v>66</v>
      </c>
      <c r="E113" s="45">
        <v>12117032</v>
      </c>
      <c r="F113" s="48"/>
      <c r="G113" s="45">
        <v>21635241</v>
      </c>
      <c r="H113" s="48"/>
      <c r="I113" s="45">
        <v>0</v>
      </c>
      <c r="J113" s="48"/>
      <c r="K113" s="45">
        <v>0</v>
      </c>
      <c r="L113" s="48"/>
      <c r="M113" s="45">
        <v>0</v>
      </c>
      <c r="N113" s="48"/>
      <c r="O113" s="45">
        <v>11387262</v>
      </c>
      <c r="P113" s="48"/>
      <c r="Q113" s="45">
        <v>8117038</v>
      </c>
      <c r="R113" s="48"/>
      <c r="S113" s="45">
        <v>9676701</v>
      </c>
      <c r="T113" s="48"/>
      <c r="U113" s="45">
        <v>0</v>
      </c>
      <c r="V113" s="48"/>
      <c r="W113" s="48"/>
      <c r="X113" s="35"/>
      <c r="Z113" s="35"/>
      <c r="AA113" s="35"/>
      <c r="AB113" s="45">
        <v>667018</v>
      </c>
      <c r="AC113" s="65"/>
      <c r="AD113" s="45">
        <v>1144194</v>
      </c>
      <c r="AE113" s="65"/>
      <c r="AF113" s="45">
        <v>0</v>
      </c>
      <c r="AG113" s="65"/>
      <c r="AH113" s="48">
        <f t="shared" si="4"/>
        <v>64744486</v>
      </c>
      <c r="AI113" s="48"/>
      <c r="AJ113" s="48">
        <v>0</v>
      </c>
      <c r="AK113" s="48"/>
      <c r="AL113" s="45">
        <v>8733378</v>
      </c>
      <c r="AM113" s="45"/>
      <c r="AN113" s="45">
        <v>34497046</v>
      </c>
      <c r="AO113" s="45"/>
      <c r="AP113" s="45">
        <v>0</v>
      </c>
      <c r="AQ113" s="45"/>
      <c r="AR113" s="45">
        <f>+'GVFund Rev'!U113+'GVFund Rev'!W113-'GVFund Exp'!AH113-'GVFund Exp'!AL113+AJ113+AN113+AP113-'GV Fund BS'!S113</f>
        <v>0</v>
      </c>
      <c r="AS113" s="48"/>
    </row>
    <row r="114" spans="1:46" s="44" customFormat="1" ht="12.75" customHeight="1">
      <c r="A114" s="35" t="s">
        <v>479</v>
      </c>
      <c r="C114" s="35" t="s">
        <v>92</v>
      </c>
      <c r="E114" s="45">
        <v>1962273</v>
      </c>
      <c r="F114" s="48"/>
      <c r="G114" s="45">
        <v>2385894</v>
      </c>
      <c r="H114" s="48"/>
      <c r="I114" s="45">
        <v>77504</v>
      </c>
      <c r="J114" s="48"/>
      <c r="K114" s="45">
        <v>74289</v>
      </c>
      <c r="L114" s="48"/>
      <c r="M114" s="45">
        <v>1675728</v>
      </c>
      <c r="N114" s="48"/>
      <c r="O114" s="45">
        <v>433803</v>
      </c>
      <c r="P114" s="48"/>
      <c r="Q114" s="45">
        <v>0</v>
      </c>
      <c r="R114" s="48"/>
      <c r="S114" s="45">
        <v>923575</v>
      </c>
      <c r="T114" s="48"/>
      <c r="U114" s="45">
        <v>0</v>
      </c>
      <c r="V114" s="48"/>
      <c r="W114" s="48"/>
      <c r="X114" s="35"/>
      <c r="Z114" s="35"/>
      <c r="AA114" s="35"/>
      <c r="AB114" s="45">
        <v>355005</v>
      </c>
      <c r="AC114" s="65"/>
      <c r="AD114" s="45">
        <v>246329</v>
      </c>
      <c r="AE114" s="65"/>
      <c r="AF114" s="45">
        <v>0</v>
      </c>
      <c r="AG114" s="65"/>
      <c r="AH114" s="48">
        <f t="shared" si="4"/>
        <v>8134400</v>
      </c>
      <c r="AI114" s="48"/>
      <c r="AJ114" s="48"/>
      <c r="AK114" s="48"/>
      <c r="AL114" s="45">
        <v>0</v>
      </c>
      <c r="AM114" s="45"/>
      <c r="AN114" s="45">
        <v>2711072</v>
      </c>
      <c r="AO114" s="45"/>
      <c r="AP114" s="45">
        <v>0</v>
      </c>
      <c r="AQ114" s="45"/>
      <c r="AR114" s="45">
        <f>+'GVFund Rev'!U114+'GVFund Rev'!W114-'GVFund Exp'!AH114-'GVFund Exp'!AL114+AJ114+AN114+AP114-'GV Fund BS'!S114</f>
        <v>0</v>
      </c>
      <c r="AS114" s="48"/>
    </row>
    <row r="115" spans="1:46" s="44" customFormat="1" ht="12.75" customHeight="1">
      <c r="A115" s="64" t="s">
        <v>141</v>
      </c>
      <c r="B115" s="46"/>
      <c r="C115" s="64" t="s">
        <v>27</v>
      </c>
      <c r="D115" s="46"/>
      <c r="E115" s="45">
        <v>8607515</v>
      </c>
      <c r="F115" s="48"/>
      <c r="G115" s="45">
        <f>11678468+10567772</f>
        <v>22246240</v>
      </c>
      <c r="H115" s="48"/>
      <c r="I115" s="45">
        <v>6787327</v>
      </c>
      <c r="J115" s="48"/>
      <c r="K115" s="45">
        <v>4089118</v>
      </c>
      <c r="L115" s="48"/>
      <c r="M115" s="45">
        <v>2617950</v>
      </c>
      <c r="N115" s="48"/>
      <c r="O115" s="45">
        <v>1944398</v>
      </c>
      <c r="P115" s="48"/>
      <c r="Q115" s="45">
        <v>5089792</v>
      </c>
      <c r="R115" s="48"/>
      <c r="S115" s="45">
        <v>4525704</v>
      </c>
      <c r="T115" s="48"/>
      <c r="U115" s="45">
        <v>0</v>
      </c>
      <c r="V115" s="48"/>
      <c r="W115" s="48"/>
      <c r="X115" s="35"/>
      <c r="Z115" s="35"/>
      <c r="AA115" s="35"/>
      <c r="AB115" s="45">
        <v>11230978</v>
      </c>
      <c r="AC115" s="65"/>
      <c r="AD115" s="45">
        <v>1924401</v>
      </c>
      <c r="AE115" s="65"/>
      <c r="AF115" s="45">
        <v>300690</v>
      </c>
      <c r="AG115" s="65"/>
      <c r="AH115" s="48">
        <f t="shared" si="4"/>
        <v>69364113</v>
      </c>
      <c r="AI115" s="48"/>
      <c r="AJ115" s="48">
        <v>0</v>
      </c>
      <c r="AK115" s="48"/>
      <c r="AL115" s="45">
        <f>3571806+4844725</f>
        <v>8416531</v>
      </c>
      <c r="AM115" s="45"/>
      <c r="AN115" s="45">
        <v>14202536</v>
      </c>
      <c r="AO115" s="45"/>
      <c r="AP115" s="45">
        <v>0</v>
      </c>
      <c r="AQ115" s="45"/>
      <c r="AR115" s="45">
        <f>+'GVFund Rev'!U115+'GVFund Rev'!W115-'GVFund Exp'!AH115-'GVFund Exp'!AL115+AJ115+AN115+AP115-'GV Fund BS'!S115</f>
        <v>0</v>
      </c>
      <c r="AS115" s="48"/>
    </row>
    <row r="116" spans="1:46" s="44" customFormat="1" ht="12.75" customHeight="1">
      <c r="A116" s="35" t="s">
        <v>142</v>
      </c>
      <c r="C116" s="35" t="s">
        <v>102</v>
      </c>
      <c r="E116" s="45">
        <v>7784196</v>
      </c>
      <c r="F116" s="48"/>
      <c r="G116" s="45">
        <v>16710584</v>
      </c>
      <c r="H116" s="48"/>
      <c r="I116" s="45">
        <v>683621</v>
      </c>
      <c r="J116" s="48"/>
      <c r="K116" s="45">
        <v>893308</v>
      </c>
      <c r="L116" s="48"/>
      <c r="M116" s="45">
        <v>4094796</v>
      </c>
      <c r="N116" s="48"/>
      <c r="O116" s="45">
        <v>2194345</v>
      </c>
      <c r="P116" s="48"/>
      <c r="Q116" s="45">
        <v>0</v>
      </c>
      <c r="R116" s="48"/>
      <c r="S116" s="45">
        <v>7119107</v>
      </c>
      <c r="T116" s="48"/>
      <c r="U116" s="45">
        <v>0</v>
      </c>
      <c r="V116" s="48"/>
      <c r="W116" s="48"/>
      <c r="X116" s="35"/>
      <c r="Z116" s="35"/>
      <c r="AA116" s="35"/>
      <c r="AB116" s="45">
        <v>265086</v>
      </c>
      <c r="AC116" s="65"/>
      <c r="AD116" s="45">
        <v>461330</v>
      </c>
      <c r="AE116" s="65"/>
      <c r="AF116" s="45">
        <v>0</v>
      </c>
      <c r="AG116" s="65"/>
      <c r="AH116" s="48">
        <f>SUM(E116:AF116)</f>
        <v>40206373</v>
      </c>
      <c r="AI116" s="48"/>
      <c r="AJ116" s="48">
        <v>0</v>
      </c>
      <c r="AK116" s="48"/>
      <c r="AL116" s="45">
        <v>0</v>
      </c>
      <c r="AM116" s="45"/>
      <c r="AN116" s="45">
        <v>8758796</v>
      </c>
      <c r="AO116" s="45"/>
      <c r="AP116" s="45">
        <v>-36035</v>
      </c>
      <c r="AQ116" s="45"/>
      <c r="AR116" s="45">
        <f>+'GVFund Rev'!U116+'GVFund Rev'!W116-'GVFund Exp'!AH116-'GVFund Exp'!AL116+AJ116+AN116+AP116-'GV Fund BS'!S116</f>
        <v>0</v>
      </c>
      <c r="AS116" s="48"/>
    </row>
    <row r="117" spans="1:46" s="44" customFormat="1" ht="12.75" customHeight="1">
      <c r="A117" s="35" t="s">
        <v>143</v>
      </c>
      <c r="C117" s="35" t="s">
        <v>111</v>
      </c>
      <c r="E117" s="45">
        <v>4936788</v>
      </c>
      <c r="F117" s="48"/>
      <c r="G117" s="45">
        <v>6325278</v>
      </c>
      <c r="H117" s="48"/>
      <c r="I117" s="45">
        <v>948315</v>
      </c>
      <c r="J117" s="48"/>
      <c r="K117" s="45">
        <v>188855</v>
      </c>
      <c r="L117" s="48"/>
      <c r="M117" s="45">
        <v>973054</v>
      </c>
      <c r="N117" s="48"/>
      <c r="O117" s="45">
        <v>318259</v>
      </c>
      <c r="P117" s="48"/>
      <c r="Q117" s="45">
        <v>91687</v>
      </c>
      <c r="R117" s="48"/>
      <c r="S117" s="45">
        <v>5383706</v>
      </c>
      <c r="T117" s="48"/>
      <c r="U117" s="45">
        <v>0</v>
      </c>
      <c r="V117" s="48"/>
      <c r="W117" s="48"/>
      <c r="X117" s="35"/>
      <c r="Z117" s="35"/>
      <c r="AA117" s="35"/>
      <c r="AB117" s="45">
        <v>464861</v>
      </c>
      <c r="AC117" s="65"/>
      <c r="AD117" s="45">
        <v>286716</v>
      </c>
      <c r="AE117" s="65"/>
      <c r="AF117" s="45">
        <v>0</v>
      </c>
      <c r="AG117" s="65"/>
      <c r="AH117" s="48">
        <f t="shared" si="4"/>
        <v>19917519</v>
      </c>
      <c r="AI117" s="48"/>
      <c r="AJ117" s="48">
        <v>0</v>
      </c>
      <c r="AK117" s="48"/>
      <c r="AL117" s="45">
        <v>0</v>
      </c>
      <c r="AM117" s="45"/>
      <c r="AN117" s="45">
        <v>14648825</v>
      </c>
      <c r="AO117" s="45"/>
      <c r="AP117" s="45">
        <v>0</v>
      </c>
      <c r="AQ117" s="45"/>
      <c r="AR117" s="45">
        <f>+'GVFund Rev'!U117+'GVFund Rev'!W117-'GVFund Exp'!AH117-'GVFund Exp'!AL117+AJ117+AN117+AP117-'GV Fund BS'!S117</f>
        <v>0</v>
      </c>
      <c r="AS117" s="48"/>
    </row>
    <row r="118" spans="1:46" s="46" customFormat="1" ht="12.75" customHeight="1">
      <c r="A118" s="28" t="s">
        <v>144</v>
      </c>
      <c r="B118" s="47"/>
      <c r="C118" s="28" t="s">
        <v>88</v>
      </c>
      <c r="D118" s="49"/>
      <c r="E118" s="45">
        <v>7635474</v>
      </c>
      <c r="F118" s="48"/>
      <c r="G118" s="45">
        <v>15363819</v>
      </c>
      <c r="H118" s="48"/>
      <c r="I118" s="45">
        <v>3092463</v>
      </c>
      <c r="J118" s="48"/>
      <c r="K118" s="45">
        <v>0</v>
      </c>
      <c r="L118" s="48"/>
      <c r="M118" s="45">
        <v>3478718</v>
      </c>
      <c r="N118" s="48"/>
      <c r="O118" s="45">
        <v>1050771</v>
      </c>
      <c r="P118" s="48"/>
      <c r="Q118" s="45">
        <v>0</v>
      </c>
      <c r="R118" s="48"/>
      <c r="S118" s="45">
        <v>7132376</v>
      </c>
      <c r="T118" s="48"/>
      <c r="U118" s="45">
        <v>0</v>
      </c>
      <c r="V118" s="48"/>
      <c r="W118" s="48"/>
      <c r="X118" s="35"/>
      <c r="Y118" s="44"/>
      <c r="Z118" s="35"/>
      <c r="AA118" s="35"/>
      <c r="AB118" s="45">
        <v>1183000</v>
      </c>
      <c r="AC118" s="65"/>
      <c r="AD118" s="45">
        <v>138054</v>
      </c>
      <c r="AE118" s="65"/>
      <c r="AF118" s="45">
        <v>0</v>
      </c>
      <c r="AG118" s="65"/>
      <c r="AH118" s="48">
        <f t="shared" si="4"/>
        <v>39074675</v>
      </c>
      <c r="AI118" s="48"/>
      <c r="AJ118" s="48">
        <v>0</v>
      </c>
      <c r="AK118" s="48"/>
      <c r="AL118" s="45">
        <v>0</v>
      </c>
      <c r="AM118" s="45"/>
      <c r="AN118" s="45">
        <v>11099870</v>
      </c>
      <c r="AO118" s="45"/>
      <c r="AP118" s="45">
        <v>0</v>
      </c>
      <c r="AQ118" s="45"/>
      <c r="AR118" s="45">
        <f>+'GVFund Rev'!U118+'GVFund Rev'!W118-'GVFund Exp'!AH118-'GVFund Exp'!AL118+AJ118+AN118+AP118-'GV Fund BS'!S118</f>
        <v>0</v>
      </c>
      <c r="AS118" s="48"/>
    </row>
    <row r="119" spans="1:46" s="44" customFormat="1" ht="12.75" customHeight="1">
      <c r="A119" s="35" t="s">
        <v>36</v>
      </c>
      <c r="C119" s="35" t="s">
        <v>145</v>
      </c>
      <c r="E119" s="45">
        <v>425458</v>
      </c>
      <c r="F119" s="48"/>
      <c r="G119" s="45">
        <v>2141266</v>
      </c>
      <c r="H119" s="48"/>
      <c r="I119" s="45">
        <v>50366</v>
      </c>
      <c r="J119" s="48"/>
      <c r="K119" s="45">
        <v>268867</v>
      </c>
      <c r="L119" s="48"/>
      <c r="M119" s="45">
        <v>696999</v>
      </c>
      <c r="N119" s="48"/>
      <c r="O119" s="45">
        <v>105166</v>
      </c>
      <c r="P119" s="48"/>
      <c r="Q119" s="45">
        <v>0</v>
      </c>
      <c r="R119" s="48"/>
      <c r="S119" s="45">
        <v>304641</v>
      </c>
      <c r="T119" s="48"/>
      <c r="U119" s="45">
        <v>0</v>
      </c>
      <c r="V119" s="48"/>
      <c r="W119" s="48"/>
      <c r="X119" s="35"/>
      <c r="Z119" s="35"/>
      <c r="AA119" s="35"/>
      <c r="AB119" s="45">
        <v>103784</v>
      </c>
      <c r="AC119" s="65"/>
      <c r="AD119" s="45">
        <v>23216</v>
      </c>
      <c r="AE119" s="65"/>
      <c r="AF119" s="45">
        <v>0</v>
      </c>
      <c r="AG119" s="65"/>
      <c r="AH119" s="48">
        <f t="shared" si="4"/>
        <v>4119763</v>
      </c>
      <c r="AI119" s="48"/>
      <c r="AJ119" s="48">
        <v>0</v>
      </c>
      <c r="AK119" s="48"/>
      <c r="AL119" s="45">
        <v>0</v>
      </c>
      <c r="AM119" s="45"/>
      <c r="AN119" s="45">
        <v>1615083</v>
      </c>
      <c r="AO119" s="45"/>
      <c r="AP119" s="45">
        <v>0</v>
      </c>
      <c r="AQ119" s="45"/>
      <c r="AR119" s="45">
        <f>+'GVFund Rev'!U119+'GVFund Rev'!W119-'GVFund Exp'!AH119-'GVFund Exp'!AL119+AJ119+AN119+AP119-'GV Fund BS'!S119</f>
        <v>0</v>
      </c>
      <c r="AS119" s="48"/>
    </row>
    <row r="120" spans="1:46" s="44" customFormat="1" ht="12.75" customHeight="1">
      <c r="A120" s="64" t="s">
        <v>146</v>
      </c>
      <c r="B120" s="46"/>
      <c r="C120" s="64" t="s">
        <v>147</v>
      </c>
      <c r="D120" s="46"/>
      <c r="E120" s="45">
        <v>1215406</v>
      </c>
      <c r="F120" s="48"/>
      <c r="G120" s="45">
        <v>3130096</v>
      </c>
      <c r="H120" s="48"/>
      <c r="I120" s="45">
        <v>555313</v>
      </c>
      <c r="J120" s="48"/>
      <c r="K120" s="45">
        <v>2000</v>
      </c>
      <c r="L120" s="48"/>
      <c r="M120" s="45">
        <v>1359802</v>
      </c>
      <c r="N120" s="48"/>
      <c r="O120" s="45">
        <v>327444</v>
      </c>
      <c r="P120" s="48"/>
      <c r="Q120" s="45">
        <v>0</v>
      </c>
      <c r="R120" s="48"/>
      <c r="S120" s="45">
        <v>0</v>
      </c>
      <c r="T120" s="48"/>
      <c r="U120" s="45">
        <v>0</v>
      </c>
      <c r="V120" s="48"/>
      <c r="W120" s="48"/>
      <c r="X120" s="35"/>
      <c r="Z120" s="35"/>
      <c r="AA120" s="35"/>
      <c r="AB120" s="45">
        <v>151272</v>
      </c>
      <c r="AC120" s="65"/>
      <c r="AD120" s="45">
        <v>38954</v>
      </c>
      <c r="AE120" s="65"/>
      <c r="AF120" s="45">
        <v>0</v>
      </c>
      <c r="AG120" s="65"/>
      <c r="AH120" s="48">
        <f t="shared" si="4"/>
        <v>6780287</v>
      </c>
      <c r="AI120" s="48"/>
      <c r="AJ120" s="48">
        <v>0</v>
      </c>
      <c r="AK120" s="48"/>
      <c r="AL120" s="45">
        <v>75131</v>
      </c>
      <c r="AM120" s="45"/>
      <c r="AN120" s="45">
        <v>4089705</v>
      </c>
      <c r="AO120" s="45"/>
      <c r="AP120" s="45">
        <v>0</v>
      </c>
      <c r="AQ120" s="45"/>
      <c r="AR120" s="45">
        <f>+'GVFund Rev'!U120+'GVFund Rev'!W120-'GVFund Exp'!AH120-'GVFund Exp'!AL120+AJ120+AN120+AP120-'GV Fund BS'!S120</f>
        <v>0</v>
      </c>
      <c r="AS120" s="48"/>
    </row>
    <row r="121" spans="1:46" s="44" customFormat="1" ht="12.75" customHeight="1">
      <c r="A121" s="35" t="s">
        <v>17</v>
      </c>
      <c r="C121" s="35" t="s">
        <v>17</v>
      </c>
      <c r="E121" s="45">
        <v>8817909</v>
      </c>
      <c r="F121" s="48"/>
      <c r="G121" s="45">
        <v>19449378</v>
      </c>
      <c r="H121" s="48"/>
      <c r="I121" s="45">
        <v>1095395</v>
      </c>
      <c r="J121" s="48"/>
      <c r="K121" s="45">
        <v>1992874</v>
      </c>
      <c r="L121" s="48"/>
      <c r="M121" s="45">
        <v>3284017</v>
      </c>
      <c r="N121" s="48"/>
      <c r="O121" s="45">
        <v>1178575</v>
      </c>
      <c r="P121" s="48"/>
      <c r="Q121" s="45">
        <v>2882602</v>
      </c>
      <c r="R121" s="48"/>
      <c r="S121" s="45">
        <v>3227967</v>
      </c>
      <c r="T121" s="48"/>
      <c r="U121" s="45">
        <v>0</v>
      </c>
      <c r="V121" s="48"/>
      <c r="W121" s="48"/>
      <c r="X121" s="35"/>
      <c r="Z121" s="35"/>
      <c r="AA121" s="35"/>
      <c r="AB121" s="45">
        <v>2427744</v>
      </c>
      <c r="AC121" s="65"/>
      <c r="AD121" s="45">
        <v>1879931</v>
      </c>
      <c r="AE121" s="65"/>
      <c r="AF121" s="45">
        <v>326044</v>
      </c>
      <c r="AG121" s="65"/>
      <c r="AH121" s="48">
        <f t="shared" si="4"/>
        <v>46562436</v>
      </c>
      <c r="AI121" s="48"/>
      <c r="AJ121" s="48">
        <v>0</v>
      </c>
      <c r="AK121" s="48"/>
      <c r="AL121" s="45">
        <f>52476+4715431+2697744</f>
        <v>7465651</v>
      </c>
      <c r="AM121" s="45"/>
      <c r="AN121" s="45">
        <v>24010207</v>
      </c>
      <c r="AO121" s="45"/>
      <c r="AP121" s="45">
        <v>0</v>
      </c>
      <c r="AQ121" s="45"/>
      <c r="AR121" s="45">
        <f>+'GVFund Rev'!U121+'GVFund Rev'!W121-'GVFund Exp'!AH121-'GVFund Exp'!AL121+AJ121+AN121+AP121-'GV Fund BS'!S121</f>
        <v>0</v>
      </c>
      <c r="AS121" s="48"/>
    </row>
    <row r="122" spans="1:46" s="44" customFormat="1" ht="12.75" customHeight="1">
      <c r="A122" s="35" t="s">
        <v>148</v>
      </c>
      <c r="C122" s="35" t="s">
        <v>15</v>
      </c>
      <c r="E122" s="45">
        <v>674596</v>
      </c>
      <c r="F122" s="48"/>
      <c r="G122" s="45">
        <v>2186734</v>
      </c>
      <c r="H122" s="48"/>
      <c r="I122" s="45">
        <v>194113</v>
      </c>
      <c r="J122" s="48"/>
      <c r="K122" s="45">
        <v>18274</v>
      </c>
      <c r="L122" s="48"/>
      <c r="M122" s="45">
        <v>657354</v>
      </c>
      <c r="N122" s="48"/>
      <c r="O122" s="45">
        <v>345696</v>
      </c>
      <c r="P122" s="48"/>
      <c r="Q122" s="45">
        <v>0</v>
      </c>
      <c r="R122" s="48"/>
      <c r="S122" s="45">
        <v>591752</v>
      </c>
      <c r="T122" s="48"/>
      <c r="U122" s="45">
        <v>0</v>
      </c>
      <c r="V122" s="48"/>
      <c r="W122" s="48"/>
      <c r="X122" s="35"/>
      <c r="Z122" s="35"/>
      <c r="AA122" s="35"/>
      <c r="AB122" s="45">
        <v>73814</v>
      </c>
      <c r="AC122" s="65"/>
      <c r="AD122" s="45">
        <v>37074</v>
      </c>
      <c r="AE122" s="65"/>
      <c r="AF122" s="45">
        <v>0</v>
      </c>
      <c r="AG122" s="65"/>
      <c r="AH122" s="48">
        <f t="shared" si="4"/>
        <v>4779407</v>
      </c>
      <c r="AI122" s="48"/>
      <c r="AJ122" s="48">
        <v>0</v>
      </c>
      <c r="AK122" s="48"/>
      <c r="AL122" s="45">
        <v>424635</v>
      </c>
      <c r="AM122" s="45"/>
      <c r="AN122" s="45">
        <v>1877726</v>
      </c>
      <c r="AO122" s="45"/>
      <c r="AP122" s="45">
        <v>0</v>
      </c>
      <c r="AQ122" s="45"/>
      <c r="AR122" s="45">
        <f>+'GVFund Rev'!U122+'GVFund Rev'!W122-'GVFund Exp'!AH122-'GVFund Exp'!AL122+AJ122+AN122+AP122-'GV Fund BS'!S122</f>
        <v>0</v>
      </c>
      <c r="AS122" s="173"/>
      <c r="AT122" s="173"/>
    </row>
    <row r="123" spans="1:46" s="44" customFormat="1" ht="12.75" customHeight="1">
      <c r="A123" s="35" t="s">
        <v>149</v>
      </c>
      <c r="C123" s="35" t="s">
        <v>45</v>
      </c>
      <c r="E123" s="45">
        <v>3715252</v>
      </c>
      <c r="F123" s="48"/>
      <c r="G123" s="45">
        <v>4367726</v>
      </c>
      <c r="H123" s="48"/>
      <c r="I123" s="45">
        <v>202433</v>
      </c>
      <c r="J123" s="48"/>
      <c r="K123" s="45">
        <v>0</v>
      </c>
      <c r="L123" s="48"/>
      <c r="M123" s="45">
        <v>707969</v>
      </c>
      <c r="N123" s="48"/>
      <c r="O123" s="45">
        <v>330872</v>
      </c>
      <c r="P123" s="48"/>
      <c r="Q123" s="45">
        <v>0</v>
      </c>
      <c r="R123" s="48"/>
      <c r="S123" s="45">
        <v>1981773</v>
      </c>
      <c r="T123" s="48"/>
      <c r="U123" s="45">
        <v>0</v>
      </c>
      <c r="V123" s="48"/>
      <c r="W123" s="48"/>
      <c r="X123" s="35"/>
      <c r="Z123" s="35"/>
      <c r="AA123" s="35"/>
      <c r="AB123" s="45">
        <v>603658</v>
      </c>
      <c r="AC123" s="65"/>
      <c r="AD123" s="45">
        <v>209385</v>
      </c>
      <c r="AE123" s="65"/>
      <c r="AF123" s="45">
        <v>0</v>
      </c>
      <c r="AG123" s="65"/>
      <c r="AH123" s="48">
        <f t="shared" si="4"/>
        <v>12119068</v>
      </c>
      <c r="AI123" s="48"/>
      <c r="AJ123" s="48">
        <v>0</v>
      </c>
      <c r="AK123" s="48"/>
      <c r="AL123" s="45">
        <v>2346922</v>
      </c>
      <c r="AM123" s="45"/>
      <c r="AN123" s="45">
        <v>3496516</v>
      </c>
      <c r="AO123" s="45"/>
      <c r="AP123" s="45">
        <v>1827</v>
      </c>
      <c r="AQ123" s="45"/>
      <c r="AR123" s="45">
        <f>+'GVFund Rev'!U123+'GVFund Rev'!W123-'GVFund Exp'!AH123-'GVFund Exp'!AL123+AJ123+AN123+AP123-'GV Fund BS'!S123</f>
        <v>0</v>
      </c>
      <c r="AS123" s="48"/>
    </row>
    <row r="124" spans="1:46" s="44" customFormat="1" ht="12.75" customHeight="1">
      <c r="A124" s="35" t="s">
        <v>150</v>
      </c>
      <c r="C124" s="35" t="s">
        <v>27</v>
      </c>
      <c r="E124" s="45">
        <v>4348359</v>
      </c>
      <c r="F124" s="45"/>
      <c r="G124" s="45">
        <v>7913832</v>
      </c>
      <c r="H124" s="45"/>
      <c r="I124" s="45">
        <v>598593</v>
      </c>
      <c r="J124" s="45"/>
      <c r="K124" s="45">
        <v>55004</v>
      </c>
      <c r="L124" s="45"/>
      <c r="M124" s="45">
        <v>1685689</v>
      </c>
      <c r="N124" s="45"/>
      <c r="O124" s="45">
        <v>1138176</v>
      </c>
      <c r="P124" s="45"/>
      <c r="Q124" s="45">
        <v>2327985</v>
      </c>
      <c r="R124" s="45"/>
      <c r="S124" s="45">
        <v>0</v>
      </c>
      <c r="T124" s="45"/>
      <c r="U124" s="45">
        <v>0</v>
      </c>
      <c r="V124" s="45"/>
      <c r="W124" s="45"/>
      <c r="X124" s="45"/>
      <c r="Y124" s="45"/>
      <c r="AB124" s="45">
        <v>1169940</v>
      </c>
      <c r="AC124" s="45"/>
      <c r="AD124" s="45">
        <v>126175</v>
      </c>
      <c r="AE124" s="45"/>
      <c r="AF124" s="45">
        <v>0</v>
      </c>
      <c r="AG124" s="45"/>
      <c r="AH124" s="48">
        <f t="shared" si="4"/>
        <v>19363753</v>
      </c>
      <c r="AI124" s="48"/>
      <c r="AJ124" s="48">
        <v>0</v>
      </c>
      <c r="AK124" s="48"/>
      <c r="AL124" s="45">
        <v>1488250</v>
      </c>
      <c r="AM124" s="45"/>
      <c r="AN124" s="45">
        <v>17955342</v>
      </c>
      <c r="AO124" s="45"/>
      <c r="AP124" s="45">
        <v>-6544</v>
      </c>
      <c r="AQ124" s="45"/>
      <c r="AR124" s="45">
        <f>+'GVFund Rev'!U124+'GVFund Rev'!W124-'GVFund Exp'!AH124-'GVFund Exp'!AL124+AJ124+AN124+AP124-'GV Fund BS'!S124</f>
        <v>0</v>
      </c>
      <c r="AS124" s="48"/>
    </row>
    <row r="125" spans="1:46" s="44" customFormat="1" ht="12.75" customHeight="1">
      <c r="A125" s="35" t="s">
        <v>151</v>
      </c>
      <c r="C125" s="35" t="s">
        <v>13</v>
      </c>
      <c r="E125" s="45">
        <v>3103168</v>
      </c>
      <c r="F125" s="48"/>
      <c r="G125" s="45">
        <v>4916738</v>
      </c>
      <c r="H125" s="48"/>
      <c r="I125" s="45">
        <v>500274</v>
      </c>
      <c r="J125" s="48"/>
      <c r="K125" s="45">
        <v>199031</v>
      </c>
      <c r="L125" s="48"/>
      <c r="M125" s="45">
        <v>2931506</v>
      </c>
      <c r="N125" s="48"/>
      <c r="O125" s="45">
        <v>1455409</v>
      </c>
      <c r="P125" s="48"/>
      <c r="Q125" s="45">
        <v>204656</v>
      </c>
      <c r="R125" s="48"/>
      <c r="S125" s="45">
        <v>1598773</v>
      </c>
      <c r="T125" s="48"/>
      <c r="U125" s="45">
        <v>0</v>
      </c>
      <c r="V125" s="48"/>
      <c r="W125" s="48"/>
      <c r="X125" s="35"/>
      <c r="Z125" s="35"/>
      <c r="AA125" s="35"/>
      <c r="AB125" s="45">
        <v>906620</v>
      </c>
      <c r="AC125" s="65"/>
      <c r="AD125" s="45">
        <v>513536</v>
      </c>
      <c r="AE125" s="65"/>
      <c r="AF125" s="45">
        <v>0</v>
      </c>
      <c r="AG125" s="65"/>
      <c r="AH125" s="48">
        <f t="shared" si="4"/>
        <v>16329711</v>
      </c>
      <c r="AI125" s="48"/>
      <c r="AJ125" s="48">
        <v>0</v>
      </c>
      <c r="AK125" s="48"/>
      <c r="AL125" s="45">
        <v>0</v>
      </c>
      <c r="AM125" s="45"/>
      <c r="AN125" s="45">
        <v>2490671</v>
      </c>
      <c r="AO125" s="45"/>
      <c r="AP125" s="45">
        <v>0</v>
      </c>
      <c r="AQ125" s="45"/>
      <c r="AR125" s="45">
        <f>+'GVFund Rev'!U125+'GVFund Rev'!W125-'GVFund Exp'!AH125-'GVFund Exp'!AL125+AJ125+AN125+AP125-'GV Fund BS'!S125</f>
        <v>0</v>
      </c>
      <c r="AS125" s="48"/>
    </row>
    <row r="126" spans="1:46" s="44" customFormat="1" ht="12.75" customHeight="1">
      <c r="A126" s="35" t="s">
        <v>482</v>
      </c>
      <c r="C126" s="35" t="s">
        <v>45</v>
      </c>
      <c r="E126" s="45">
        <v>920116</v>
      </c>
      <c r="F126" s="48"/>
      <c r="G126" s="45">
        <v>2849358</v>
      </c>
      <c r="H126" s="48"/>
      <c r="I126" s="45">
        <v>129955</v>
      </c>
      <c r="J126" s="48"/>
      <c r="K126" s="45">
        <v>0</v>
      </c>
      <c r="L126" s="48"/>
      <c r="M126" s="45">
        <v>1185688</v>
      </c>
      <c r="N126" s="48"/>
      <c r="O126" s="45">
        <v>225156</v>
      </c>
      <c r="P126" s="48"/>
      <c r="Q126" s="45">
        <v>502338</v>
      </c>
      <c r="R126" s="48"/>
      <c r="S126" s="45">
        <v>195085</v>
      </c>
      <c r="T126" s="48"/>
      <c r="U126" s="45">
        <v>0</v>
      </c>
      <c r="V126" s="48"/>
      <c r="W126" s="48"/>
      <c r="X126" s="35"/>
      <c r="Z126" s="35"/>
      <c r="AA126" s="35"/>
      <c r="AB126" s="45">
        <v>240000</v>
      </c>
      <c r="AC126" s="65"/>
      <c r="AD126" s="45">
        <v>51305</v>
      </c>
      <c r="AE126" s="65"/>
      <c r="AF126" s="45">
        <v>0</v>
      </c>
      <c r="AG126" s="65"/>
      <c r="AH126" s="48">
        <f t="shared" si="4"/>
        <v>6299001</v>
      </c>
      <c r="AI126" s="48"/>
      <c r="AJ126" s="48"/>
      <c r="AK126" s="48"/>
      <c r="AL126" s="45">
        <v>0</v>
      </c>
      <c r="AM126" s="45"/>
      <c r="AN126" s="45">
        <v>3048502</v>
      </c>
      <c r="AO126" s="45"/>
      <c r="AP126" s="45">
        <v>0</v>
      </c>
      <c r="AQ126" s="45"/>
      <c r="AR126" s="45">
        <f>+'GVFund Rev'!U126+'GVFund Rev'!W126-'GVFund Exp'!AH126-'GVFund Exp'!AL126+AJ126+AN126+AP126-'GV Fund BS'!S126</f>
        <v>0</v>
      </c>
      <c r="AS126" s="48"/>
    </row>
    <row r="127" spans="1:46" s="44" customFormat="1" ht="12.75" customHeight="1">
      <c r="A127" s="35" t="s">
        <v>152</v>
      </c>
      <c r="C127" s="35" t="s">
        <v>153</v>
      </c>
      <c r="E127" s="45">
        <v>9999112</v>
      </c>
      <c r="F127" s="48"/>
      <c r="G127" s="45">
        <v>24230031</v>
      </c>
      <c r="H127" s="48"/>
      <c r="I127" s="45">
        <v>1787617</v>
      </c>
      <c r="J127" s="48"/>
      <c r="K127" s="45">
        <v>154251</v>
      </c>
      <c r="L127" s="48"/>
      <c r="M127" s="45">
        <v>4454990</v>
      </c>
      <c r="N127" s="48"/>
      <c r="O127" s="45">
        <v>1231940</v>
      </c>
      <c r="P127" s="48"/>
      <c r="Q127" s="45">
        <v>0</v>
      </c>
      <c r="R127" s="48"/>
      <c r="S127" s="45">
        <v>8054070</v>
      </c>
      <c r="T127" s="48"/>
      <c r="U127" s="45">
        <v>0</v>
      </c>
      <c r="V127" s="48"/>
      <c r="W127" s="48"/>
      <c r="X127" s="35"/>
      <c r="Z127" s="35"/>
      <c r="AA127" s="35"/>
      <c r="AB127" s="45">
        <v>305000</v>
      </c>
      <c r="AC127" s="65"/>
      <c r="AD127" s="45">
        <v>242973</v>
      </c>
      <c r="AE127" s="65"/>
      <c r="AF127" s="45"/>
      <c r="AG127" s="65"/>
      <c r="AH127" s="48">
        <f t="shared" si="4"/>
        <v>50459984</v>
      </c>
      <c r="AI127" s="48"/>
      <c r="AJ127" s="48">
        <v>0</v>
      </c>
      <c r="AK127" s="48"/>
      <c r="AL127" s="45">
        <v>0</v>
      </c>
      <c r="AM127" s="45"/>
      <c r="AN127" s="45">
        <v>13076694</v>
      </c>
      <c r="AO127" s="45"/>
      <c r="AP127" s="45">
        <v>154248</v>
      </c>
      <c r="AQ127" s="45"/>
      <c r="AR127" s="45">
        <f>+'GVFund Rev'!U127+'GVFund Rev'!W127-'GVFund Exp'!AH127-'GVFund Exp'!AL127+AJ127+AN127+AP127-'GV Fund BS'!S127</f>
        <v>0</v>
      </c>
      <c r="AS127" s="48"/>
    </row>
    <row r="128" spans="1:46" s="137" customFormat="1" ht="12.75" hidden="1" customHeight="1">
      <c r="A128" s="142" t="s">
        <v>154</v>
      </c>
      <c r="C128" s="142" t="s">
        <v>27</v>
      </c>
      <c r="E128" s="143"/>
      <c r="F128" s="148"/>
      <c r="G128" s="143"/>
      <c r="H128" s="148"/>
      <c r="I128" s="143"/>
      <c r="J128" s="148"/>
      <c r="K128" s="143"/>
      <c r="L128" s="148"/>
      <c r="M128" s="143"/>
      <c r="N128" s="148"/>
      <c r="O128" s="143"/>
      <c r="P128" s="148"/>
      <c r="Q128" s="143"/>
      <c r="R128" s="148"/>
      <c r="S128" s="143"/>
      <c r="T128" s="148"/>
      <c r="U128" s="143"/>
      <c r="V128" s="148"/>
      <c r="W128" s="148"/>
      <c r="X128" s="142"/>
      <c r="Z128" s="142"/>
      <c r="AA128" s="142"/>
      <c r="AB128" s="143"/>
      <c r="AC128" s="141"/>
      <c r="AD128" s="143"/>
      <c r="AE128" s="141"/>
      <c r="AF128" s="143"/>
      <c r="AG128" s="141"/>
      <c r="AH128" s="148">
        <f t="shared" si="4"/>
        <v>0</v>
      </c>
      <c r="AI128" s="148"/>
      <c r="AJ128" s="148">
        <v>0</v>
      </c>
      <c r="AK128" s="148"/>
      <c r="AL128" s="143"/>
      <c r="AM128" s="143"/>
      <c r="AN128" s="143"/>
      <c r="AO128" s="143"/>
      <c r="AP128" s="143"/>
      <c r="AQ128" s="143"/>
      <c r="AR128" s="143">
        <f>+'GVFund Rev'!U128+'GVFund Rev'!W128-'GVFund Exp'!AH128-'GVFund Exp'!AL128+AJ128+AN128+AP128-'GV Fund BS'!S128</f>
        <v>0</v>
      </c>
      <c r="AS128" s="148"/>
    </row>
    <row r="129" spans="1:45" s="44" customFormat="1" ht="12.75" customHeight="1">
      <c r="A129" s="35" t="s">
        <v>155</v>
      </c>
      <c r="C129" s="35" t="s">
        <v>40</v>
      </c>
      <c r="E129" s="45">
        <f>3324660+957391</f>
        <v>4282051</v>
      </c>
      <c r="F129" s="48"/>
      <c r="G129" s="45">
        <f>2867722+2964829</f>
        <v>5832551</v>
      </c>
      <c r="H129" s="48"/>
      <c r="I129" s="45">
        <v>617269</v>
      </c>
      <c r="J129" s="48"/>
      <c r="K129" s="45">
        <v>845140</v>
      </c>
      <c r="L129" s="48"/>
      <c r="M129" s="45">
        <f>1816366+30326</f>
        <v>1846692</v>
      </c>
      <c r="N129" s="48"/>
      <c r="O129" s="45">
        <v>422296</v>
      </c>
      <c r="P129" s="48"/>
      <c r="Q129" s="45">
        <v>0</v>
      </c>
      <c r="R129" s="48"/>
      <c r="S129" s="45">
        <v>1417982</v>
      </c>
      <c r="T129" s="48"/>
      <c r="U129" s="45">
        <v>1914575</v>
      </c>
      <c r="V129" s="48"/>
      <c r="W129" s="48"/>
      <c r="X129" s="35"/>
      <c r="Z129" s="35"/>
      <c r="AA129" s="35"/>
      <c r="AB129" s="45">
        <v>24591</v>
      </c>
      <c r="AC129" s="65"/>
      <c r="AD129" s="45">
        <v>17982</v>
      </c>
      <c r="AE129" s="65"/>
      <c r="AF129" s="45">
        <v>0</v>
      </c>
      <c r="AG129" s="65"/>
      <c r="AH129" s="48">
        <f t="shared" si="4"/>
        <v>17221129</v>
      </c>
      <c r="AI129" s="48"/>
      <c r="AJ129" s="48">
        <v>0</v>
      </c>
      <c r="AK129" s="48"/>
      <c r="AL129" s="45">
        <v>199427</v>
      </c>
      <c r="AM129" s="45"/>
      <c r="AN129" s="45">
        <v>7417530</v>
      </c>
      <c r="AO129" s="45"/>
      <c r="AP129" s="45">
        <v>0</v>
      </c>
      <c r="AQ129" s="45"/>
      <c r="AR129" s="45">
        <f>+'GVFund Rev'!U129+'GVFund Rev'!W129-'GVFund Exp'!AH129-'GVFund Exp'!AL129+AJ129+AN129+AP129-'GV Fund BS'!S129</f>
        <v>0</v>
      </c>
      <c r="AS129" s="48"/>
    </row>
    <row r="130" spans="1:45" s="44" customFormat="1" ht="12.75" customHeight="1">
      <c r="A130" s="64" t="s">
        <v>156</v>
      </c>
      <c r="B130" s="46"/>
      <c r="C130" s="64" t="s">
        <v>156</v>
      </c>
      <c r="D130" s="46"/>
      <c r="E130" s="45">
        <v>0</v>
      </c>
      <c r="F130" s="48"/>
      <c r="G130" s="45">
        <v>13220977</v>
      </c>
      <c r="H130" s="48"/>
      <c r="I130" s="45">
        <v>729756</v>
      </c>
      <c r="J130" s="48"/>
      <c r="K130" s="45">
        <v>1168061</v>
      </c>
      <c r="L130" s="48"/>
      <c r="M130" s="45">
        <v>5849580</v>
      </c>
      <c r="N130" s="48"/>
      <c r="O130" s="45">
        <v>1421739</v>
      </c>
      <c r="P130" s="48"/>
      <c r="Q130" s="45">
        <v>0</v>
      </c>
      <c r="R130" s="48"/>
      <c r="S130" s="45">
        <v>3993892</v>
      </c>
      <c r="T130" s="48"/>
      <c r="U130" s="45">
        <v>0</v>
      </c>
      <c r="V130" s="48"/>
      <c r="W130" s="48"/>
      <c r="X130" s="35"/>
      <c r="Z130" s="35"/>
      <c r="AA130" s="35"/>
      <c r="AB130" s="45">
        <v>312462</v>
      </c>
      <c r="AC130" s="65"/>
      <c r="AD130" s="45">
        <v>189357</v>
      </c>
      <c r="AE130" s="65"/>
      <c r="AF130" s="45">
        <v>70000</v>
      </c>
      <c r="AG130" s="65"/>
      <c r="AH130" s="48">
        <f t="shared" si="4"/>
        <v>26955824</v>
      </c>
      <c r="AI130" s="48"/>
      <c r="AJ130" s="48">
        <v>0</v>
      </c>
      <c r="AK130" s="48"/>
      <c r="AL130" s="45">
        <v>0</v>
      </c>
      <c r="AM130" s="45"/>
      <c r="AN130" s="45">
        <v>9278320</v>
      </c>
      <c r="AO130" s="45"/>
      <c r="AP130" s="45">
        <v>0</v>
      </c>
      <c r="AQ130" s="45"/>
      <c r="AR130" s="45">
        <f>+'GVFund Rev'!U130+'GVFund Rev'!W130-'GVFund Exp'!AH130-'GVFund Exp'!AL130+AJ130+AN130+AP130-'GV Fund BS'!S130</f>
        <v>0</v>
      </c>
      <c r="AS130" s="48"/>
    </row>
    <row r="131" spans="1:45" s="44" customFormat="1" ht="12.75" customHeight="1">
      <c r="A131" s="35" t="s">
        <v>157</v>
      </c>
      <c r="C131" s="35" t="s">
        <v>33</v>
      </c>
      <c r="E131" s="45">
        <v>544637</v>
      </c>
      <c r="F131" s="48"/>
      <c r="G131" s="45">
        <v>2039402</v>
      </c>
      <c r="H131" s="48"/>
      <c r="I131" s="45">
        <v>300100</v>
      </c>
      <c r="J131" s="48"/>
      <c r="K131" s="45">
        <v>72015</v>
      </c>
      <c r="L131" s="48"/>
      <c r="M131" s="45">
        <v>636008</v>
      </c>
      <c r="N131" s="48"/>
      <c r="O131" s="45">
        <v>54887</v>
      </c>
      <c r="P131" s="48"/>
      <c r="Q131" s="45">
        <v>0</v>
      </c>
      <c r="R131" s="48"/>
      <c r="S131" s="45">
        <v>299988</v>
      </c>
      <c r="T131" s="48"/>
      <c r="U131" s="45">
        <v>0</v>
      </c>
      <c r="V131" s="48"/>
      <c r="W131" s="48"/>
      <c r="X131" s="35"/>
      <c r="Z131" s="35"/>
      <c r="AA131" s="35"/>
      <c r="AB131" s="45">
        <v>511056</v>
      </c>
      <c r="AC131" s="65"/>
      <c r="AD131" s="45">
        <v>29050</v>
      </c>
      <c r="AE131" s="65"/>
      <c r="AF131" s="45">
        <v>0</v>
      </c>
      <c r="AG131" s="65"/>
      <c r="AH131" s="48">
        <f t="shared" si="4"/>
        <v>4487143</v>
      </c>
      <c r="AI131" s="48"/>
      <c r="AJ131" s="48">
        <v>0</v>
      </c>
      <c r="AK131" s="48"/>
      <c r="AL131" s="45">
        <v>0</v>
      </c>
      <c r="AM131" s="45"/>
      <c r="AN131" s="45">
        <v>2562096</v>
      </c>
      <c r="AO131" s="45"/>
      <c r="AP131" s="45">
        <v>0</v>
      </c>
      <c r="AQ131" s="45"/>
      <c r="AR131" s="45">
        <f>+'GVFund Rev'!U131+'GVFund Rev'!W131-'GVFund Exp'!AH131-'GVFund Exp'!AL131+AJ131+AN131+AP131-'GV Fund BS'!S131</f>
        <v>0</v>
      </c>
      <c r="AS131" s="48"/>
    </row>
    <row r="132" spans="1:45" s="44" customFormat="1" ht="12.75" customHeight="1">
      <c r="A132" s="35" t="s">
        <v>158</v>
      </c>
      <c r="C132" s="35" t="s">
        <v>159</v>
      </c>
      <c r="E132" s="45">
        <v>2232901</v>
      </c>
      <c r="F132" s="48"/>
      <c r="G132" s="45">
        <v>6725226</v>
      </c>
      <c r="H132" s="48"/>
      <c r="I132" s="45">
        <v>972789</v>
      </c>
      <c r="J132" s="48"/>
      <c r="K132" s="45">
        <v>503740</v>
      </c>
      <c r="L132" s="48"/>
      <c r="M132" s="45">
        <v>1274664</v>
      </c>
      <c r="N132" s="48"/>
      <c r="O132" s="45">
        <v>297919</v>
      </c>
      <c r="P132" s="48"/>
      <c r="Q132" s="45">
        <v>0</v>
      </c>
      <c r="R132" s="48"/>
      <c r="S132" s="45">
        <v>4352293</v>
      </c>
      <c r="T132" s="48"/>
      <c r="U132" s="45">
        <v>0</v>
      </c>
      <c r="V132" s="48"/>
      <c r="W132" s="48"/>
      <c r="X132" s="35"/>
      <c r="Z132" s="35"/>
      <c r="AA132" s="35"/>
      <c r="AB132" s="45">
        <v>15464156</v>
      </c>
      <c r="AC132" s="65"/>
      <c r="AD132" s="45">
        <v>880617</v>
      </c>
      <c r="AE132" s="65"/>
      <c r="AF132" s="45">
        <v>0</v>
      </c>
      <c r="AG132" s="65"/>
      <c r="AH132" s="48">
        <f t="shared" ref="AH132:AH184" si="5">SUM(E132:AF132)</f>
        <v>32704305</v>
      </c>
      <c r="AI132" s="48"/>
      <c r="AJ132" s="48">
        <v>0</v>
      </c>
      <c r="AK132" s="48"/>
      <c r="AL132" s="45">
        <v>0</v>
      </c>
      <c r="AM132" s="45"/>
      <c r="AN132" s="45">
        <v>12245008</v>
      </c>
      <c r="AO132" s="45"/>
      <c r="AP132" s="45">
        <v>0</v>
      </c>
      <c r="AQ132" s="45"/>
      <c r="AR132" s="45">
        <f>+'GVFund Rev'!U132+'GVFund Rev'!W132-'GVFund Exp'!AH132-'GVFund Exp'!AL132+AJ132+AN132+AP132-'GV Fund BS'!S132</f>
        <v>0</v>
      </c>
      <c r="AS132" s="48"/>
    </row>
    <row r="133" spans="1:45" s="44" customFormat="1" ht="12.75" customHeight="1">
      <c r="A133" s="35"/>
      <c r="C133" s="35"/>
      <c r="E133" s="45"/>
      <c r="F133" s="48"/>
      <c r="G133" s="45"/>
      <c r="H133" s="48"/>
      <c r="I133" s="45"/>
      <c r="J133" s="48"/>
      <c r="K133" s="45"/>
      <c r="L133" s="48"/>
      <c r="M133" s="45"/>
      <c r="N133" s="48"/>
      <c r="O133" s="45"/>
      <c r="P133" s="48"/>
      <c r="Q133" s="45"/>
      <c r="R133" s="48"/>
      <c r="S133" s="45"/>
      <c r="T133" s="48"/>
      <c r="U133" s="45"/>
      <c r="V133" s="48"/>
      <c r="W133" s="48"/>
      <c r="X133" s="35"/>
      <c r="Z133" s="35"/>
      <c r="AA133" s="35"/>
      <c r="AB133" s="45"/>
      <c r="AC133" s="65"/>
      <c r="AD133" s="45"/>
      <c r="AE133" s="65"/>
      <c r="AF133" s="45"/>
      <c r="AG133" s="65"/>
      <c r="AH133" s="48"/>
      <c r="AI133" s="48"/>
      <c r="AJ133" s="48"/>
      <c r="AK133" s="48"/>
      <c r="AL133" s="48" t="s">
        <v>485</v>
      </c>
      <c r="AM133" s="45"/>
      <c r="AN133" s="45"/>
      <c r="AO133" s="45"/>
      <c r="AP133" s="45"/>
      <c r="AQ133" s="45"/>
      <c r="AR133" s="45"/>
      <c r="AS133" s="48"/>
    </row>
    <row r="134" spans="1:45" s="46" customFormat="1" ht="12.75" customHeight="1">
      <c r="A134" s="64" t="s">
        <v>160</v>
      </c>
      <c r="C134" s="64" t="s">
        <v>111</v>
      </c>
      <c r="E134" s="94">
        <v>8179399</v>
      </c>
      <c r="F134" s="68"/>
      <c r="G134" s="94">
        <v>11442311</v>
      </c>
      <c r="H134" s="68"/>
      <c r="I134" s="94">
        <v>1514613</v>
      </c>
      <c r="J134" s="68"/>
      <c r="K134" s="94">
        <v>0</v>
      </c>
      <c r="L134" s="68"/>
      <c r="M134" s="94">
        <v>4043848</v>
      </c>
      <c r="N134" s="68"/>
      <c r="O134" s="94">
        <v>2391309</v>
      </c>
      <c r="P134" s="68"/>
      <c r="Q134" s="94">
        <v>252588</v>
      </c>
      <c r="R134" s="68"/>
      <c r="S134" s="94">
        <v>13392267</v>
      </c>
      <c r="T134" s="68"/>
      <c r="U134" s="94">
        <v>0</v>
      </c>
      <c r="V134" s="68"/>
      <c r="W134" s="68"/>
      <c r="X134" s="64"/>
      <c r="Z134" s="64"/>
      <c r="AA134" s="64"/>
      <c r="AB134" s="94">
        <v>1077000</v>
      </c>
      <c r="AC134" s="66"/>
      <c r="AD134" s="94">
        <v>2241798</v>
      </c>
      <c r="AE134" s="66"/>
      <c r="AF134" s="94">
        <v>0</v>
      </c>
      <c r="AG134" s="66"/>
      <c r="AH134" s="68">
        <f t="shared" si="5"/>
        <v>44535133</v>
      </c>
      <c r="AI134" s="68"/>
      <c r="AJ134" s="68">
        <v>0</v>
      </c>
      <c r="AK134" s="68"/>
      <c r="AL134" s="94">
        <v>0</v>
      </c>
      <c r="AM134" s="94"/>
      <c r="AN134" s="94">
        <v>31566974</v>
      </c>
      <c r="AO134" s="94"/>
      <c r="AP134" s="94">
        <v>20454</v>
      </c>
      <c r="AQ134" s="94"/>
      <c r="AR134" s="94">
        <f>+'GVFund Rev'!U134+'GVFund Rev'!W134-'GVFund Exp'!AH134-'GVFund Exp'!AL134+AJ134+AN134+AP134-'GV Fund BS'!S134</f>
        <v>0</v>
      </c>
      <c r="AS134" s="68"/>
    </row>
    <row r="135" spans="1:45" s="44" customFormat="1" ht="12.75" customHeight="1">
      <c r="A135" s="35" t="s">
        <v>161</v>
      </c>
      <c r="C135" s="35" t="s">
        <v>15</v>
      </c>
      <c r="E135" s="45">
        <v>5894214</v>
      </c>
      <c r="F135" s="48"/>
      <c r="G135" s="45">
        <v>9640973</v>
      </c>
      <c r="H135" s="48"/>
      <c r="I135" s="45">
        <v>1013651</v>
      </c>
      <c r="J135" s="48"/>
      <c r="K135" s="45">
        <v>604891</v>
      </c>
      <c r="L135" s="48"/>
      <c r="M135" s="45">
        <v>2772881</v>
      </c>
      <c r="N135" s="48"/>
      <c r="O135" s="45">
        <v>2731893</v>
      </c>
      <c r="P135" s="48"/>
      <c r="Q135" s="45">
        <v>104718</v>
      </c>
      <c r="R135" s="48"/>
      <c r="S135" s="45">
        <v>1025709</v>
      </c>
      <c r="T135" s="48"/>
      <c r="U135" s="45">
        <v>0</v>
      </c>
      <c r="V135" s="48"/>
      <c r="W135" s="48"/>
      <c r="X135" s="35"/>
      <c r="Z135" s="35"/>
      <c r="AA135" s="35"/>
      <c r="AB135" s="45">
        <v>3863914</v>
      </c>
      <c r="AC135" s="65"/>
      <c r="AD135" s="45">
        <v>1319222</v>
      </c>
      <c r="AE135" s="65"/>
      <c r="AF135" s="45">
        <v>600212</v>
      </c>
      <c r="AG135" s="65"/>
      <c r="AH135" s="48">
        <f t="shared" si="5"/>
        <v>29572278</v>
      </c>
      <c r="AI135" s="48"/>
      <c r="AJ135" s="48">
        <v>0</v>
      </c>
      <c r="AK135" s="48"/>
      <c r="AL135" s="45">
        <v>0</v>
      </c>
      <c r="AM135" s="45"/>
      <c r="AN135" s="45">
        <v>9243078</v>
      </c>
      <c r="AO135" s="45"/>
      <c r="AP135" s="45">
        <v>0</v>
      </c>
      <c r="AQ135" s="45"/>
      <c r="AR135" s="45">
        <f>+'GVFund Rev'!U135+'GVFund Rev'!W135-'GVFund Exp'!AH135-'GVFund Exp'!AL135+AJ135+AN135+AP135-'GV Fund BS'!S135</f>
        <v>0</v>
      </c>
      <c r="AS135" s="48"/>
    </row>
    <row r="136" spans="1:45" s="46" customFormat="1" ht="12.75" customHeight="1">
      <c r="A136" s="35" t="s">
        <v>162</v>
      </c>
      <c r="B136" s="44"/>
      <c r="C136" s="35" t="s">
        <v>163</v>
      </c>
      <c r="D136" s="44"/>
      <c r="E136" s="45">
        <v>4620286</v>
      </c>
      <c r="F136" s="48"/>
      <c r="G136" s="45">
        <v>9801436</v>
      </c>
      <c r="H136" s="48"/>
      <c r="I136" s="45">
        <v>912773</v>
      </c>
      <c r="J136" s="48"/>
      <c r="K136" s="45">
        <v>178810</v>
      </c>
      <c r="L136" s="48"/>
      <c r="M136" s="45">
        <v>2959456</v>
      </c>
      <c r="N136" s="48"/>
      <c r="O136" s="45">
        <v>2076019</v>
      </c>
      <c r="P136" s="48"/>
      <c r="Q136" s="45">
        <v>1517083</v>
      </c>
      <c r="R136" s="48"/>
      <c r="S136" s="45">
        <v>12880454</v>
      </c>
      <c r="T136" s="48"/>
      <c r="U136" s="45">
        <v>0</v>
      </c>
      <c r="V136" s="48"/>
      <c r="W136" s="48"/>
      <c r="X136" s="35"/>
      <c r="Y136" s="44"/>
      <c r="Z136" s="35"/>
      <c r="AA136" s="35"/>
      <c r="AB136" s="45">
        <v>968291</v>
      </c>
      <c r="AC136" s="65"/>
      <c r="AD136" s="45">
        <v>1130336</v>
      </c>
      <c r="AE136" s="65"/>
      <c r="AF136" s="45">
        <v>0</v>
      </c>
      <c r="AG136" s="65"/>
      <c r="AH136" s="48">
        <f t="shared" si="5"/>
        <v>37044944</v>
      </c>
      <c r="AI136" s="48"/>
      <c r="AJ136" s="48">
        <v>0</v>
      </c>
      <c r="AK136" s="48"/>
      <c r="AL136" s="45">
        <v>0</v>
      </c>
      <c r="AM136" s="45"/>
      <c r="AN136" s="45">
        <v>37222716</v>
      </c>
      <c r="AO136" s="45"/>
      <c r="AP136" s="45">
        <v>12879</v>
      </c>
      <c r="AQ136" s="45"/>
      <c r="AR136" s="45">
        <f>+'GVFund Rev'!U136+'GVFund Rev'!W136-'GVFund Exp'!AH136-'GVFund Exp'!AL136+AJ136+AN136+AP136-'GV Fund BS'!S136</f>
        <v>0</v>
      </c>
      <c r="AS136" s="68"/>
    </row>
    <row r="137" spans="1:45" s="44" customFormat="1" ht="12.75" customHeight="1">
      <c r="A137" s="35" t="s">
        <v>164</v>
      </c>
      <c r="C137" s="35" t="s">
        <v>27</v>
      </c>
      <c r="E137" s="45">
        <v>2235873</v>
      </c>
      <c r="F137" s="45"/>
      <c r="G137" s="45">
        <v>10056244</v>
      </c>
      <c r="H137" s="45"/>
      <c r="I137" s="45">
        <v>917807</v>
      </c>
      <c r="J137" s="45"/>
      <c r="K137" s="45">
        <v>327606</v>
      </c>
      <c r="L137" s="45"/>
      <c r="M137" s="45">
        <v>7008498</v>
      </c>
      <c r="N137" s="45"/>
      <c r="O137" s="45">
        <v>1496742</v>
      </c>
      <c r="P137" s="45"/>
      <c r="Q137" s="45">
        <v>2713399</v>
      </c>
      <c r="R137" s="45"/>
      <c r="S137" s="45">
        <v>0</v>
      </c>
      <c r="T137" s="45"/>
      <c r="U137" s="45">
        <v>0</v>
      </c>
      <c r="V137" s="45"/>
      <c r="W137" s="45"/>
      <c r="X137" s="45"/>
      <c r="Y137" s="45"/>
      <c r="AB137" s="45">
        <v>7918352</v>
      </c>
      <c r="AC137" s="45"/>
      <c r="AD137" s="45">
        <v>424229</v>
      </c>
      <c r="AE137" s="48"/>
      <c r="AF137" s="45">
        <v>0</v>
      </c>
      <c r="AG137" s="45"/>
      <c r="AH137" s="48">
        <f>SUM(E137:AF137)</f>
        <v>33098750</v>
      </c>
      <c r="AI137" s="45">
        <v>19214780</v>
      </c>
      <c r="AJ137" s="45"/>
      <c r="AK137" s="48"/>
      <c r="AL137" s="45">
        <v>0</v>
      </c>
      <c r="AM137" s="45"/>
      <c r="AN137" s="45">
        <v>20114686</v>
      </c>
      <c r="AO137" s="45"/>
      <c r="AP137" s="45">
        <v>14609</v>
      </c>
      <c r="AQ137" s="45"/>
      <c r="AR137" s="45">
        <f>+'GVFund Rev'!U137+'GVFund Rev'!W137-'GVFund Exp'!AH137-'GVFund Exp'!AL137+AJ137+AN137+AP137-'GV Fund BS'!S137</f>
        <v>0</v>
      </c>
      <c r="AS137" s="48"/>
    </row>
    <row r="138" spans="1:45" s="44" customFormat="1" ht="12.75" customHeight="1">
      <c r="A138" s="35" t="s">
        <v>53</v>
      </c>
      <c r="C138" s="35" t="s">
        <v>53</v>
      </c>
      <c r="E138" s="45">
        <v>5988389</v>
      </c>
      <c r="F138" s="48"/>
      <c r="G138" s="45">
        <v>6616207</v>
      </c>
      <c r="H138" s="48"/>
      <c r="I138" s="45">
        <v>762423</v>
      </c>
      <c r="J138" s="48"/>
      <c r="K138" s="45">
        <v>146207</v>
      </c>
      <c r="L138" s="48"/>
      <c r="M138" s="45">
        <v>1334283</v>
      </c>
      <c r="N138" s="48"/>
      <c r="O138" s="45">
        <v>849041</v>
      </c>
      <c r="P138" s="48"/>
      <c r="Q138" s="45">
        <v>62520</v>
      </c>
      <c r="R138" s="48"/>
      <c r="S138" s="45">
        <v>4699966</v>
      </c>
      <c r="T138" s="48"/>
      <c r="U138" s="45">
        <v>0</v>
      </c>
      <c r="V138" s="48"/>
      <c r="W138" s="48"/>
      <c r="X138" s="35"/>
      <c r="Z138" s="35"/>
      <c r="AA138" s="35"/>
      <c r="AB138" s="45">
        <v>331905</v>
      </c>
      <c r="AC138" s="65"/>
      <c r="AD138" s="45">
        <v>129566</v>
      </c>
      <c r="AE138" s="65"/>
      <c r="AF138" s="45">
        <v>0</v>
      </c>
      <c r="AG138" s="65"/>
      <c r="AH138" s="48">
        <f t="shared" si="5"/>
        <v>20920507</v>
      </c>
      <c r="AI138" s="48"/>
      <c r="AJ138" s="48">
        <v>0</v>
      </c>
      <c r="AK138" s="48"/>
      <c r="AL138" s="45">
        <v>0</v>
      </c>
      <c r="AM138" s="45"/>
      <c r="AN138" s="45">
        <v>25003595</v>
      </c>
      <c r="AO138" s="45"/>
      <c r="AP138" s="45">
        <v>0</v>
      </c>
      <c r="AQ138" s="45"/>
      <c r="AR138" s="45">
        <f>+'GVFund Rev'!U138+'GVFund Rev'!W138-'GVFund Exp'!AH138-'GVFund Exp'!AL138+AJ138+AN138+AP138-'GV Fund BS'!S138</f>
        <v>0</v>
      </c>
      <c r="AS138" s="48"/>
    </row>
    <row r="139" spans="1:45" s="44" customFormat="1" ht="12.75" customHeight="1">
      <c r="A139" s="35" t="s">
        <v>165</v>
      </c>
      <c r="C139" s="35" t="s">
        <v>92</v>
      </c>
      <c r="E139" s="45">
        <v>7181509</v>
      </c>
      <c r="F139" s="48"/>
      <c r="G139" s="45">
        <v>21687718</v>
      </c>
      <c r="H139" s="48"/>
      <c r="I139" s="45">
        <v>3928558</v>
      </c>
      <c r="J139" s="48"/>
      <c r="K139" s="45">
        <v>0</v>
      </c>
      <c r="L139" s="48"/>
      <c r="M139" s="45">
        <v>9577178</v>
      </c>
      <c r="N139" s="48"/>
      <c r="O139" s="45">
        <v>8054630</v>
      </c>
      <c r="P139" s="48"/>
      <c r="Q139" s="45">
        <v>0</v>
      </c>
      <c r="R139" s="48"/>
      <c r="S139" s="45">
        <v>5020964</v>
      </c>
      <c r="T139" s="48"/>
      <c r="U139" s="45">
        <v>0</v>
      </c>
      <c r="V139" s="48"/>
      <c r="W139" s="48"/>
      <c r="X139" s="35"/>
      <c r="Z139" s="35"/>
      <c r="AA139" s="35"/>
      <c r="AB139" s="45">
        <v>8971061</v>
      </c>
      <c r="AC139" s="65"/>
      <c r="AD139" s="45">
        <v>1510150</v>
      </c>
      <c r="AE139" s="65"/>
      <c r="AF139" s="45">
        <v>0</v>
      </c>
      <c r="AG139" s="65"/>
      <c r="AH139" s="48">
        <f t="shared" si="5"/>
        <v>65931768</v>
      </c>
      <c r="AI139" s="48"/>
      <c r="AJ139" s="48">
        <v>0</v>
      </c>
      <c r="AK139" s="48"/>
      <c r="AL139" s="45">
        <v>0</v>
      </c>
      <c r="AM139" s="45"/>
      <c r="AN139" s="45">
        <v>23023379</v>
      </c>
      <c r="AO139" s="45"/>
      <c r="AP139" s="45">
        <v>38876</v>
      </c>
      <c r="AQ139" s="45"/>
      <c r="AR139" s="45">
        <f>+'GVFund Rev'!U139+'GVFund Rev'!W139-'GVFund Exp'!AH139-'GVFund Exp'!AL139+AJ139+AN139+AP139-'GV Fund BS'!S139</f>
        <v>0</v>
      </c>
      <c r="AS139" s="48"/>
    </row>
    <row r="140" spans="1:45" s="44" customFormat="1" ht="12.75" customHeight="1">
      <c r="A140" s="35" t="s">
        <v>166</v>
      </c>
      <c r="C140" s="35" t="s">
        <v>92</v>
      </c>
      <c r="E140" s="45">
        <v>625665</v>
      </c>
      <c r="F140" s="48"/>
      <c r="G140" s="45">
        <v>2282501</v>
      </c>
      <c r="H140" s="48"/>
      <c r="I140" s="45">
        <v>0</v>
      </c>
      <c r="J140" s="48"/>
      <c r="K140" s="45">
        <v>65429</v>
      </c>
      <c r="L140" s="48"/>
      <c r="M140" s="45">
        <v>764512</v>
      </c>
      <c r="N140" s="48"/>
      <c r="O140" s="45">
        <v>44741</v>
      </c>
      <c r="P140" s="48"/>
      <c r="Q140" s="45">
        <v>285393</v>
      </c>
      <c r="R140" s="48"/>
      <c r="S140" s="45">
        <v>315346</v>
      </c>
      <c r="T140" s="48"/>
      <c r="U140" s="45">
        <v>0</v>
      </c>
      <c r="V140" s="48"/>
      <c r="W140" s="48"/>
      <c r="X140" s="35"/>
      <c r="Z140" s="35"/>
      <c r="AA140" s="35"/>
      <c r="AB140" s="45">
        <v>40507</v>
      </c>
      <c r="AC140" s="65"/>
      <c r="AD140" s="45">
        <v>40060</v>
      </c>
      <c r="AE140" s="65"/>
      <c r="AF140" s="45">
        <v>2318</v>
      </c>
      <c r="AG140" s="65"/>
      <c r="AH140" s="48">
        <f t="shared" si="5"/>
        <v>4466472</v>
      </c>
      <c r="AI140" s="48"/>
      <c r="AJ140" s="48">
        <v>0</v>
      </c>
      <c r="AK140" s="48"/>
      <c r="AL140" s="45">
        <v>0</v>
      </c>
      <c r="AM140" s="45"/>
      <c r="AN140" s="45">
        <v>-111098</v>
      </c>
      <c r="AO140" s="45"/>
      <c r="AP140" s="45">
        <v>0</v>
      </c>
      <c r="AQ140" s="45"/>
      <c r="AR140" s="45">
        <f>+'GVFund Rev'!U140+'GVFund Rev'!W140-'GVFund Exp'!AH140-'GVFund Exp'!AL140+AJ140+AN140+AP140-'GV Fund BS'!S140</f>
        <v>0</v>
      </c>
      <c r="AS140" s="48"/>
    </row>
    <row r="141" spans="1:45" s="44" customFormat="1" ht="12.75" customHeight="1">
      <c r="A141" s="35" t="s">
        <v>167</v>
      </c>
      <c r="C141" s="35" t="s">
        <v>66</v>
      </c>
      <c r="E141" s="45">
        <v>4222182</v>
      </c>
      <c r="F141" s="48"/>
      <c r="G141" s="45">
        <v>8365268</v>
      </c>
      <c r="H141" s="48"/>
      <c r="I141" s="45">
        <v>932600</v>
      </c>
      <c r="J141" s="48"/>
      <c r="K141" s="45">
        <v>3436</v>
      </c>
      <c r="L141" s="48"/>
      <c r="M141" s="45">
        <v>1378056</v>
      </c>
      <c r="N141" s="48"/>
      <c r="O141" s="45">
        <v>1983775</v>
      </c>
      <c r="P141" s="48"/>
      <c r="Q141" s="45">
        <v>0</v>
      </c>
      <c r="R141" s="48"/>
      <c r="S141" s="45">
        <v>2124744</v>
      </c>
      <c r="T141" s="48"/>
      <c r="U141" s="45">
        <v>0</v>
      </c>
      <c r="V141" s="48"/>
      <c r="W141" s="48"/>
      <c r="X141" s="35"/>
      <c r="Z141" s="35"/>
      <c r="AA141" s="35"/>
      <c r="AB141" s="45">
        <v>403910</v>
      </c>
      <c r="AC141" s="65"/>
      <c r="AD141" s="45">
        <v>145279</v>
      </c>
      <c r="AE141" s="65"/>
      <c r="AF141" s="45">
        <v>952755</v>
      </c>
      <c r="AG141" s="65"/>
      <c r="AH141" s="48">
        <f t="shared" si="5"/>
        <v>20512005</v>
      </c>
      <c r="AI141" s="48"/>
      <c r="AJ141" s="48">
        <v>0</v>
      </c>
      <c r="AK141" s="48"/>
      <c r="AL141" s="45">
        <v>977833</v>
      </c>
      <c r="AM141" s="45"/>
      <c r="AN141" s="45">
        <v>14898812</v>
      </c>
      <c r="AO141" s="45"/>
      <c r="AP141" s="45">
        <v>0</v>
      </c>
      <c r="AQ141" s="45"/>
      <c r="AR141" s="45">
        <f>+'GVFund Rev'!U141+'GVFund Rev'!W141-'GVFund Exp'!AH141-'GVFund Exp'!AL141+AJ141+AN141+AP141-'GV Fund BS'!S141</f>
        <v>0</v>
      </c>
      <c r="AS141" s="48"/>
    </row>
    <row r="142" spans="1:45" s="44" customFormat="1" ht="12.75" customHeight="1">
      <c r="A142" s="44" t="s">
        <v>168</v>
      </c>
      <c r="C142" s="44" t="s">
        <v>27</v>
      </c>
      <c r="E142" s="45">
        <v>6166876</v>
      </c>
      <c r="F142" s="48"/>
      <c r="G142" s="45">
        <v>7522883</v>
      </c>
      <c r="H142" s="48"/>
      <c r="I142" s="45">
        <v>788543</v>
      </c>
      <c r="J142" s="48"/>
      <c r="K142" s="45">
        <v>259832</v>
      </c>
      <c r="L142" s="48"/>
      <c r="M142" s="45">
        <v>1581516</v>
      </c>
      <c r="N142" s="48"/>
      <c r="O142" s="45">
        <v>2614153</v>
      </c>
      <c r="P142" s="48"/>
      <c r="Q142" s="45">
        <v>948598</v>
      </c>
      <c r="R142" s="48"/>
      <c r="S142" s="45">
        <v>1735992</v>
      </c>
      <c r="T142" s="48"/>
      <c r="U142" s="45">
        <v>0</v>
      </c>
      <c r="V142" s="48"/>
      <c r="W142" s="48"/>
      <c r="X142" s="35"/>
      <c r="Z142" s="35"/>
      <c r="AA142" s="35"/>
      <c r="AB142" s="45">
        <v>1900039</v>
      </c>
      <c r="AC142" s="65"/>
      <c r="AD142" s="45">
        <v>841476</v>
      </c>
      <c r="AE142" s="65"/>
      <c r="AF142" s="45">
        <v>0</v>
      </c>
      <c r="AG142" s="65"/>
      <c r="AH142" s="48">
        <f t="shared" si="5"/>
        <v>24359908</v>
      </c>
      <c r="AI142" s="48"/>
      <c r="AJ142" s="48">
        <v>0</v>
      </c>
      <c r="AK142" s="48"/>
      <c r="AL142" s="45">
        <v>750000</v>
      </c>
      <c r="AM142" s="45"/>
      <c r="AN142" s="45">
        <f>8618697+3</f>
        <v>8618700</v>
      </c>
      <c r="AO142" s="45"/>
      <c r="AP142" s="45">
        <v>0</v>
      </c>
      <c r="AQ142" s="45"/>
      <c r="AR142" s="45">
        <f>+'GVFund Rev'!U142+'GVFund Rev'!W142-'GVFund Exp'!AH142-'GVFund Exp'!AL142+AJ142+AN142+AP142-'GV Fund BS'!S142</f>
        <v>0</v>
      </c>
      <c r="AS142" s="48"/>
    </row>
    <row r="143" spans="1:45" s="44" customFormat="1" ht="12.75" customHeight="1">
      <c r="A143" s="35" t="s">
        <v>169</v>
      </c>
      <c r="C143" s="35" t="s">
        <v>103</v>
      </c>
      <c r="E143" s="45">
        <v>4082742</v>
      </c>
      <c r="F143" s="48"/>
      <c r="G143" s="45">
        <v>23122129</v>
      </c>
      <c r="H143" s="48"/>
      <c r="I143" s="45">
        <v>11753931</v>
      </c>
      <c r="J143" s="48"/>
      <c r="K143" s="45">
        <v>1023749</v>
      </c>
      <c r="L143" s="48"/>
      <c r="M143" s="45">
        <v>4731481</v>
      </c>
      <c r="N143" s="48"/>
      <c r="O143" s="45">
        <v>1421105</v>
      </c>
      <c r="P143" s="48"/>
      <c r="Q143" s="45">
        <v>0</v>
      </c>
      <c r="R143" s="48"/>
      <c r="S143" s="45">
        <v>0</v>
      </c>
      <c r="T143" s="48"/>
      <c r="U143" s="45">
        <v>0</v>
      </c>
      <c r="V143" s="48"/>
      <c r="W143" s="48"/>
      <c r="X143" s="35"/>
      <c r="Z143" s="35"/>
      <c r="AA143" s="35"/>
      <c r="AB143" s="45">
        <v>1555818</v>
      </c>
      <c r="AC143" s="65"/>
      <c r="AD143" s="45">
        <v>1502669</v>
      </c>
      <c r="AE143" s="65"/>
      <c r="AF143" s="45">
        <v>1427497</v>
      </c>
      <c r="AG143" s="65"/>
      <c r="AH143" s="48">
        <f t="shared" si="5"/>
        <v>50621121</v>
      </c>
      <c r="AI143" s="48"/>
      <c r="AJ143" s="48">
        <v>0</v>
      </c>
      <c r="AK143" s="48"/>
      <c r="AL143" s="45">
        <f>242432+4306</f>
        <v>246738</v>
      </c>
      <c r="AM143" s="45"/>
      <c r="AN143" s="45">
        <v>19885014</v>
      </c>
      <c r="AO143" s="45"/>
      <c r="AP143" s="45">
        <v>0</v>
      </c>
      <c r="AQ143" s="45"/>
      <c r="AR143" s="45">
        <f>+'GVFund Rev'!U143+'GVFund Rev'!W143-'GVFund Exp'!AH143-'GVFund Exp'!AL143+AJ143+AN143+AP143-'GV Fund BS'!S143</f>
        <v>0</v>
      </c>
      <c r="AS143" s="48"/>
    </row>
    <row r="144" spans="1:45" s="44" customFormat="1" ht="12.75" customHeight="1">
      <c r="A144" s="35" t="s">
        <v>170</v>
      </c>
      <c r="C144" s="35" t="s">
        <v>171</v>
      </c>
      <c r="E144" s="45">
        <v>1157044</v>
      </c>
      <c r="F144" s="48"/>
      <c r="G144" s="45">
        <v>3603756</v>
      </c>
      <c r="H144" s="48"/>
      <c r="I144" s="45">
        <v>0</v>
      </c>
      <c r="J144" s="48"/>
      <c r="K144" s="45">
        <v>505923</v>
      </c>
      <c r="L144" s="48"/>
      <c r="M144" s="45">
        <v>0</v>
      </c>
      <c r="N144" s="48"/>
      <c r="O144" s="45">
        <v>402873</v>
      </c>
      <c r="P144" s="48"/>
      <c r="Q144" s="45">
        <v>636523</v>
      </c>
      <c r="R144" s="48"/>
      <c r="S144" s="45">
        <v>388314</v>
      </c>
      <c r="T144" s="48"/>
      <c r="U144" s="45">
        <v>27879</v>
      </c>
      <c r="V144" s="48"/>
      <c r="W144" s="48"/>
      <c r="X144" s="35"/>
      <c r="Z144" s="35"/>
      <c r="AA144" s="35"/>
      <c r="AB144" s="45">
        <v>170000</v>
      </c>
      <c r="AC144" s="65"/>
      <c r="AD144" s="45">
        <v>264338</v>
      </c>
      <c r="AE144" s="65"/>
      <c r="AF144" s="45">
        <v>0</v>
      </c>
      <c r="AG144" s="65"/>
      <c r="AH144" s="48">
        <f t="shared" si="5"/>
        <v>7156650</v>
      </c>
      <c r="AI144" s="48"/>
      <c r="AJ144" s="48">
        <v>0</v>
      </c>
      <c r="AK144" s="48"/>
      <c r="AL144" s="45">
        <v>0</v>
      </c>
      <c r="AM144" s="45"/>
      <c r="AN144" s="45">
        <v>4775947</v>
      </c>
      <c r="AO144" s="45"/>
      <c r="AP144" s="45">
        <v>-41074</v>
      </c>
      <c r="AQ144" s="45"/>
      <c r="AR144" s="45">
        <f>+'GVFund Rev'!U144+'GVFund Rev'!W144-'GVFund Exp'!AH144-'GVFund Exp'!AL144+AJ144+AN144+AP144-'GV Fund BS'!S144</f>
        <v>0</v>
      </c>
      <c r="AS144" s="48"/>
    </row>
    <row r="145" spans="1:45" s="44" customFormat="1" ht="12.75" customHeight="1">
      <c r="A145" s="35" t="s">
        <v>172</v>
      </c>
      <c r="C145" s="35" t="s">
        <v>103</v>
      </c>
      <c r="E145" s="45">
        <v>1511020</v>
      </c>
      <c r="F145" s="48"/>
      <c r="G145" s="45">
        <v>5708624</v>
      </c>
      <c r="H145" s="48"/>
      <c r="I145" s="45">
        <v>0</v>
      </c>
      <c r="J145" s="48"/>
      <c r="K145" s="45">
        <v>148323</v>
      </c>
      <c r="L145" s="48"/>
      <c r="M145" s="45">
        <v>1047776</v>
      </c>
      <c r="N145" s="48"/>
      <c r="O145" s="45">
        <v>2005</v>
      </c>
      <c r="P145" s="48"/>
      <c r="Q145" s="45">
        <v>0</v>
      </c>
      <c r="R145" s="48"/>
      <c r="S145" s="45">
        <v>1977412</v>
      </c>
      <c r="T145" s="48"/>
      <c r="U145" s="45">
        <v>228317</v>
      </c>
      <c r="V145" s="48"/>
      <c r="W145" s="48"/>
      <c r="X145" s="35"/>
      <c r="Z145" s="35"/>
      <c r="AA145" s="35"/>
      <c r="AB145" s="45">
        <v>593242</v>
      </c>
      <c r="AC145" s="65"/>
      <c r="AD145" s="45">
        <v>990390</v>
      </c>
      <c r="AE145" s="65"/>
      <c r="AF145" s="45">
        <v>0</v>
      </c>
      <c r="AG145" s="65"/>
      <c r="AH145" s="48">
        <f t="shared" si="5"/>
        <v>12207109</v>
      </c>
      <c r="AI145" s="48"/>
      <c r="AJ145" s="48">
        <v>0</v>
      </c>
      <c r="AK145" s="48"/>
      <c r="AL145" s="45">
        <v>0</v>
      </c>
      <c r="AM145" s="45"/>
      <c r="AN145" s="45">
        <v>3500373</v>
      </c>
      <c r="AO145" s="45"/>
      <c r="AP145" s="45">
        <v>0</v>
      </c>
      <c r="AQ145" s="45"/>
      <c r="AR145" s="45">
        <f>+'GVFund Rev'!U145+'GVFund Rev'!W145-'GVFund Exp'!AH145-'GVFund Exp'!AL145+AJ145+AN145+AP145-'GV Fund BS'!S145</f>
        <v>0</v>
      </c>
      <c r="AS145" s="48"/>
    </row>
    <row r="146" spans="1:45" s="44" customFormat="1" ht="12.75" customHeight="1">
      <c r="A146" s="35" t="s">
        <v>66</v>
      </c>
      <c r="C146" s="35" t="s">
        <v>45</v>
      </c>
      <c r="E146" s="45">
        <v>3291453</v>
      </c>
      <c r="F146" s="48"/>
      <c r="G146" s="45">
        <v>4568155</v>
      </c>
      <c r="H146" s="48"/>
      <c r="I146" s="45">
        <v>441412</v>
      </c>
      <c r="J146" s="48"/>
      <c r="K146" s="45">
        <v>0</v>
      </c>
      <c r="L146" s="48"/>
      <c r="M146" s="45">
        <v>0</v>
      </c>
      <c r="N146" s="48"/>
      <c r="O146" s="45">
        <v>977049</v>
      </c>
      <c r="P146" s="48"/>
      <c r="Q146" s="45">
        <v>1535161</v>
      </c>
      <c r="R146" s="48"/>
      <c r="S146" s="45">
        <v>2750034</v>
      </c>
      <c r="T146" s="48"/>
      <c r="U146" s="45">
        <v>0</v>
      </c>
      <c r="V146" s="48"/>
      <c r="W146" s="48"/>
      <c r="X146" s="35"/>
      <c r="Z146" s="35"/>
      <c r="AA146" s="35"/>
      <c r="AB146" s="45">
        <v>973883</v>
      </c>
      <c r="AC146" s="65"/>
      <c r="AD146" s="45">
        <v>282666</v>
      </c>
      <c r="AE146" s="65"/>
      <c r="AF146" s="45">
        <v>0</v>
      </c>
      <c r="AG146" s="65"/>
      <c r="AH146" s="48">
        <f t="shared" si="5"/>
        <v>14819813</v>
      </c>
      <c r="AI146" s="48"/>
      <c r="AJ146" s="48">
        <v>0</v>
      </c>
      <c r="AK146" s="48"/>
      <c r="AL146" s="45">
        <v>0</v>
      </c>
      <c r="AM146" s="45"/>
      <c r="AN146" s="45">
        <v>24845914</v>
      </c>
      <c r="AO146" s="45"/>
      <c r="AP146" s="45">
        <v>0</v>
      </c>
      <c r="AQ146" s="45"/>
      <c r="AR146" s="45">
        <f>+'GVFund Rev'!U146+'GVFund Rev'!W146-'GVFund Exp'!AH146-'GVFund Exp'!AL146+AJ146+AN146+AP146-'GV Fund BS'!S146</f>
        <v>0</v>
      </c>
      <c r="AS146" s="48"/>
    </row>
    <row r="147" spans="1:45" s="44" customFormat="1" ht="12.75" customHeight="1">
      <c r="A147" s="35" t="s">
        <v>173</v>
      </c>
      <c r="C147" s="35" t="s">
        <v>66</v>
      </c>
      <c r="E147" s="45">
        <v>4859140</v>
      </c>
      <c r="F147" s="48"/>
      <c r="G147" s="45">
        <v>9508685</v>
      </c>
      <c r="H147" s="48"/>
      <c r="I147" s="45">
        <v>3131632</v>
      </c>
      <c r="J147" s="48"/>
      <c r="K147" s="45">
        <v>133320</v>
      </c>
      <c r="L147" s="48"/>
      <c r="M147" s="45">
        <v>2399247</v>
      </c>
      <c r="N147" s="48"/>
      <c r="O147" s="45">
        <v>2593283</v>
      </c>
      <c r="P147" s="48"/>
      <c r="Q147" s="45">
        <v>339454</v>
      </c>
      <c r="R147" s="48"/>
      <c r="S147" s="45">
        <v>2645329</v>
      </c>
      <c r="T147" s="48"/>
      <c r="U147" s="45">
        <v>0</v>
      </c>
      <c r="V147" s="48"/>
      <c r="W147" s="48"/>
      <c r="X147" s="35"/>
      <c r="Z147" s="35"/>
      <c r="AA147" s="35"/>
      <c r="AB147" s="45">
        <v>169304</v>
      </c>
      <c r="AC147" s="65"/>
      <c r="AD147" s="45">
        <v>204944</v>
      </c>
      <c r="AE147" s="65"/>
      <c r="AF147" s="45">
        <v>0</v>
      </c>
      <c r="AG147" s="65"/>
      <c r="AH147" s="48">
        <f t="shared" si="5"/>
        <v>25984338</v>
      </c>
      <c r="AI147" s="48"/>
      <c r="AJ147" s="48">
        <v>0</v>
      </c>
      <c r="AK147" s="48"/>
      <c r="AL147" s="45">
        <v>0</v>
      </c>
      <c r="AM147" s="45"/>
      <c r="AN147" s="45">
        <v>24550183</v>
      </c>
      <c r="AO147" s="45"/>
      <c r="AP147" s="45">
        <v>0</v>
      </c>
      <c r="AQ147" s="45"/>
      <c r="AR147" s="45">
        <f>+'GVFund Rev'!U147+'GVFund Rev'!W147-'GVFund Exp'!AH147-'GVFund Exp'!AL147+AJ147+AN147+AP147-'GV Fund BS'!S147</f>
        <v>0</v>
      </c>
      <c r="AS147" s="48"/>
    </row>
    <row r="148" spans="1:45" s="46" customFormat="1" ht="12.75" customHeight="1">
      <c r="A148" s="35" t="s">
        <v>174</v>
      </c>
      <c r="B148" s="44"/>
      <c r="C148" s="35" t="s">
        <v>45</v>
      </c>
      <c r="D148" s="44"/>
      <c r="E148" s="45">
        <v>589040</v>
      </c>
      <c r="F148" s="48"/>
      <c r="G148" s="45">
        <v>1746243</v>
      </c>
      <c r="H148" s="48"/>
      <c r="I148" s="45">
        <v>99046</v>
      </c>
      <c r="J148" s="48"/>
      <c r="K148" s="45">
        <v>0</v>
      </c>
      <c r="L148" s="48"/>
      <c r="M148" s="45">
        <v>359377</v>
      </c>
      <c r="N148" s="48"/>
      <c r="O148" s="45">
        <v>140927</v>
      </c>
      <c r="P148" s="48"/>
      <c r="Q148" s="45">
        <v>426733</v>
      </c>
      <c r="R148" s="48"/>
      <c r="S148" s="45">
        <v>497768</v>
      </c>
      <c r="T148" s="48"/>
      <c r="U148" s="45">
        <v>0</v>
      </c>
      <c r="V148" s="48"/>
      <c r="W148" s="48"/>
      <c r="X148" s="35"/>
      <c r="Y148" s="44"/>
      <c r="Z148" s="35"/>
      <c r="AA148" s="35"/>
      <c r="AB148" s="45">
        <v>197977</v>
      </c>
      <c r="AC148" s="65"/>
      <c r="AD148" s="45">
        <v>74027</v>
      </c>
      <c r="AE148" s="65"/>
      <c r="AF148" s="45">
        <v>0</v>
      </c>
      <c r="AG148" s="65"/>
      <c r="AH148" s="48">
        <f t="shared" si="5"/>
        <v>4131138</v>
      </c>
      <c r="AI148" s="48"/>
      <c r="AJ148" s="48">
        <v>0</v>
      </c>
      <c r="AK148" s="48"/>
      <c r="AL148" s="45">
        <v>0</v>
      </c>
      <c r="AM148" s="45"/>
      <c r="AN148" s="45">
        <v>690934</v>
      </c>
      <c r="AO148" s="45"/>
      <c r="AP148" s="45">
        <v>0</v>
      </c>
      <c r="AQ148" s="45"/>
      <c r="AR148" s="45">
        <f>+'GVFund Rev'!U148+'GVFund Rev'!W148-'GVFund Exp'!AH148-'GVFund Exp'!AL148+AJ148+AN148+AP148-'GV Fund BS'!S148</f>
        <v>0</v>
      </c>
      <c r="AS148" s="48"/>
    </row>
    <row r="149" spans="1:45" s="44" customFormat="1" ht="12.75" customHeight="1">
      <c r="A149" s="35" t="s">
        <v>175</v>
      </c>
      <c r="C149" s="35" t="s">
        <v>176</v>
      </c>
      <c r="E149" s="45">
        <v>7721022</v>
      </c>
      <c r="F149" s="48"/>
      <c r="G149" s="45">
        <v>5274270</v>
      </c>
      <c r="H149" s="48"/>
      <c r="I149" s="45">
        <v>745733</v>
      </c>
      <c r="J149" s="48"/>
      <c r="K149" s="45">
        <v>654455</v>
      </c>
      <c r="L149" s="48"/>
      <c r="M149" s="45">
        <v>2393098</v>
      </c>
      <c r="N149" s="48"/>
      <c r="O149" s="45">
        <v>655489</v>
      </c>
      <c r="P149" s="48"/>
      <c r="Q149" s="45">
        <v>0</v>
      </c>
      <c r="R149" s="48"/>
      <c r="S149" s="45">
        <v>0</v>
      </c>
      <c r="T149" s="48"/>
      <c r="U149" s="45">
        <v>0</v>
      </c>
      <c r="V149" s="48"/>
      <c r="W149" s="48"/>
      <c r="X149" s="35"/>
      <c r="Z149" s="35"/>
      <c r="AA149" s="35"/>
      <c r="AB149" s="45">
        <v>237125</v>
      </c>
      <c r="AC149" s="65"/>
      <c r="AD149" s="45">
        <v>331400</v>
      </c>
      <c r="AE149" s="65"/>
      <c r="AF149" s="45">
        <v>0</v>
      </c>
      <c r="AG149" s="65"/>
      <c r="AH149" s="48">
        <f t="shared" si="5"/>
        <v>18012592</v>
      </c>
      <c r="AI149" s="48"/>
      <c r="AJ149" s="48">
        <v>0</v>
      </c>
      <c r="AK149" s="48"/>
      <c r="AL149" s="45">
        <v>0</v>
      </c>
      <c r="AM149" s="45"/>
      <c r="AN149" s="45">
        <v>6038685</v>
      </c>
      <c r="AO149" s="45"/>
      <c r="AP149" s="45">
        <v>-6847</v>
      </c>
      <c r="AQ149" s="45"/>
      <c r="AR149" s="45">
        <f>+'GVFund Rev'!U149+'GVFund Rev'!W149-'GVFund Exp'!AH149-'GVFund Exp'!AL149+AJ149+AN149+AP149-'GV Fund BS'!S149</f>
        <v>0</v>
      </c>
      <c r="AS149" s="48"/>
    </row>
    <row r="150" spans="1:45" s="44" customFormat="1" ht="12.75" customHeight="1">
      <c r="A150" s="35" t="s">
        <v>177</v>
      </c>
      <c r="C150" s="35" t="s">
        <v>13</v>
      </c>
      <c r="E150" s="45">
        <v>678456</v>
      </c>
      <c r="F150" s="48"/>
      <c r="G150" s="45">
        <v>1556897</v>
      </c>
      <c r="H150" s="48"/>
      <c r="I150" s="45">
        <v>0</v>
      </c>
      <c r="J150" s="48"/>
      <c r="K150" s="45">
        <v>39042</v>
      </c>
      <c r="L150" s="48"/>
      <c r="M150" s="45">
        <v>422803</v>
      </c>
      <c r="N150" s="48"/>
      <c r="O150" s="45">
        <v>25446</v>
      </c>
      <c r="P150" s="48"/>
      <c r="Q150" s="45">
        <v>0</v>
      </c>
      <c r="R150" s="48"/>
      <c r="S150" s="45">
        <v>190321</v>
      </c>
      <c r="T150" s="48"/>
      <c r="U150" s="45">
        <v>0</v>
      </c>
      <c r="V150" s="48"/>
      <c r="W150" s="48"/>
      <c r="X150" s="35"/>
      <c r="Z150" s="35"/>
      <c r="AA150" s="35"/>
      <c r="AB150" s="45">
        <v>303032</v>
      </c>
      <c r="AC150" s="65"/>
      <c r="AD150" s="45">
        <v>54749</v>
      </c>
      <c r="AE150" s="65"/>
      <c r="AF150" s="45">
        <v>0</v>
      </c>
      <c r="AG150" s="65"/>
      <c r="AH150" s="48">
        <f t="shared" si="5"/>
        <v>3270746</v>
      </c>
      <c r="AI150" s="48"/>
      <c r="AJ150" s="48">
        <v>0</v>
      </c>
      <c r="AK150" s="48"/>
      <c r="AL150" s="45">
        <v>0</v>
      </c>
      <c r="AM150" s="45"/>
      <c r="AN150" s="45">
        <v>3204018</v>
      </c>
      <c r="AO150" s="45"/>
      <c r="AP150" s="45">
        <v>0</v>
      </c>
      <c r="AQ150" s="45"/>
      <c r="AR150" s="45">
        <f>+'GVFund Rev'!U150+'GVFund Rev'!W150-'GVFund Exp'!AH150-'GVFund Exp'!AL150+AJ150+AN150+AP150-'GV Fund BS'!S150</f>
        <v>0</v>
      </c>
      <c r="AS150" s="48"/>
    </row>
    <row r="151" spans="1:45" s="44" customFormat="1" ht="12.75" customHeight="1">
      <c r="A151" s="35" t="s">
        <v>178</v>
      </c>
      <c r="C151" s="35" t="s">
        <v>179</v>
      </c>
      <c r="E151" s="45">
        <v>1023651</v>
      </c>
      <c r="F151" s="48"/>
      <c r="G151" s="45">
        <v>3163034</v>
      </c>
      <c r="H151" s="48"/>
      <c r="I151" s="45">
        <v>796478</v>
      </c>
      <c r="J151" s="48"/>
      <c r="K151" s="45">
        <v>102920</v>
      </c>
      <c r="L151" s="48"/>
      <c r="M151" s="45">
        <v>673933</v>
      </c>
      <c r="N151" s="48"/>
      <c r="O151" s="45">
        <v>845965</v>
      </c>
      <c r="P151" s="48"/>
      <c r="Q151" s="45">
        <v>0</v>
      </c>
      <c r="R151" s="48"/>
      <c r="S151" s="45">
        <v>2075703</v>
      </c>
      <c r="T151" s="48"/>
      <c r="U151" s="45">
        <v>0</v>
      </c>
      <c r="V151" s="48"/>
      <c r="W151" s="48"/>
      <c r="X151" s="35"/>
      <c r="Z151" s="35"/>
      <c r="AA151" s="35"/>
      <c r="AB151" s="45">
        <v>111357</v>
      </c>
      <c r="AC151" s="65"/>
      <c r="AD151" s="45">
        <v>101500</v>
      </c>
      <c r="AE151" s="65"/>
      <c r="AF151" s="45">
        <v>0</v>
      </c>
      <c r="AG151" s="65"/>
      <c r="AH151" s="48">
        <f t="shared" si="5"/>
        <v>8894541</v>
      </c>
      <c r="AI151" s="48"/>
      <c r="AJ151" s="48">
        <v>0</v>
      </c>
      <c r="AK151" s="48"/>
      <c r="AL151" s="45">
        <v>0</v>
      </c>
      <c r="AM151" s="45"/>
      <c r="AN151" s="45">
        <v>6109345</v>
      </c>
      <c r="AO151" s="45"/>
      <c r="AP151" s="45">
        <v>40546</v>
      </c>
      <c r="AQ151" s="45"/>
      <c r="AR151" s="45">
        <f>+'GVFund Rev'!U151+'GVFund Rev'!W151-'GVFund Exp'!AH151-'GVFund Exp'!AL151+AJ151+AN151+AP151-'GV Fund BS'!S151</f>
        <v>0</v>
      </c>
      <c r="AS151" s="48"/>
    </row>
    <row r="152" spans="1:45" s="137" customFormat="1" ht="12.75" hidden="1" customHeight="1">
      <c r="A152" s="142" t="s">
        <v>180</v>
      </c>
      <c r="C152" s="142" t="s">
        <v>20</v>
      </c>
      <c r="E152" s="143">
        <v>0</v>
      </c>
      <c r="F152" s="148"/>
      <c r="G152" s="143">
        <v>0</v>
      </c>
      <c r="H152" s="148"/>
      <c r="I152" s="143">
        <v>0</v>
      </c>
      <c r="J152" s="148"/>
      <c r="K152" s="143">
        <v>0</v>
      </c>
      <c r="L152" s="148"/>
      <c r="M152" s="143">
        <v>0</v>
      </c>
      <c r="N152" s="148"/>
      <c r="O152" s="143">
        <v>0</v>
      </c>
      <c r="P152" s="148"/>
      <c r="Q152" s="143">
        <v>0</v>
      </c>
      <c r="R152" s="148"/>
      <c r="S152" s="143">
        <v>0</v>
      </c>
      <c r="T152" s="148"/>
      <c r="U152" s="143">
        <v>0</v>
      </c>
      <c r="V152" s="148"/>
      <c r="W152" s="148"/>
      <c r="X152" s="142"/>
      <c r="Z152" s="142"/>
      <c r="AA152" s="142"/>
      <c r="AB152" s="143">
        <v>0</v>
      </c>
      <c r="AC152" s="141"/>
      <c r="AD152" s="143">
        <v>0</v>
      </c>
      <c r="AE152" s="141"/>
      <c r="AF152" s="143">
        <v>0</v>
      </c>
      <c r="AG152" s="141"/>
      <c r="AH152" s="148">
        <f t="shared" si="5"/>
        <v>0</v>
      </c>
      <c r="AI152" s="148"/>
      <c r="AJ152" s="148">
        <v>0</v>
      </c>
      <c r="AK152" s="148"/>
      <c r="AL152" s="143">
        <v>0</v>
      </c>
      <c r="AM152" s="143"/>
      <c r="AN152" s="143">
        <v>0</v>
      </c>
      <c r="AO152" s="143"/>
      <c r="AP152" s="143">
        <v>0</v>
      </c>
      <c r="AQ152" s="143"/>
      <c r="AR152" s="143">
        <f>+'GVFund Rev'!U152+'GVFund Rev'!W152-'GVFund Exp'!AH152-'GVFund Exp'!AL152+AJ152+AN152+AP152-'GV Fund BS'!S152</f>
        <v>0</v>
      </c>
      <c r="AS152" s="148"/>
    </row>
    <row r="153" spans="1:45" s="44" customFormat="1" ht="12.75" customHeight="1">
      <c r="A153" s="35" t="s">
        <v>182</v>
      </c>
      <c r="C153" s="35" t="s">
        <v>183</v>
      </c>
      <c r="E153" s="45">
        <v>696732</v>
      </c>
      <c r="F153" s="48"/>
      <c r="G153" s="45">
        <v>540677</v>
      </c>
      <c r="H153" s="48"/>
      <c r="I153" s="45">
        <v>13078</v>
      </c>
      <c r="J153" s="48"/>
      <c r="K153" s="45">
        <v>604100</v>
      </c>
      <c r="L153" s="48"/>
      <c r="M153" s="45">
        <v>231715</v>
      </c>
      <c r="N153" s="48"/>
      <c r="O153" s="45">
        <v>23088</v>
      </c>
      <c r="P153" s="48"/>
      <c r="Q153" s="45">
        <v>0</v>
      </c>
      <c r="R153" s="48"/>
      <c r="S153" s="45">
        <v>248627</v>
      </c>
      <c r="T153" s="48"/>
      <c r="U153" s="45">
        <v>0</v>
      </c>
      <c r="V153" s="48"/>
      <c r="W153" s="48"/>
      <c r="X153" s="35"/>
      <c r="Z153" s="35"/>
      <c r="AA153" s="35"/>
      <c r="AB153" s="45">
        <v>77429</v>
      </c>
      <c r="AC153" s="65"/>
      <c r="AD153" s="45">
        <v>168176</v>
      </c>
      <c r="AE153" s="65"/>
      <c r="AF153" s="45">
        <v>0</v>
      </c>
      <c r="AG153" s="65"/>
      <c r="AH153" s="48">
        <f t="shared" si="5"/>
        <v>2603622</v>
      </c>
      <c r="AI153" s="48"/>
      <c r="AJ153" s="48">
        <v>0</v>
      </c>
      <c r="AK153" s="48"/>
      <c r="AL153" s="45">
        <v>73279</v>
      </c>
      <c r="AM153" s="45"/>
      <c r="AN153" s="45">
        <v>-436557</v>
      </c>
      <c r="AO153" s="45"/>
      <c r="AP153" s="45">
        <v>0</v>
      </c>
      <c r="AQ153" s="45"/>
      <c r="AR153" s="45">
        <f>+'GVFund Rev'!U153+'GVFund Rev'!W153-'GVFund Exp'!AH153-'GVFund Exp'!AL153+AJ153+AN153+AP153-'GV Fund BS'!S153</f>
        <v>0</v>
      </c>
      <c r="AS153" s="48"/>
    </row>
    <row r="154" spans="1:45" s="44" customFormat="1" ht="12.75" customHeight="1">
      <c r="A154" s="64" t="s">
        <v>491</v>
      </c>
      <c r="B154" s="46"/>
      <c r="C154" s="64" t="s">
        <v>13</v>
      </c>
      <c r="D154" s="46"/>
      <c r="E154" s="45">
        <v>909978</v>
      </c>
      <c r="F154" s="48"/>
      <c r="G154" s="45">
        <v>3350705</v>
      </c>
      <c r="H154" s="48"/>
      <c r="I154" s="45">
        <v>113419</v>
      </c>
      <c r="J154" s="48"/>
      <c r="K154" s="45">
        <v>123511</v>
      </c>
      <c r="L154" s="48"/>
      <c r="M154" s="45">
        <v>794069</v>
      </c>
      <c r="N154" s="48"/>
      <c r="O154" s="45">
        <v>13170</v>
      </c>
      <c r="P154" s="48"/>
      <c r="Q154" s="45">
        <v>0</v>
      </c>
      <c r="R154" s="48"/>
      <c r="S154" s="45">
        <v>279402</v>
      </c>
      <c r="T154" s="48"/>
      <c r="U154" s="45">
        <v>0</v>
      </c>
      <c r="V154" s="48"/>
      <c r="W154" s="48"/>
      <c r="X154" s="35"/>
      <c r="Z154" s="35"/>
      <c r="AA154" s="35"/>
      <c r="AB154" s="45">
        <v>53799</v>
      </c>
      <c r="AC154" s="65"/>
      <c r="AD154" s="45">
        <v>7210</v>
      </c>
      <c r="AE154" s="65"/>
      <c r="AF154" s="45">
        <v>0</v>
      </c>
      <c r="AG154" s="65"/>
      <c r="AH154" s="48">
        <f>SUM(E154:AF154)</f>
        <v>5645263</v>
      </c>
      <c r="AI154" s="48"/>
      <c r="AJ154" s="48">
        <v>0</v>
      </c>
      <c r="AK154" s="48"/>
      <c r="AL154" s="45">
        <v>0</v>
      </c>
      <c r="AM154" s="45"/>
      <c r="AN154" s="45">
        <v>2009108</v>
      </c>
      <c r="AO154" s="45"/>
      <c r="AP154" s="45">
        <v>0</v>
      </c>
      <c r="AQ154" s="45"/>
      <c r="AR154" s="45">
        <f>+'GVFund Rev'!U154+'GVFund Rev'!W154-'GVFund Exp'!AH154-'GVFund Exp'!AL154+AJ154+AN154+AP154-'GV Fund BS'!S154</f>
        <v>0</v>
      </c>
      <c r="AS154" s="48"/>
    </row>
    <row r="155" spans="1:45" s="44" customFormat="1" ht="12.75" customHeight="1">
      <c r="A155" s="64" t="s">
        <v>184</v>
      </c>
      <c r="B155" s="46"/>
      <c r="C155" s="64" t="s">
        <v>89</v>
      </c>
      <c r="D155" s="46"/>
      <c r="E155" s="45">
        <v>3130007</v>
      </c>
      <c r="F155" s="48"/>
      <c r="G155" s="45">
        <v>4035650</v>
      </c>
      <c r="H155" s="48"/>
      <c r="I155" s="45">
        <v>404777</v>
      </c>
      <c r="J155" s="48"/>
      <c r="K155" s="45">
        <v>602446</v>
      </c>
      <c r="L155" s="48"/>
      <c r="M155" s="45">
        <v>1513675</v>
      </c>
      <c r="N155" s="48"/>
      <c r="O155" s="45">
        <v>627997</v>
      </c>
      <c r="P155" s="48"/>
      <c r="Q155" s="45">
        <v>1150392</v>
      </c>
      <c r="R155" s="48"/>
      <c r="S155" s="45">
        <v>4144381</v>
      </c>
      <c r="T155" s="48"/>
      <c r="U155" s="45">
        <v>0</v>
      </c>
      <c r="V155" s="48"/>
      <c r="W155" s="48"/>
      <c r="X155" s="35"/>
      <c r="Z155" s="35"/>
      <c r="AA155" s="35"/>
      <c r="AB155" s="45">
        <v>548047</v>
      </c>
      <c r="AC155" s="65"/>
      <c r="AD155" s="45">
        <v>145907</v>
      </c>
      <c r="AE155" s="65"/>
      <c r="AF155" s="45">
        <v>0</v>
      </c>
      <c r="AG155" s="65"/>
      <c r="AH155" s="48">
        <f t="shared" si="5"/>
        <v>16303279</v>
      </c>
      <c r="AI155" s="48"/>
      <c r="AJ155" s="48">
        <v>0</v>
      </c>
      <c r="AK155" s="48"/>
      <c r="AL155" s="45">
        <v>0</v>
      </c>
      <c r="AM155" s="45"/>
      <c r="AN155" s="45">
        <v>6124726</v>
      </c>
      <c r="AO155" s="45"/>
      <c r="AP155" s="45">
        <v>0</v>
      </c>
      <c r="AQ155" s="45"/>
      <c r="AR155" s="45">
        <f>+'GVFund Rev'!U155+'GVFund Rev'!W155-'GVFund Exp'!AH155-'GVFund Exp'!AL155+AJ155+AN155+AP155-'GV Fund BS'!S155</f>
        <v>0</v>
      </c>
      <c r="AS155" s="48"/>
    </row>
    <row r="156" spans="1:45" s="44" customFormat="1" ht="12.75" customHeight="1">
      <c r="A156" s="35" t="s">
        <v>181</v>
      </c>
      <c r="C156" s="35" t="s">
        <v>125</v>
      </c>
      <c r="E156" s="45">
        <v>8769728</v>
      </c>
      <c r="F156" s="48"/>
      <c r="G156" s="45">
        <v>18093642</v>
      </c>
      <c r="H156" s="48"/>
      <c r="I156" s="45">
        <v>2790461</v>
      </c>
      <c r="J156" s="48"/>
      <c r="K156" s="45">
        <v>2464530</v>
      </c>
      <c r="L156" s="48"/>
      <c r="M156" s="45">
        <v>4880029</v>
      </c>
      <c r="N156" s="48"/>
      <c r="O156" s="45">
        <v>468478</v>
      </c>
      <c r="P156" s="48"/>
      <c r="Q156" s="45">
        <v>0</v>
      </c>
      <c r="R156" s="48"/>
      <c r="S156" s="45">
        <v>4222928</v>
      </c>
      <c r="T156" s="48"/>
      <c r="U156" s="45">
        <v>0</v>
      </c>
      <c r="V156" s="48"/>
      <c r="W156" s="48"/>
      <c r="X156" s="35"/>
      <c r="Z156" s="35"/>
      <c r="AA156" s="35"/>
      <c r="AB156" s="45">
        <v>475000</v>
      </c>
      <c r="AC156" s="65"/>
      <c r="AD156" s="45">
        <v>765960</v>
      </c>
      <c r="AE156" s="65"/>
      <c r="AF156" s="45">
        <v>0</v>
      </c>
      <c r="AG156" s="65"/>
      <c r="AH156" s="48">
        <f t="shared" si="5"/>
        <v>42930756</v>
      </c>
      <c r="AI156" s="48"/>
      <c r="AJ156" s="48">
        <v>0</v>
      </c>
      <c r="AK156" s="48"/>
      <c r="AL156" s="45">
        <v>0</v>
      </c>
      <c r="AM156" s="45"/>
      <c r="AN156" s="45">
        <v>9263910</v>
      </c>
      <c r="AO156" s="45"/>
      <c r="AP156" s="45">
        <v>99867</v>
      </c>
      <c r="AQ156" s="45"/>
      <c r="AR156" s="45">
        <f>+'GVFund Rev'!U156+'GVFund Rev'!W156-'GVFund Exp'!AH156-'GVFund Exp'!AL156+AJ156+AN156+AP156-'GV Fund BS'!S156</f>
        <v>0</v>
      </c>
      <c r="AS156" s="48"/>
    </row>
    <row r="157" spans="1:45" s="44" customFormat="1" ht="12.75" customHeight="1">
      <c r="A157" s="35" t="s">
        <v>185</v>
      </c>
      <c r="C157" s="35" t="s">
        <v>80</v>
      </c>
      <c r="E157" s="45">
        <v>1845676</v>
      </c>
      <c r="F157" s="48"/>
      <c r="G157" s="45">
        <v>7744946</v>
      </c>
      <c r="H157" s="48"/>
      <c r="I157" s="45">
        <v>982947</v>
      </c>
      <c r="J157" s="48"/>
      <c r="K157" s="45">
        <v>352105</v>
      </c>
      <c r="L157" s="48"/>
      <c r="M157" s="45">
        <v>1527942</v>
      </c>
      <c r="N157" s="48"/>
      <c r="O157" s="45">
        <v>520314</v>
      </c>
      <c r="P157" s="48"/>
      <c r="Q157" s="45">
        <v>152198</v>
      </c>
      <c r="R157" s="48"/>
      <c r="S157" s="45">
        <v>1069649</v>
      </c>
      <c r="T157" s="48"/>
      <c r="U157" s="45">
        <v>0</v>
      </c>
      <c r="V157" s="48"/>
      <c r="W157" s="48"/>
      <c r="X157" s="35"/>
      <c r="Z157" s="35"/>
      <c r="AA157" s="35"/>
      <c r="AB157" s="45">
        <v>7951</v>
      </c>
      <c r="AC157" s="65"/>
      <c r="AD157" s="45">
        <v>145832</v>
      </c>
      <c r="AE157" s="65"/>
      <c r="AF157" s="45">
        <v>0</v>
      </c>
      <c r="AG157" s="65"/>
      <c r="AH157" s="48">
        <f t="shared" si="5"/>
        <v>14349560</v>
      </c>
      <c r="AI157" s="48"/>
      <c r="AJ157" s="48">
        <v>0</v>
      </c>
      <c r="AK157" s="48"/>
      <c r="AL157" s="45">
        <v>52844</v>
      </c>
      <c r="AM157" s="45"/>
      <c r="AN157" s="45">
        <v>19078523</v>
      </c>
      <c r="AO157" s="45"/>
      <c r="AP157" s="45">
        <v>0</v>
      </c>
      <c r="AQ157" s="45"/>
      <c r="AR157" s="45">
        <f>+'GVFund Rev'!U157+'GVFund Rev'!W157-'GVFund Exp'!AH157-'GVFund Exp'!AL157+AJ157+AN157+AP157-'GV Fund BS'!S157</f>
        <v>0</v>
      </c>
      <c r="AS157" s="48"/>
    </row>
    <row r="158" spans="1:45" s="44" customFormat="1" ht="12.75" customHeight="1">
      <c r="A158" s="35" t="s">
        <v>186</v>
      </c>
      <c r="C158" s="35" t="s">
        <v>15</v>
      </c>
      <c r="E158" s="45">
        <v>1731013</v>
      </c>
      <c r="F158" s="48"/>
      <c r="G158" s="45">
        <v>3532704</v>
      </c>
      <c r="H158" s="48"/>
      <c r="I158" s="45">
        <v>499427</v>
      </c>
      <c r="J158" s="48"/>
      <c r="K158" s="45">
        <v>1337240</v>
      </c>
      <c r="L158" s="48"/>
      <c r="M158" s="45">
        <v>1700177</v>
      </c>
      <c r="N158" s="48"/>
      <c r="O158" s="45">
        <v>1079086</v>
      </c>
      <c r="P158" s="48"/>
      <c r="Q158" s="45">
        <v>213207</v>
      </c>
      <c r="R158" s="48"/>
      <c r="S158" s="45">
        <v>3736296</v>
      </c>
      <c r="T158" s="48"/>
      <c r="U158" s="45">
        <v>0</v>
      </c>
      <c r="V158" s="48"/>
      <c r="W158" s="48"/>
      <c r="X158" s="35"/>
      <c r="Z158" s="35"/>
      <c r="AA158" s="35"/>
      <c r="AB158" s="45">
        <v>552414</v>
      </c>
      <c r="AC158" s="65"/>
      <c r="AD158" s="45">
        <v>181665</v>
      </c>
      <c r="AE158" s="65"/>
      <c r="AF158" s="45">
        <v>0</v>
      </c>
      <c r="AG158" s="65"/>
      <c r="AH158" s="48">
        <f t="shared" si="5"/>
        <v>14563229</v>
      </c>
      <c r="AI158" s="48"/>
      <c r="AJ158" s="48">
        <v>0</v>
      </c>
      <c r="AK158" s="48"/>
      <c r="AL158" s="45">
        <v>0</v>
      </c>
      <c r="AM158" s="45"/>
      <c r="AN158" s="45">
        <v>7201433</v>
      </c>
      <c r="AO158" s="45"/>
      <c r="AP158" s="45">
        <v>0</v>
      </c>
      <c r="AQ158" s="45"/>
      <c r="AR158" s="45">
        <f>+'GVFund Rev'!U158+'GVFund Rev'!W158-'GVFund Exp'!AH158-'GVFund Exp'!AL158+AJ158+AN158+AP158-'GV Fund BS'!S158</f>
        <v>0</v>
      </c>
      <c r="AS158" s="48"/>
    </row>
    <row r="159" spans="1:45" s="44" customFormat="1" ht="12.75" customHeight="1">
      <c r="A159" s="35" t="s">
        <v>187</v>
      </c>
      <c r="C159" s="35" t="s">
        <v>27</v>
      </c>
      <c r="E159" s="45">
        <v>4010702</v>
      </c>
      <c r="F159" s="48"/>
      <c r="G159" s="45">
        <v>14045123</v>
      </c>
      <c r="H159" s="48"/>
      <c r="I159" s="45">
        <v>341877</v>
      </c>
      <c r="J159" s="48"/>
      <c r="K159" s="45">
        <v>560468</v>
      </c>
      <c r="L159" s="48"/>
      <c r="M159" s="45">
        <v>5522720</v>
      </c>
      <c r="N159" s="48"/>
      <c r="O159" s="45">
        <v>2405799</v>
      </c>
      <c r="P159" s="48"/>
      <c r="Q159" s="45">
        <v>1884985</v>
      </c>
      <c r="R159" s="48"/>
      <c r="S159" s="45">
        <v>3152670</v>
      </c>
      <c r="T159" s="48"/>
      <c r="U159" s="45">
        <v>0</v>
      </c>
      <c r="V159" s="48"/>
      <c r="W159" s="48"/>
      <c r="X159" s="35"/>
      <c r="Z159" s="35"/>
      <c r="AA159" s="35"/>
      <c r="AB159" s="45">
        <v>4120931</v>
      </c>
      <c r="AC159" s="65"/>
      <c r="AD159" s="45">
        <v>2077473</v>
      </c>
      <c r="AE159" s="65"/>
      <c r="AF159" s="45">
        <v>13250</v>
      </c>
      <c r="AG159" s="65"/>
      <c r="AH159" s="48">
        <f t="shared" si="5"/>
        <v>38135998</v>
      </c>
      <c r="AI159" s="48"/>
      <c r="AJ159" s="48">
        <v>0</v>
      </c>
      <c r="AK159" s="48"/>
      <c r="AL159" s="45">
        <v>0</v>
      </c>
      <c r="AM159" s="45"/>
      <c r="AN159" s="45">
        <v>15105930</v>
      </c>
      <c r="AO159" s="45"/>
      <c r="AP159" s="45">
        <v>0</v>
      </c>
      <c r="AQ159" s="45"/>
      <c r="AR159" s="45">
        <f>+'GVFund Rev'!U159+'GVFund Rev'!W159-'GVFund Exp'!AH159-'GVFund Exp'!AL159+AJ159+AN159+AP159-'GV Fund BS'!S159</f>
        <v>0</v>
      </c>
      <c r="AS159" s="48"/>
    </row>
    <row r="160" spans="1:45" s="44" customFormat="1" ht="12.75" customHeight="1">
      <c r="A160" s="44" t="s">
        <v>189</v>
      </c>
      <c r="C160" s="44" t="s">
        <v>17</v>
      </c>
      <c r="E160" s="45">
        <v>5744122</v>
      </c>
      <c r="F160" s="48"/>
      <c r="G160" s="45">
        <v>9300795</v>
      </c>
      <c r="H160" s="48"/>
      <c r="I160" s="45">
        <v>1445378</v>
      </c>
      <c r="J160" s="48"/>
      <c r="K160" s="45">
        <v>363761</v>
      </c>
      <c r="L160" s="48"/>
      <c r="M160" s="45">
        <v>2580163</v>
      </c>
      <c r="N160" s="48"/>
      <c r="O160" s="45">
        <v>501847</v>
      </c>
      <c r="P160" s="48"/>
      <c r="Q160" s="45">
        <v>0</v>
      </c>
      <c r="R160" s="48"/>
      <c r="S160" s="45">
        <v>1511396</v>
      </c>
      <c r="T160" s="48"/>
      <c r="U160" s="45">
        <v>0</v>
      </c>
      <c r="V160" s="48"/>
      <c r="W160" s="48"/>
      <c r="X160" s="35"/>
      <c r="Z160" s="35"/>
      <c r="AA160" s="35"/>
      <c r="AB160" s="45">
        <v>1039594</v>
      </c>
      <c r="AC160" s="65"/>
      <c r="AD160" s="45">
        <v>263526</v>
      </c>
      <c r="AE160" s="65"/>
      <c r="AF160" s="45">
        <v>0</v>
      </c>
      <c r="AG160" s="65"/>
      <c r="AH160" s="48">
        <f t="shared" si="5"/>
        <v>22750582</v>
      </c>
      <c r="AI160" s="48"/>
      <c r="AJ160" s="48">
        <v>0</v>
      </c>
      <c r="AK160" s="48"/>
      <c r="AL160" s="45">
        <v>0</v>
      </c>
      <c r="AM160" s="45"/>
      <c r="AN160" s="45">
        <v>6348272</v>
      </c>
      <c r="AO160" s="45"/>
      <c r="AP160" s="45">
        <v>0</v>
      </c>
      <c r="AQ160" s="45"/>
      <c r="AR160" s="45">
        <f>+'GVFund Rev'!U160+'GVFund Rev'!W160-'GVFund Exp'!AH160-'GVFund Exp'!AL160+AJ160+AN160+AP160-'GV Fund BS'!S160</f>
        <v>0</v>
      </c>
      <c r="AS160" s="48"/>
    </row>
    <row r="161" spans="1:45" s="44" customFormat="1" ht="12.75" customHeight="1">
      <c r="A161" s="64" t="s">
        <v>188</v>
      </c>
      <c r="B161" s="46"/>
      <c r="C161" s="64" t="s">
        <v>27</v>
      </c>
      <c r="D161" s="46"/>
      <c r="E161" s="45">
        <v>2726036</v>
      </c>
      <c r="F161" s="48"/>
      <c r="G161" s="45">
        <v>10463363</v>
      </c>
      <c r="H161" s="48"/>
      <c r="I161" s="45">
        <v>782967</v>
      </c>
      <c r="J161" s="48"/>
      <c r="K161" s="45">
        <v>381032</v>
      </c>
      <c r="L161" s="48"/>
      <c r="M161" s="45">
        <v>5784731</v>
      </c>
      <c r="N161" s="48"/>
      <c r="O161" s="45">
        <v>444105</v>
      </c>
      <c r="P161" s="48"/>
      <c r="Q161" s="45">
        <v>1710437</v>
      </c>
      <c r="R161" s="48"/>
      <c r="S161" s="45">
        <v>2318357</v>
      </c>
      <c r="T161" s="48"/>
      <c r="U161" s="45">
        <v>0</v>
      </c>
      <c r="V161" s="48"/>
      <c r="W161" s="48"/>
      <c r="X161" s="35"/>
      <c r="Z161" s="35"/>
      <c r="AA161" s="35"/>
      <c r="AB161" s="45">
        <v>1982296</v>
      </c>
      <c r="AC161" s="65"/>
      <c r="AD161" s="45">
        <v>373067</v>
      </c>
      <c r="AE161" s="65"/>
      <c r="AF161" s="45">
        <v>0</v>
      </c>
      <c r="AG161" s="65"/>
      <c r="AH161" s="48">
        <f t="shared" si="5"/>
        <v>26966391</v>
      </c>
      <c r="AI161" s="48"/>
      <c r="AJ161" s="48">
        <v>0</v>
      </c>
      <c r="AK161" s="48"/>
      <c r="AL161" s="45">
        <v>3040051</v>
      </c>
      <c r="AM161" s="45"/>
      <c r="AN161" s="45">
        <v>9114863</v>
      </c>
      <c r="AO161" s="45"/>
      <c r="AP161" s="45">
        <v>0</v>
      </c>
      <c r="AQ161" s="45"/>
      <c r="AR161" s="45">
        <f>+'GVFund Rev'!U161+'GVFund Rev'!W161-'GVFund Exp'!AH161-'GVFund Exp'!AL161+AJ161+AN161+AP161-'GV Fund BS'!S161</f>
        <v>0</v>
      </c>
      <c r="AS161" s="48"/>
    </row>
    <row r="162" spans="1:45" s="44" customFormat="1" ht="12.75" customHeight="1">
      <c r="A162" s="35" t="s">
        <v>190</v>
      </c>
      <c r="C162" s="35" t="s">
        <v>47</v>
      </c>
      <c r="E162" s="45">
        <v>1677274</v>
      </c>
      <c r="F162" s="48"/>
      <c r="G162" s="45">
        <v>2745766</v>
      </c>
      <c r="H162" s="48"/>
      <c r="I162" s="45">
        <v>574024</v>
      </c>
      <c r="J162" s="48"/>
      <c r="K162" s="45">
        <v>7869</v>
      </c>
      <c r="L162" s="48"/>
      <c r="M162" s="45">
        <v>517739</v>
      </c>
      <c r="N162" s="48"/>
      <c r="O162" s="45">
        <v>87164</v>
      </c>
      <c r="P162" s="48"/>
      <c r="Q162" s="45">
        <v>405668</v>
      </c>
      <c r="R162" s="48"/>
      <c r="S162" s="45">
        <v>3568027</v>
      </c>
      <c r="T162" s="48"/>
      <c r="U162" s="45">
        <v>0</v>
      </c>
      <c r="V162" s="48"/>
      <c r="W162" s="48"/>
      <c r="X162" s="35"/>
      <c r="Z162" s="35"/>
      <c r="AA162" s="35"/>
      <c r="AB162" s="45">
        <v>120405</v>
      </c>
      <c r="AC162" s="65"/>
      <c r="AD162" s="45">
        <v>83363</v>
      </c>
      <c r="AE162" s="65"/>
      <c r="AF162" s="45">
        <v>0</v>
      </c>
      <c r="AG162" s="65"/>
      <c r="AH162" s="48">
        <f t="shared" si="5"/>
        <v>9787299</v>
      </c>
      <c r="AI162" s="48"/>
      <c r="AJ162" s="48">
        <v>0</v>
      </c>
      <c r="AK162" s="48"/>
      <c r="AL162" s="45">
        <v>0</v>
      </c>
      <c r="AM162" s="45"/>
      <c r="AN162" s="45">
        <v>4492500</v>
      </c>
      <c r="AO162" s="45"/>
      <c r="AP162" s="45">
        <v>1353</v>
      </c>
      <c r="AQ162" s="45"/>
      <c r="AR162" s="45">
        <f>+'GVFund Rev'!U162+'GVFund Rev'!W162-'GVFund Exp'!AH162-'GVFund Exp'!AL162+AJ162+AN162+AP162-'GV Fund BS'!S162</f>
        <v>0</v>
      </c>
      <c r="AS162" s="48"/>
    </row>
    <row r="163" spans="1:45" s="44" customFormat="1" ht="12.75" customHeight="1">
      <c r="A163" s="35" t="s">
        <v>191</v>
      </c>
      <c r="C163" s="35" t="s">
        <v>13</v>
      </c>
      <c r="E163" s="45">
        <v>2701410</v>
      </c>
      <c r="F163" s="48"/>
      <c r="G163" s="45">
        <v>3184407</v>
      </c>
      <c r="H163" s="48"/>
      <c r="I163" s="45">
        <v>252374</v>
      </c>
      <c r="J163" s="48"/>
      <c r="K163" s="45">
        <v>92725</v>
      </c>
      <c r="L163" s="48"/>
      <c r="M163" s="45">
        <v>1277815</v>
      </c>
      <c r="N163" s="48"/>
      <c r="O163" s="45">
        <v>159720</v>
      </c>
      <c r="P163" s="48"/>
      <c r="Q163" s="45">
        <v>0</v>
      </c>
      <c r="R163" s="48"/>
      <c r="S163" s="45">
        <v>802520</v>
      </c>
      <c r="T163" s="48"/>
      <c r="U163" s="45">
        <v>0</v>
      </c>
      <c r="V163" s="48"/>
      <c r="W163" s="48"/>
      <c r="X163" s="35"/>
      <c r="Z163" s="35"/>
      <c r="AA163" s="35"/>
      <c r="AB163" s="45">
        <v>262917</v>
      </c>
      <c r="AC163" s="65"/>
      <c r="AD163" s="45">
        <v>171270</v>
      </c>
      <c r="AE163" s="65"/>
      <c r="AF163" s="45">
        <v>0</v>
      </c>
      <c r="AG163" s="65"/>
      <c r="AH163" s="48">
        <f t="shared" si="5"/>
        <v>8905158</v>
      </c>
      <c r="AI163" s="48"/>
      <c r="AJ163" s="48">
        <v>0</v>
      </c>
      <c r="AK163" s="48"/>
      <c r="AL163" s="45">
        <v>325122</v>
      </c>
      <c r="AM163" s="45"/>
      <c r="AN163" s="45">
        <v>4632914</v>
      </c>
      <c r="AO163" s="45"/>
      <c r="AP163" s="45">
        <v>0</v>
      </c>
      <c r="AQ163" s="45"/>
      <c r="AR163" s="45">
        <f>+'GVFund Rev'!U163+'GVFund Rev'!W163-'GVFund Exp'!AH163-'GVFund Exp'!AL163+AJ163+AN163+AP163-'GV Fund BS'!S163</f>
        <v>0</v>
      </c>
      <c r="AS163" s="48"/>
    </row>
    <row r="164" spans="1:45" s="44" customFormat="1" ht="12.75" customHeight="1">
      <c r="A164" s="64" t="s">
        <v>192</v>
      </c>
      <c r="B164" s="46"/>
      <c r="C164" s="64" t="s">
        <v>38</v>
      </c>
      <c r="D164" s="46"/>
      <c r="E164" s="45">
        <v>2294107</v>
      </c>
      <c r="F164" s="48"/>
      <c r="G164" s="45">
        <v>4842177</v>
      </c>
      <c r="H164" s="48"/>
      <c r="I164" s="45">
        <v>681869</v>
      </c>
      <c r="J164" s="48"/>
      <c r="K164" s="45">
        <v>138581</v>
      </c>
      <c r="L164" s="48"/>
      <c r="M164" s="45">
        <v>1408409</v>
      </c>
      <c r="N164" s="48"/>
      <c r="O164" s="45">
        <v>1712191</v>
      </c>
      <c r="P164" s="48"/>
      <c r="Q164" s="45">
        <v>0</v>
      </c>
      <c r="R164" s="48"/>
      <c r="S164" s="45">
        <v>1676649</v>
      </c>
      <c r="T164" s="48"/>
      <c r="U164" s="45">
        <v>0</v>
      </c>
      <c r="V164" s="48"/>
      <c r="W164" s="48"/>
      <c r="X164" s="35"/>
      <c r="Z164" s="35"/>
      <c r="AA164" s="35"/>
      <c r="AB164" s="45">
        <v>354684</v>
      </c>
      <c r="AC164" s="65"/>
      <c r="AD164" s="45">
        <v>93240</v>
      </c>
      <c r="AE164" s="65"/>
      <c r="AF164" s="45">
        <v>0</v>
      </c>
      <c r="AG164" s="65"/>
      <c r="AH164" s="48">
        <f t="shared" si="5"/>
        <v>13201907</v>
      </c>
      <c r="AI164" s="48"/>
      <c r="AJ164" s="48">
        <v>0</v>
      </c>
      <c r="AK164" s="48"/>
      <c r="AL164" s="45">
        <v>0</v>
      </c>
      <c r="AM164" s="45"/>
      <c r="AN164" s="45">
        <v>13828937</v>
      </c>
      <c r="AO164" s="45"/>
      <c r="AP164" s="45">
        <v>0</v>
      </c>
      <c r="AQ164" s="45"/>
      <c r="AR164" s="45">
        <f>+'GVFund Rev'!U164+'GVFund Rev'!W164-'GVFund Exp'!AH164-'GVFund Exp'!AL164+AJ164+AN164+AP164-'GV Fund BS'!S164</f>
        <v>0</v>
      </c>
      <c r="AS164" s="48"/>
    </row>
    <row r="165" spans="1:45" s="137" customFormat="1" ht="12.75" hidden="1" customHeight="1">
      <c r="A165" s="142" t="s">
        <v>193</v>
      </c>
      <c r="C165" s="142" t="s">
        <v>45</v>
      </c>
      <c r="E165" s="143"/>
      <c r="F165" s="148"/>
      <c r="G165" s="143"/>
      <c r="H165" s="148"/>
      <c r="I165" s="143"/>
      <c r="J165" s="148"/>
      <c r="K165" s="143"/>
      <c r="L165" s="148"/>
      <c r="M165" s="143"/>
      <c r="N165" s="148"/>
      <c r="O165" s="143"/>
      <c r="P165" s="148"/>
      <c r="Q165" s="143"/>
      <c r="R165" s="148"/>
      <c r="S165" s="143"/>
      <c r="T165" s="148"/>
      <c r="U165" s="143"/>
      <c r="V165" s="148"/>
      <c r="W165" s="148"/>
      <c r="X165" s="142"/>
      <c r="Z165" s="142"/>
      <c r="AA165" s="142"/>
      <c r="AB165" s="143"/>
      <c r="AC165" s="141"/>
      <c r="AD165" s="143"/>
      <c r="AE165" s="141"/>
      <c r="AF165" s="143"/>
      <c r="AG165" s="141"/>
      <c r="AH165" s="148">
        <f t="shared" si="5"/>
        <v>0</v>
      </c>
      <c r="AI165" s="148"/>
      <c r="AJ165" s="148">
        <v>0</v>
      </c>
      <c r="AK165" s="148"/>
      <c r="AL165" s="143"/>
      <c r="AM165" s="143"/>
      <c r="AN165" s="143"/>
      <c r="AO165" s="143"/>
      <c r="AP165" s="143"/>
      <c r="AQ165" s="143"/>
      <c r="AR165" s="143">
        <f>+'GVFund Rev'!U165+'GVFund Rev'!W165-'GVFund Exp'!AH165-'GVFund Exp'!AL165+AJ165+AN165+AP165-'GV Fund BS'!S165</f>
        <v>0</v>
      </c>
      <c r="AS165" s="141"/>
    </row>
    <row r="166" spans="1:45" s="44" customFormat="1" ht="12.75" customHeight="1">
      <c r="A166" s="35" t="s">
        <v>194</v>
      </c>
      <c r="C166" s="35" t="s">
        <v>66</v>
      </c>
      <c r="E166" s="45">
        <v>2188828</v>
      </c>
      <c r="F166" s="48"/>
      <c r="G166" s="45">
        <v>4729370</v>
      </c>
      <c r="H166" s="48"/>
      <c r="I166" s="45">
        <v>1646407</v>
      </c>
      <c r="J166" s="48"/>
      <c r="K166" s="45">
        <v>99097</v>
      </c>
      <c r="L166" s="48"/>
      <c r="M166" s="45">
        <v>914001</v>
      </c>
      <c r="N166" s="48"/>
      <c r="O166" s="45">
        <v>983173</v>
      </c>
      <c r="P166" s="48"/>
      <c r="Q166" s="45">
        <v>0</v>
      </c>
      <c r="R166" s="48"/>
      <c r="S166" s="45">
        <v>2418839</v>
      </c>
      <c r="T166" s="48"/>
      <c r="U166" s="45">
        <v>0</v>
      </c>
      <c r="V166" s="48"/>
      <c r="W166" s="48"/>
      <c r="X166" s="35"/>
      <c r="Z166" s="35"/>
      <c r="AA166" s="35"/>
      <c r="AB166" s="45">
        <v>10977</v>
      </c>
      <c r="AC166" s="65"/>
      <c r="AD166" s="45">
        <v>319578</v>
      </c>
      <c r="AE166" s="65"/>
      <c r="AF166" s="45">
        <v>0</v>
      </c>
      <c r="AG166" s="65"/>
      <c r="AH166" s="48">
        <f t="shared" si="5"/>
        <v>13310270</v>
      </c>
      <c r="AI166" s="48"/>
      <c r="AJ166" s="48">
        <v>0</v>
      </c>
      <c r="AK166" s="48"/>
      <c r="AL166" s="45">
        <v>0</v>
      </c>
      <c r="AM166" s="45"/>
      <c r="AN166" s="45">
        <v>7463859</v>
      </c>
      <c r="AO166" s="45"/>
      <c r="AP166" s="45">
        <v>0</v>
      </c>
      <c r="AQ166" s="45"/>
      <c r="AR166" s="45">
        <f>+'GVFund Rev'!U166+'GVFund Rev'!W166-'GVFund Exp'!AH166-'GVFund Exp'!AL166+AJ166+AN166+AP166-'GV Fund BS'!S166</f>
        <v>0</v>
      </c>
      <c r="AS166" s="48"/>
    </row>
    <row r="167" spans="1:45" s="44" customFormat="1" ht="12.75" customHeight="1">
      <c r="A167" s="35" t="s">
        <v>195</v>
      </c>
      <c r="C167" s="35" t="s">
        <v>17</v>
      </c>
      <c r="E167" s="45">
        <v>2927753</v>
      </c>
      <c r="F167" s="48"/>
      <c r="G167" s="45">
        <v>2727958</v>
      </c>
      <c r="H167" s="48"/>
      <c r="I167" s="45">
        <v>1130698</v>
      </c>
      <c r="J167" s="48"/>
      <c r="K167" s="45">
        <v>117649</v>
      </c>
      <c r="L167" s="48"/>
      <c r="M167" s="45">
        <v>590833</v>
      </c>
      <c r="N167" s="48"/>
      <c r="O167" s="45">
        <v>583698</v>
      </c>
      <c r="P167" s="48"/>
      <c r="Q167" s="45">
        <v>121390</v>
      </c>
      <c r="R167" s="48"/>
      <c r="S167" s="45">
        <v>2674152</v>
      </c>
      <c r="T167" s="48"/>
      <c r="U167" s="45">
        <v>0</v>
      </c>
      <c r="V167" s="48"/>
      <c r="W167" s="48"/>
      <c r="X167" s="35"/>
      <c r="Z167" s="35"/>
      <c r="AA167" s="35"/>
      <c r="AB167" s="45">
        <v>268676</v>
      </c>
      <c r="AC167" s="65"/>
      <c r="AD167" s="45">
        <v>171653</v>
      </c>
      <c r="AE167" s="65"/>
      <c r="AF167" s="45">
        <v>0</v>
      </c>
      <c r="AG167" s="65"/>
      <c r="AH167" s="48">
        <f t="shared" si="5"/>
        <v>11314460</v>
      </c>
      <c r="AI167" s="48"/>
      <c r="AJ167" s="48">
        <v>0</v>
      </c>
      <c r="AK167" s="48"/>
      <c r="AL167" s="45">
        <v>0</v>
      </c>
      <c r="AM167" s="45"/>
      <c r="AN167" s="45">
        <v>7314075</v>
      </c>
      <c r="AO167" s="45"/>
      <c r="AP167" s="45">
        <v>39874</v>
      </c>
      <c r="AQ167" s="45"/>
      <c r="AR167" s="45">
        <f>+'GVFund Rev'!U167+'GVFund Rev'!W167-'GVFund Exp'!AH167-'GVFund Exp'!AL167+AJ167+AN167+AP167-'GV Fund BS'!S167</f>
        <v>0</v>
      </c>
      <c r="AS167" s="48"/>
    </row>
    <row r="168" spans="1:45" s="46" customFormat="1" ht="12.75" hidden="1" customHeight="1">
      <c r="A168" s="64" t="s">
        <v>196</v>
      </c>
      <c r="C168" s="64" t="s">
        <v>27</v>
      </c>
      <c r="E168" s="45">
        <v>1240346</v>
      </c>
      <c r="F168" s="48"/>
      <c r="G168" s="45">
        <v>2670050</v>
      </c>
      <c r="H168" s="48"/>
      <c r="I168" s="45">
        <v>521965</v>
      </c>
      <c r="J168" s="48"/>
      <c r="K168" s="45">
        <v>89421</v>
      </c>
      <c r="L168" s="48"/>
      <c r="M168" s="45">
        <v>853781</v>
      </c>
      <c r="N168" s="48"/>
      <c r="O168" s="45">
        <v>197656</v>
      </c>
      <c r="P168" s="48"/>
      <c r="Q168" s="45">
        <v>73002</v>
      </c>
      <c r="R168" s="48"/>
      <c r="S168" s="45">
        <v>685075</v>
      </c>
      <c r="T168" s="48"/>
      <c r="U168" s="45">
        <v>0</v>
      </c>
      <c r="V168" s="48"/>
      <c r="W168" s="48"/>
      <c r="X168" s="35"/>
      <c r="Y168" s="44"/>
      <c r="Z168" s="35"/>
      <c r="AA168" s="35"/>
      <c r="AB168" s="45">
        <v>4233856</v>
      </c>
      <c r="AC168" s="65"/>
      <c r="AD168" s="45">
        <v>325517</v>
      </c>
      <c r="AE168" s="65"/>
      <c r="AF168" s="45"/>
      <c r="AG168" s="65"/>
      <c r="AH168" s="48">
        <f t="shared" si="5"/>
        <v>10890669</v>
      </c>
      <c r="AI168" s="48"/>
      <c r="AJ168" s="48">
        <v>0</v>
      </c>
      <c r="AK168" s="48"/>
      <c r="AL168" s="45">
        <v>0</v>
      </c>
      <c r="AM168" s="45"/>
      <c r="AN168" s="45">
        <v>4960471</v>
      </c>
      <c r="AO168" s="45"/>
      <c r="AP168" s="45">
        <v>0</v>
      </c>
      <c r="AQ168" s="45"/>
      <c r="AR168" s="45" t="e">
        <f>+'GVFund Rev'!#REF!+'GVFund Rev'!#REF!-'GVFund Exp'!AH168-'GVFund Exp'!AL168+AJ168+AN168+AP168-'GV Fund BS'!S168</f>
        <v>#REF!</v>
      </c>
      <c r="AS168" s="48"/>
    </row>
    <row r="169" spans="1:45" s="137" customFormat="1" ht="12.75" hidden="1" customHeight="1">
      <c r="A169" s="142" t="s">
        <v>386</v>
      </c>
      <c r="C169" s="142" t="s">
        <v>153</v>
      </c>
      <c r="E169" s="143"/>
      <c r="F169" s="148"/>
      <c r="G169" s="143"/>
      <c r="H169" s="148"/>
      <c r="I169" s="143"/>
      <c r="J169" s="148"/>
      <c r="K169" s="143"/>
      <c r="L169" s="148"/>
      <c r="M169" s="143"/>
      <c r="N169" s="148"/>
      <c r="O169" s="143"/>
      <c r="P169" s="148"/>
      <c r="Q169" s="143"/>
      <c r="R169" s="148"/>
      <c r="S169" s="143"/>
      <c r="T169" s="148"/>
      <c r="U169" s="143"/>
      <c r="V169" s="148"/>
      <c r="W169" s="148"/>
      <c r="X169" s="142"/>
      <c r="Z169" s="142"/>
      <c r="AA169" s="142"/>
      <c r="AB169" s="143"/>
      <c r="AC169" s="141"/>
      <c r="AD169" s="143"/>
      <c r="AE169" s="141"/>
      <c r="AF169" s="143"/>
      <c r="AG169" s="141"/>
      <c r="AH169" s="148">
        <f t="shared" si="5"/>
        <v>0</v>
      </c>
      <c r="AI169" s="148"/>
      <c r="AJ169" s="148">
        <v>0</v>
      </c>
      <c r="AK169" s="148"/>
      <c r="AL169" s="143"/>
      <c r="AM169" s="143"/>
      <c r="AN169" s="143"/>
      <c r="AO169" s="143"/>
      <c r="AP169" s="143"/>
      <c r="AQ169" s="143"/>
      <c r="AR169" s="143">
        <f>+'GVFund Rev'!U168+'GVFund Rev'!W168-'GVFund Exp'!AH169-'GVFund Exp'!AL169+AJ169+AN169+AP169-'GV Fund BS'!S169</f>
        <v>0</v>
      </c>
      <c r="AS169" s="148"/>
    </row>
    <row r="170" spans="1:45" s="44" customFormat="1" ht="12.75" customHeight="1">
      <c r="A170" s="35" t="s">
        <v>197</v>
      </c>
      <c r="C170" s="35" t="s">
        <v>163</v>
      </c>
      <c r="E170" s="45">
        <v>4671970</v>
      </c>
      <c r="F170" s="48"/>
      <c r="G170" s="45">
        <v>10009152</v>
      </c>
      <c r="H170" s="48"/>
      <c r="I170" s="45">
        <v>1479441</v>
      </c>
      <c r="J170" s="48"/>
      <c r="K170" s="45">
        <v>409706</v>
      </c>
      <c r="L170" s="48"/>
      <c r="M170" s="45">
        <v>3554575</v>
      </c>
      <c r="N170" s="48"/>
      <c r="O170" s="45">
        <v>1011875</v>
      </c>
      <c r="P170" s="48"/>
      <c r="Q170" s="45">
        <v>0</v>
      </c>
      <c r="R170" s="48"/>
      <c r="S170" s="45">
        <v>1737040</v>
      </c>
      <c r="T170" s="48"/>
      <c r="U170" s="45">
        <v>0</v>
      </c>
      <c r="V170" s="48"/>
      <c r="W170" s="48"/>
      <c r="X170" s="35"/>
      <c r="Z170" s="35"/>
      <c r="AA170" s="35"/>
      <c r="AB170" s="45">
        <v>1118777</v>
      </c>
      <c r="AC170" s="65"/>
      <c r="AD170" s="45">
        <v>431927</v>
      </c>
      <c r="AE170" s="65"/>
      <c r="AF170" s="45">
        <v>743755</v>
      </c>
      <c r="AG170" s="65"/>
      <c r="AH170" s="48">
        <f t="shared" si="5"/>
        <v>25168218</v>
      </c>
      <c r="AI170" s="48"/>
      <c r="AJ170" s="48">
        <v>0</v>
      </c>
      <c r="AK170" s="48"/>
      <c r="AL170" s="45">
        <v>0</v>
      </c>
      <c r="AM170" s="45"/>
      <c r="AN170" s="45">
        <v>22327740</v>
      </c>
      <c r="AO170" s="45"/>
      <c r="AP170" s="45">
        <v>-68397</v>
      </c>
      <c r="AQ170" s="45"/>
      <c r="AR170" s="45">
        <f>+'GVFund Rev'!U170+'GVFund Rev'!W170-'GVFund Exp'!AH170-'GVFund Exp'!AL170+AJ170+AN170+AP170-'GV Fund BS'!S170</f>
        <v>0</v>
      </c>
      <c r="AS170" s="48"/>
    </row>
    <row r="171" spans="1:45" s="46" customFormat="1" ht="12.75" customHeight="1">
      <c r="A171" s="35" t="s">
        <v>198</v>
      </c>
      <c r="B171" s="44"/>
      <c r="C171" s="35" t="s">
        <v>199</v>
      </c>
      <c r="D171" s="44"/>
      <c r="E171" s="45">
        <v>1034771</v>
      </c>
      <c r="F171" s="45"/>
      <c r="G171" s="45">
        <v>1889382</v>
      </c>
      <c r="H171" s="45"/>
      <c r="I171" s="45">
        <v>0</v>
      </c>
      <c r="J171" s="45"/>
      <c r="K171" s="45">
        <v>159007</v>
      </c>
      <c r="L171" s="45"/>
      <c r="M171" s="45">
        <v>1222942</v>
      </c>
      <c r="N171" s="45"/>
      <c r="O171" s="45">
        <v>268548</v>
      </c>
      <c r="P171" s="45"/>
      <c r="Q171" s="45">
        <v>307678</v>
      </c>
      <c r="R171" s="45"/>
      <c r="S171" s="45">
        <v>2850305</v>
      </c>
      <c r="T171" s="45"/>
      <c r="U171" s="45">
        <v>0</v>
      </c>
      <c r="V171" s="45"/>
      <c r="W171" s="45"/>
      <c r="X171" s="45"/>
      <c r="Y171" s="45"/>
      <c r="Z171" s="44"/>
      <c r="AA171" s="44"/>
      <c r="AB171" s="45">
        <v>14388</v>
      </c>
      <c r="AC171" s="45"/>
      <c r="AD171" s="45">
        <v>7911</v>
      </c>
      <c r="AE171" s="48"/>
      <c r="AF171" s="45">
        <v>0</v>
      </c>
      <c r="AG171" s="45"/>
      <c r="AH171" s="48">
        <f>SUM(E171:AF171)</f>
        <v>7754932</v>
      </c>
      <c r="AI171" s="45">
        <v>4076912</v>
      </c>
      <c r="AJ171" s="48">
        <v>0</v>
      </c>
      <c r="AK171" s="48"/>
      <c r="AL171" s="45">
        <v>0</v>
      </c>
      <c r="AM171" s="45"/>
      <c r="AN171" s="45">
        <v>4252766</v>
      </c>
      <c r="AO171" s="45"/>
      <c r="AP171" s="45">
        <v>0</v>
      </c>
      <c r="AQ171" s="45"/>
      <c r="AR171" s="45">
        <f>+'GVFund Rev'!U171+'GVFund Rev'!W171-'GVFund Exp'!AH171-'GVFund Exp'!AL171+AJ171+AN171+AP171-'GV Fund BS'!S171</f>
        <v>0</v>
      </c>
      <c r="AS171" s="48"/>
    </row>
    <row r="172" spans="1:45" s="44" customFormat="1" ht="12.75" customHeight="1">
      <c r="A172" s="35" t="s">
        <v>200</v>
      </c>
      <c r="C172" s="35" t="s">
        <v>103</v>
      </c>
      <c r="E172" s="45">
        <v>1709069</v>
      </c>
      <c r="F172" s="48"/>
      <c r="G172" s="45">
        <v>4479082</v>
      </c>
      <c r="H172" s="48"/>
      <c r="I172" s="45">
        <v>650465</v>
      </c>
      <c r="J172" s="48"/>
      <c r="K172" s="45">
        <v>164757</v>
      </c>
      <c r="L172" s="48"/>
      <c r="M172" s="45">
        <v>1072515</v>
      </c>
      <c r="N172" s="48"/>
      <c r="O172" s="45">
        <v>1133251</v>
      </c>
      <c r="P172" s="48"/>
      <c r="Q172" s="45">
        <v>0</v>
      </c>
      <c r="R172" s="48"/>
      <c r="S172" s="45">
        <v>5898276</v>
      </c>
      <c r="T172" s="48"/>
      <c r="U172" s="45">
        <v>0</v>
      </c>
      <c r="V172" s="48"/>
      <c r="W172" s="48"/>
      <c r="X172" s="35"/>
      <c r="Z172" s="35"/>
      <c r="AA172" s="35"/>
      <c r="AB172" s="45">
        <v>167403</v>
      </c>
      <c r="AC172" s="65"/>
      <c r="AD172" s="45">
        <v>161104</v>
      </c>
      <c r="AE172" s="65"/>
      <c r="AF172" s="45">
        <v>0</v>
      </c>
      <c r="AG172" s="65"/>
      <c r="AH172" s="48">
        <f t="shared" si="5"/>
        <v>15435922</v>
      </c>
      <c r="AI172" s="48"/>
      <c r="AJ172" s="48">
        <v>0</v>
      </c>
      <c r="AK172" s="48"/>
      <c r="AL172" s="45">
        <v>86500</v>
      </c>
      <c r="AM172" s="45"/>
      <c r="AN172" s="45">
        <v>14627954</v>
      </c>
      <c r="AO172" s="45"/>
      <c r="AP172" s="45">
        <v>0</v>
      </c>
      <c r="AQ172" s="45"/>
      <c r="AR172" s="45">
        <f>+'GVFund Rev'!U172+'GVFund Rev'!W172-'GVFund Exp'!AH172-'GVFund Exp'!AL172+AJ172+AN172+AP172-'GV Fund BS'!S172</f>
        <v>0</v>
      </c>
      <c r="AS172" s="48"/>
    </row>
    <row r="173" spans="1:45" s="44" customFormat="1" ht="12.75" customHeight="1">
      <c r="A173" s="35" t="s">
        <v>201</v>
      </c>
      <c r="C173" s="35" t="s">
        <v>92</v>
      </c>
      <c r="E173" s="45">
        <v>3225941</v>
      </c>
      <c r="F173" s="48"/>
      <c r="G173" s="45">
        <v>7160089</v>
      </c>
      <c r="H173" s="48"/>
      <c r="I173" s="45">
        <v>527450</v>
      </c>
      <c r="J173" s="48"/>
      <c r="K173" s="45">
        <v>560938</v>
      </c>
      <c r="L173" s="48"/>
      <c r="M173" s="45">
        <v>2411770</v>
      </c>
      <c r="N173" s="48"/>
      <c r="O173" s="45">
        <v>770056</v>
      </c>
      <c r="P173" s="48"/>
      <c r="Q173" s="45">
        <v>0</v>
      </c>
      <c r="R173" s="48"/>
      <c r="S173" s="45">
        <v>497808</v>
      </c>
      <c r="T173" s="48"/>
      <c r="U173" s="45">
        <v>0</v>
      </c>
      <c r="V173" s="48"/>
      <c r="W173" s="48"/>
      <c r="X173" s="35"/>
      <c r="Z173" s="35"/>
      <c r="AA173" s="35"/>
      <c r="AB173" s="45">
        <v>126569</v>
      </c>
      <c r="AC173" s="65"/>
      <c r="AD173" s="45">
        <v>303355</v>
      </c>
      <c r="AE173" s="65"/>
      <c r="AF173" s="45">
        <v>0</v>
      </c>
      <c r="AG173" s="65"/>
      <c r="AH173" s="48">
        <f t="shared" si="5"/>
        <v>15583976</v>
      </c>
      <c r="AI173" s="48"/>
      <c r="AJ173" s="48">
        <v>0</v>
      </c>
      <c r="AK173" s="48"/>
      <c r="AL173" s="45">
        <v>0</v>
      </c>
      <c r="AM173" s="45"/>
      <c r="AN173" s="45">
        <v>7604328</v>
      </c>
      <c r="AO173" s="45"/>
      <c r="AP173" s="45">
        <v>-8313</v>
      </c>
      <c r="AQ173" s="45"/>
      <c r="AR173" s="45">
        <f>+'GVFund Rev'!U173+'GVFund Rev'!W173-'GVFund Exp'!AH173-'GVFund Exp'!AL173+AJ173+AN173+AP173-'GV Fund BS'!S173</f>
        <v>0</v>
      </c>
      <c r="AS173" s="48"/>
    </row>
    <row r="174" spans="1:45" s="44" customFormat="1" ht="12.75" customHeight="1">
      <c r="A174" s="35" t="s">
        <v>202</v>
      </c>
      <c r="C174" s="35" t="s">
        <v>27</v>
      </c>
      <c r="E174" s="45">
        <v>23627181</v>
      </c>
      <c r="F174" s="48"/>
      <c r="G174" s="45">
        <v>27199304</v>
      </c>
      <c r="H174" s="48"/>
      <c r="I174" s="45">
        <v>7689187</v>
      </c>
      <c r="J174" s="48"/>
      <c r="K174" s="45">
        <v>308358</v>
      </c>
      <c r="L174" s="48"/>
      <c r="M174" s="45">
        <v>5298326</v>
      </c>
      <c r="N174" s="48"/>
      <c r="O174" s="45">
        <v>3173284</v>
      </c>
      <c r="P174" s="48"/>
      <c r="Q174" s="45">
        <v>1478680</v>
      </c>
      <c r="R174" s="48"/>
      <c r="S174" s="45">
        <v>1738636</v>
      </c>
      <c r="T174" s="48"/>
      <c r="U174" s="45">
        <v>0</v>
      </c>
      <c r="V174" s="48"/>
      <c r="W174" s="48"/>
      <c r="X174" s="35"/>
      <c r="Z174" s="35"/>
      <c r="AA174" s="35"/>
      <c r="AB174" s="45">
        <v>2886814</v>
      </c>
      <c r="AC174" s="65"/>
      <c r="AD174" s="45">
        <v>1477641</v>
      </c>
      <c r="AE174" s="65"/>
      <c r="AF174" s="45">
        <v>0</v>
      </c>
      <c r="AG174" s="65"/>
      <c r="AH174" s="48">
        <f t="shared" si="5"/>
        <v>74877411</v>
      </c>
      <c r="AI174" s="48"/>
      <c r="AJ174" s="48">
        <v>0</v>
      </c>
      <c r="AK174" s="48"/>
      <c r="AL174" s="45">
        <v>0</v>
      </c>
      <c r="AM174" s="45"/>
      <c r="AN174" s="45">
        <v>17241921</v>
      </c>
      <c r="AO174" s="45"/>
      <c r="AP174" s="45">
        <v>0</v>
      </c>
      <c r="AQ174" s="45"/>
      <c r="AR174" s="45">
        <f>+'GVFund Rev'!U174+'GVFund Rev'!W174-'GVFund Exp'!AH174-'GVFund Exp'!AL174+AJ174+AN174+AP174-'GV Fund BS'!S174</f>
        <v>0</v>
      </c>
      <c r="AS174" s="48"/>
    </row>
    <row r="175" spans="1:45" s="44" customFormat="1" ht="12.75" customHeight="1">
      <c r="A175" s="35" t="s">
        <v>203</v>
      </c>
      <c r="C175" s="35" t="s">
        <v>27</v>
      </c>
      <c r="E175" s="45">
        <v>23627181</v>
      </c>
      <c r="F175" s="48"/>
      <c r="G175" s="45">
        <v>27199304</v>
      </c>
      <c r="H175" s="48"/>
      <c r="I175" s="45">
        <v>7689187</v>
      </c>
      <c r="J175" s="48"/>
      <c r="K175" s="45">
        <v>308358</v>
      </c>
      <c r="L175" s="48"/>
      <c r="M175" s="45">
        <v>5298326</v>
      </c>
      <c r="N175" s="48"/>
      <c r="O175" s="45">
        <v>3173284</v>
      </c>
      <c r="P175" s="48"/>
      <c r="Q175" s="45">
        <v>0</v>
      </c>
      <c r="R175" s="48"/>
      <c r="S175" s="45">
        <v>1738636</v>
      </c>
      <c r="T175" s="48"/>
      <c r="U175" s="45">
        <v>0</v>
      </c>
      <c r="V175" s="48"/>
      <c r="W175" s="48"/>
      <c r="X175" s="35"/>
      <c r="Z175" s="35"/>
      <c r="AA175" s="35"/>
      <c r="AB175" s="45">
        <v>2886814</v>
      </c>
      <c r="AC175" s="65"/>
      <c r="AD175" s="45">
        <v>1477641</v>
      </c>
      <c r="AE175" s="65"/>
      <c r="AF175" s="45">
        <v>0</v>
      </c>
      <c r="AG175" s="65"/>
      <c r="AH175" s="48">
        <v>74877411</v>
      </c>
      <c r="AI175" s="48"/>
      <c r="AJ175" s="48">
        <v>0</v>
      </c>
      <c r="AK175" s="48"/>
      <c r="AL175" s="45">
        <v>0</v>
      </c>
      <c r="AM175" s="45"/>
      <c r="AN175" s="45">
        <v>17241921</v>
      </c>
      <c r="AO175" s="45"/>
      <c r="AP175" s="45">
        <v>0</v>
      </c>
      <c r="AQ175" s="45"/>
      <c r="AR175" s="45">
        <f>+'GVFund Rev'!U175+'GVFund Rev'!W175-'GVFund Exp'!AH175-'GVFund Exp'!AL175+AJ175+AN175+AP175-'GV Fund BS'!S175</f>
        <v>0</v>
      </c>
      <c r="AS175" s="48"/>
    </row>
    <row r="176" spans="1:45" s="44" customFormat="1" ht="12.75" customHeight="1">
      <c r="A176" s="35" t="s">
        <v>204</v>
      </c>
      <c r="C176" s="35" t="s">
        <v>125</v>
      </c>
      <c r="E176" s="45">
        <v>991432</v>
      </c>
      <c r="F176" s="48"/>
      <c r="G176" s="45">
        <v>1682856</v>
      </c>
      <c r="H176" s="48"/>
      <c r="I176" s="45">
        <v>242974</v>
      </c>
      <c r="J176" s="48"/>
      <c r="K176" s="45">
        <v>57500</v>
      </c>
      <c r="L176" s="48"/>
      <c r="M176" s="45">
        <v>866760</v>
      </c>
      <c r="N176" s="48"/>
      <c r="O176" s="45">
        <v>135840</v>
      </c>
      <c r="P176" s="48"/>
      <c r="Q176" s="45">
        <v>0</v>
      </c>
      <c r="R176" s="48"/>
      <c r="S176" s="45">
        <v>964755</v>
      </c>
      <c r="T176" s="48"/>
      <c r="U176" s="45">
        <v>0</v>
      </c>
      <c r="V176" s="48"/>
      <c r="W176" s="48"/>
      <c r="X176" s="35"/>
      <c r="Z176" s="35"/>
      <c r="AA176" s="35"/>
      <c r="AB176" s="45">
        <v>95818</v>
      </c>
      <c r="AC176" s="65"/>
      <c r="AD176" s="45">
        <v>117610</v>
      </c>
      <c r="AE176" s="65"/>
      <c r="AF176" s="45">
        <v>0</v>
      </c>
      <c r="AG176" s="65"/>
      <c r="AH176" s="48">
        <f t="shared" si="5"/>
        <v>5155545</v>
      </c>
      <c r="AI176" s="48"/>
      <c r="AJ176" s="48">
        <v>0</v>
      </c>
      <c r="AK176" s="48"/>
      <c r="AL176" s="45">
        <v>0</v>
      </c>
      <c r="AM176" s="45"/>
      <c r="AN176" s="45">
        <v>1010951</v>
      </c>
      <c r="AO176" s="45"/>
      <c r="AP176" s="45">
        <v>0</v>
      </c>
      <c r="AQ176" s="45"/>
      <c r="AR176" s="45">
        <f>+'GVFund Rev'!U176+'GVFund Rev'!W176-'GVFund Exp'!AH176-'GVFund Exp'!AL176+AJ176+AN176+AP176-'GV Fund BS'!S176</f>
        <v>0</v>
      </c>
      <c r="AS176" s="48"/>
    </row>
    <row r="177" spans="1:45" s="44" customFormat="1" ht="12.75" customHeight="1">
      <c r="A177" s="35" t="s">
        <v>205</v>
      </c>
      <c r="C177" s="35" t="s">
        <v>27</v>
      </c>
      <c r="E177" s="45">
        <v>1609868</v>
      </c>
      <c r="F177" s="48"/>
      <c r="G177" s="45">
        <v>5376675</v>
      </c>
      <c r="H177" s="48"/>
      <c r="I177" s="45">
        <v>337784</v>
      </c>
      <c r="J177" s="48"/>
      <c r="K177" s="45">
        <v>36173</v>
      </c>
      <c r="L177" s="48"/>
      <c r="M177" s="45">
        <v>2354904</v>
      </c>
      <c r="N177" s="48"/>
      <c r="O177" s="45">
        <v>0</v>
      </c>
      <c r="P177" s="48"/>
      <c r="Q177" s="45">
        <v>1707260</v>
      </c>
      <c r="R177" s="48"/>
      <c r="S177" s="45">
        <v>329645</v>
      </c>
      <c r="T177" s="48"/>
      <c r="U177" s="45">
        <v>0</v>
      </c>
      <c r="V177" s="48"/>
      <c r="W177" s="48"/>
      <c r="X177" s="35"/>
      <c r="Z177" s="35"/>
      <c r="AA177" s="35"/>
      <c r="AB177" s="45">
        <v>5243356</v>
      </c>
      <c r="AC177" s="65"/>
      <c r="AD177" s="45">
        <v>501444</v>
      </c>
      <c r="AE177" s="65"/>
      <c r="AF177" s="45">
        <v>0</v>
      </c>
      <c r="AG177" s="65"/>
      <c r="AH177" s="48">
        <f>SUM(E177:AF177)</f>
        <v>17497109</v>
      </c>
      <c r="AI177" s="48"/>
      <c r="AJ177" s="48">
        <v>0</v>
      </c>
      <c r="AK177" s="48"/>
      <c r="AL177" s="45">
        <v>0</v>
      </c>
      <c r="AM177" s="45"/>
      <c r="AN177" s="45">
        <v>1380276</v>
      </c>
      <c r="AO177" s="45"/>
      <c r="AP177" s="45">
        <v>0</v>
      </c>
      <c r="AQ177" s="45"/>
      <c r="AR177" s="45">
        <f>+'GVFund Rev'!U177+'GVFund Rev'!W177-'GVFund Exp'!AH177-'GVFund Exp'!AL177+AJ177+AN177+AP177-'GV Fund BS'!S177</f>
        <v>0</v>
      </c>
      <c r="AS177" s="48"/>
    </row>
    <row r="178" spans="1:45" s="44" customFormat="1" ht="12.75" customHeight="1">
      <c r="A178" s="35" t="s">
        <v>206</v>
      </c>
      <c r="C178" s="35" t="s">
        <v>47</v>
      </c>
      <c r="E178" s="45">
        <v>3651669</v>
      </c>
      <c r="F178" s="48"/>
      <c r="G178" s="45">
        <v>6962284</v>
      </c>
      <c r="H178" s="48"/>
      <c r="I178" s="45">
        <v>1014719</v>
      </c>
      <c r="J178" s="48"/>
      <c r="K178" s="45">
        <v>29248</v>
      </c>
      <c r="L178" s="48"/>
      <c r="M178" s="45">
        <v>2015537</v>
      </c>
      <c r="N178" s="48"/>
      <c r="O178" s="45">
        <v>1289118</v>
      </c>
      <c r="P178" s="48"/>
      <c r="Q178" s="45">
        <v>0</v>
      </c>
      <c r="R178" s="48"/>
      <c r="S178" s="45">
        <v>1606232</v>
      </c>
      <c r="T178" s="48"/>
      <c r="U178" s="45">
        <v>0</v>
      </c>
      <c r="V178" s="48"/>
      <c r="W178" s="48"/>
      <c r="X178" s="35"/>
      <c r="Z178" s="35"/>
      <c r="AA178" s="35"/>
      <c r="AB178" s="45">
        <v>0</v>
      </c>
      <c r="AC178" s="65"/>
      <c r="AD178" s="45">
        <v>579092</v>
      </c>
      <c r="AE178" s="65"/>
      <c r="AF178" s="45">
        <v>961375</v>
      </c>
      <c r="AG178" s="65"/>
      <c r="AH178" s="48">
        <f t="shared" si="5"/>
        <v>18109274</v>
      </c>
      <c r="AI178" s="48"/>
      <c r="AJ178" s="48">
        <v>0</v>
      </c>
      <c r="AK178" s="48"/>
      <c r="AL178" s="45">
        <v>181038</v>
      </c>
      <c r="AM178" s="45"/>
      <c r="AN178" s="45">
        <v>-4149450</v>
      </c>
      <c r="AO178" s="45"/>
      <c r="AP178" s="45">
        <v>-8696</v>
      </c>
      <c r="AQ178" s="45"/>
      <c r="AR178" s="45">
        <f>+'GVFund Rev'!U178+'GVFund Rev'!W178-'GVFund Exp'!AH178-'GVFund Exp'!AL178+AJ178+AN178+AP178-'GV Fund BS'!S178</f>
        <v>0</v>
      </c>
      <c r="AS178" s="48"/>
    </row>
    <row r="179" spans="1:45" s="44" customFormat="1" ht="12.75" customHeight="1">
      <c r="A179" s="35" t="s">
        <v>207</v>
      </c>
      <c r="C179" s="35" t="s">
        <v>102</v>
      </c>
      <c r="E179" s="45">
        <v>2239363</v>
      </c>
      <c r="F179" s="48"/>
      <c r="G179" s="45">
        <v>3723538</v>
      </c>
      <c r="H179" s="48"/>
      <c r="I179" s="45">
        <v>1223401</v>
      </c>
      <c r="J179" s="48"/>
      <c r="K179" s="45">
        <v>122046</v>
      </c>
      <c r="L179" s="48"/>
      <c r="M179" s="45">
        <v>912332</v>
      </c>
      <c r="N179" s="48"/>
      <c r="O179" s="45">
        <v>802152</v>
      </c>
      <c r="P179" s="48"/>
      <c r="Q179" s="45">
        <v>0</v>
      </c>
      <c r="R179" s="48"/>
      <c r="S179" s="45">
        <v>2666657</v>
      </c>
      <c r="T179" s="48"/>
      <c r="U179" s="45">
        <v>0</v>
      </c>
      <c r="V179" s="48"/>
      <c r="W179" s="48"/>
      <c r="X179" s="35"/>
      <c r="Z179" s="35"/>
      <c r="AA179" s="35"/>
      <c r="AB179" s="45">
        <v>214688</v>
      </c>
      <c r="AC179" s="65"/>
      <c r="AD179" s="45">
        <v>621508</v>
      </c>
      <c r="AE179" s="65"/>
      <c r="AF179" s="45">
        <v>0</v>
      </c>
      <c r="AG179" s="65"/>
      <c r="AH179" s="48">
        <f t="shared" si="5"/>
        <v>12525685</v>
      </c>
      <c r="AI179" s="48"/>
      <c r="AJ179" s="48">
        <v>0</v>
      </c>
      <c r="AK179" s="48"/>
      <c r="AL179" s="45">
        <v>0</v>
      </c>
      <c r="AM179" s="45"/>
      <c r="AN179" s="45">
        <v>2408366</v>
      </c>
      <c r="AO179" s="45"/>
      <c r="AP179" s="45">
        <v>0</v>
      </c>
      <c r="AQ179" s="45"/>
      <c r="AR179" s="45">
        <f>+'GVFund Rev'!U179+'GVFund Rev'!W179-'GVFund Exp'!AH179-'GVFund Exp'!AL179+AJ179+AN179+AP179-'GV Fund BS'!S179</f>
        <v>0</v>
      </c>
      <c r="AS179" s="48"/>
    </row>
    <row r="180" spans="1:45" s="44" customFormat="1" ht="12.75" customHeight="1">
      <c r="A180" s="35" t="s">
        <v>208</v>
      </c>
      <c r="C180" s="35" t="s">
        <v>209</v>
      </c>
      <c r="E180" s="45">
        <v>1694424</v>
      </c>
      <c r="F180" s="48"/>
      <c r="G180" s="45">
        <v>7676395</v>
      </c>
      <c r="H180" s="48"/>
      <c r="I180" s="45">
        <v>544972</v>
      </c>
      <c r="J180" s="48"/>
      <c r="K180" s="45">
        <v>521419</v>
      </c>
      <c r="L180" s="48"/>
      <c r="M180" s="45">
        <v>2221531</v>
      </c>
      <c r="N180" s="48"/>
      <c r="O180" s="45">
        <v>633438</v>
      </c>
      <c r="P180" s="48"/>
      <c r="Q180" s="45">
        <v>955218</v>
      </c>
      <c r="R180" s="48"/>
      <c r="S180" s="45">
        <v>5093251</v>
      </c>
      <c r="T180" s="48"/>
      <c r="U180" s="45">
        <v>0</v>
      </c>
      <c r="V180" s="48"/>
      <c r="W180" s="48"/>
      <c r="X180" s="35"/>
      <c r="Z180" s="35"/>
      <c r="AA180" s="35"/>
      <c r="AB180" s="45">
        <v>0</v>
      </c>
      <c r="AC180" s="65"/>
      <c r="AD180" s="45">
        <v>0</v>
      </c>
      <c r="AE180" s="65"/>
      <c r="AF180" s="45">
        <v>0</v>
      </c>
      <c r="AG180" s="65"/>
      <c r="AH180" s="48">
        <f t="shared" si="5"/>
        <v>19340648</v>
      </c>
      <c r="AI180" s="48"/>
      <c r="AJ180" s="48">
        <v>0</v>
      </c>
      <c r="AK180" s="48"/>
      <c r="AL180" s="45">
        <v>0</v>
      </c>
      <c r="AM180" s="45"/>
      <c r="AN180" s="45">
        <v>15312749</v>
      </c>
      <c r="AO180" s="45"/>
      <c r="AP180" s="45">
        <v>0</v>
      </c>
      <c r="AQ180" s="45"/>
      <c r="AR180" s="45">
        <f>+'GVFund Rev'!U180+'GVFund Rev'!W180-'GVFund Exp'!AH180-'GVFund Exp'!AL180+AJ180+AN180+AP180-'GV Fund BS'!S180</f>
        <v>0</v>
      </c>
      <c r="AS180" s="48"/>
    </row>
    <row r="181" spans="1:45" s="44" customFormat="1" ht="12.75" customHeight="1">
      <c r="A181" s="44" t="s">
        <v>210</v>
      </c>
      <c r="C181" s="44" t="s">
        <v>211</v>
      </c>
      <c r="E181" s="45">
        <v>1405398</v>
      </c>
      <c r="F181" s="48"/>
      <c r="G181" s="45">
        <v>1784471</v>
      </c>
      <c r="H181" s="48"/>
      <c r="I181" s="45">
        <v>147511</v>
      </c>
      <c r="J181" s="48"/>
      <c r="K181" s="45">
        <v>206474</v>
      </c>
      <c r="L181" s="48"/>
      <c r="M181" s="45">
        <v>343145</v>
      </c>
      <c r="N181" s="48"/>
      <c r="O181" s="45">
        <v>133226</v>
      </c>
      <c r="P181" s="48"/>
      <c r="Q181" s="45">
        <v>0</v>
      </c>
      <c r="R181" s="48"/>
      <c r="S181" s="45">
        <v>718630</v>
      </c>
      <c r="T181" s="48"/>
      <c r="U181" s="45">
        <v>0</v>
      </c>
      <c r="V181" s="48"/>
      <c r="W181" s="48"/>
      <c r="X181" s="35"/>
      <c r="Z181" s="35"/>
      <c r="AA181" s="35"/>
      <c r="AB181" s="45">
        <v>539512</v>
      </c>
      <c r="AC181" s="65"/>
      <c r="AD181" s="45">
        <v>42052</v>
      </c>
      <c r="AE181" s="65"/>
      <c r="AF181" s="45">
        <v>0</v>
      </c>
      <c r="AG181" s="65"/>
      <c r="AH181" s="48">
        <f t="shared" si="5"/>
        <v>5320419</v>
      </c>
      <c r="AI181" s="48"/>
      <c r="AJ181" s="48">
        <v>0</v>
      </c>
      <c r="AK181" s="48"/>
      <c r="AL181" s="45">
        <v>0</v>
      </c>
      <c r="AM181" s="45"/>
      <c r="AN181" s="45">
        <v>3229445</v>
      </c>
      <c r="AO181" s="45"/>
      <c r="AP181" s="45">
        <v>0</v>
      </c>
      <c r="AQ181" s="45"/>
      <c r="AR181" s="45">
        <f>+'GVFund Rev'!U181+'GVFund Rev'!W181-'GVFund Exp'!AH181-'GVFund Exp'!AL181+AJ181+AN181+AP181-'GV Fund BS'!S181</f>
        <v>0</v>
      </c>
      <c r="AS181" s="48"/>
    </row>
    <row r="182" spans="1:45" s="44" customFormat="1" ht="12.75" customHeight="1">
      <c r="A182" s="44" t="s">
        <v>212</v>
      </c>
      <c r="C182" s="44" t="s">
        <v>213</v>
      </c>
      <c r="E182" s="45">
        <v>3133796</v>
      </c>
      <c r="F182" s="48"/>
      <c r="G182" s="45">
        <v>7264770</v>
      </c>
      <c r="H182" s="48"/>
      <c r="I182" s="45">
        <v>587307</v>
      </c>
      <c r="J182" s="48"/>
      <c r="K182" s="45">
        <v>2806647</v>
      </c>
      <c r="L182" s="48"/>
      <c r="M182" s="45">
        <v>1484907</v>
      </c>
      <c r="N182" s="48"/>
      <c r="O182" s="45">
        <v>19116</v>
      </c>
      <c r="P182" s="48"/>
      <c r="Q182" s="45">
        <v>0</v>
      </c>
      <c r="R182" s="48"/>
      <c r="S182" s="45">
        <v>1601796</v>
      </c>
      <c r="T182" s="48"/>
      <c r="U182" s="45">
        <v>0</v>
      </c>
      <c r="V182" s="48"/>
      <c r="W182" s="48"/>
      <c r="X182" s="35"/>
      <c r="Z182" s="35"/>
      <c r="AA182" s="35"/>
      <c r="AB182" s="45">
        <v>179200</v>
      </c>
      <c r="AC182" s="65"/>
      <c r="AD182" s="45">
        <v>139489</v>
      </c>
      <c r="AE182" s="65"/>
      <c r="AF182" s="45">
        <v>0</v>
      </c>
      <c r="AG182" s="65"/>
      <c r="AH182" s="48">
        <f t="shared" si="5"/>
        <v>17217028</v>
      </c>
      <c r="AI182" s="48"/>
      <c r="AJ182" s="48">
        <v>0</v>
      </c>
      <c r="AK182" s="48"/>
      <c r="AL182" s="45">
        <v>168000</v>
      </c>
      <c r="AM182" s="45"/>
      <c r="AN182" s="45">
        <v>4900903</v>
      </c>
      <c r="AO182" s="45"/>
      <c r="AP182" s="45">
        <v>6848</v>
      </c>
      <c r="AQ182" s="45"/>
      <c r="AR182" s="45">
        <f>+'GVFund Rev'!U182+'GVFund Rev'!W182-'GVFund Exp'!AH182-'GVFund Exp'!AL182+AJ182+AN182+AP182-'GV Fund BS'!S182</f>
        <v>-336790</v>
      </c>
      <c r="AS182" s="48"/>
    </row>
    <row r="183" spans="1:45" s="44" customFormat="1" ht="12.75" customHeight="1">
      <c r="A183" s="44" t="s">
        <v>214</v>
      </c>
      <c r="C183" s="44" t="s">
        <v>86</v>
      </c>
      <c r="E183" s="45">
        <v>1494396</v>
      </c>
      <c r="F183" s="48"/>
      <c r="G183" s="45">
        <v>1690199</v>
      </c>
      <c r="H183" s="48"/>
      <c r="I183" s="45">
        <v>992969</v>
      </c>
      <c r="J183" s="48"/>
      <c r="K183" s="45">
        <v>0</v>
      </c>
      <c r="L183" s="48"/>
      <c r="M183" s="45">
        <v>0</v>
      </c>
      <c r="N183" s="48"/>
      <c r="O183" s="45">
        <v>745912</v>
      </c>
      <c r="P183" s="48"/>
      <c r="Q183" s="45">
        <v>1128269</v>
      </c>
      <c r="R183" s="48"/>
      <c r="S183" s="45">
        <v>1542623</v>
      </c>
      <c r="T183" s="48"/>
      <c r="U183" s="45">
        <v>0</v>
      </c>
      <c r="V183" s="48"/>
      <c r="W183" s="48"/>
      <c r="X183" s="35"/>
      <c r="Z183" s="35"/>
      <c r="AA183" s="35"/>
      <c r="AB183" s="45">
        <v>1210000</v>
      </c>
      <c r="AC183" s="65"/>
      <c r="AD183" s="45">
        <v>1331157</v>
      </c>
      <c r="AE183" s="65"/>
      <c r="AF183" s="45">
        <v>76316</v>
      </c>
      <c r="AG183" s="65"/>
      <c r="AH183" s="48">
        <f t="shared" si="5"/>
        <v>10211841</v>
      </c>
      <c r="AI183" s="48"/>
      <c r="AJ183" s="48">
        <v>0</v>
      </c>
      <c r="AK183" s="48"/>
      <c r="AL183" s="45">
        <v>6785874</v>
      </c>
      <c r="AM183" s="45"/>
      <c r="AN183" s="45">
        <v>9609975</v>
      </c>
      <c r="AO183" s="45"/>
      <c r="AP183" s="45">
        <v>0</v>
      </c>
      <c r="AQ183" s="45"/>
      <c r="AR183" s="45">
        <f>+'GVFund Rev'!U183+'GVFund Rev'!W183-'GVFund Exp'!AH183-'GVFund Exp'!AL183+AJ183+AN183+AP183-'GV Fund BS'!S183</f>
        <v>0</v>
      </c>
      <c r="AS183" s="48"/>
    </row>
    <row r="184" spans="1:45" s="44" customFormat="1" ht="12.75" customHeight="1">
      <c r="A184" s="35" t="s">
        <v>215</v>
      </c>
      <c r="C184" s="35" t="s">
        <v>22</v>
      </c>
      <c r="E184" s="45">
        <v>2518383</v>
      </c>
      <c r="F184" s="48"/>
      <c r="G184" s="45">
        <v>5033600</v>
      </c>
      <c r="H184" s="48"/>
      <c r="I184" s="45">
        <v>671920</v>
      </c>
      <c r="J184" s="48"/>
      <c r="K184" s="45">
        <v>258958</v>
      </c>
      <c r="L184" s="48"/>
      <c r="M184" s="45">
        <v>1157736</v>
      </c>
      <c r="N184" s="48"/>
      <c r="O184" s="45">
        <v>785887</v>
      </c>
      <c r="P184" s="48"/>
      <c r="Q184" s="45">
        <v>0</v>
      </c>
      <c r="R184" s="48"/>
      <c r="S184" s="45">
        <v>872443</v>
      </c>
      <c r="T184" s="48"/>
      <c r="U184" s="45">
        <v>0</v>
      </c>
      <c r="V184" s="48"/>
      <c r="W184" s="48"/>
      <c r="X184" s="35"/>
      <c r="Z184" s="35"/>
      <c r="AA184" s="35"/>
      <c r="AB184" s="45">
        <v>290366</v>
      </c>
      <c r="AC184" s="65"/>
      <c r="AD184" s="45">
        <v>349231</v>
      </c>
      <c r="AE184" s="65"/>
      <c r="AF184" s="45">
        <v>132376</v>
      </c>
      <c r="AG184" s="65"/>
      <c r="AH184" s="48">
        <f t="shared" si="5"/>
        <v>12070900</v>
      </c>
      <c r="AI184" s="48"/>
      <c r="AJ184" s="48">
        <v>0</v>
      </c>
      <c r="AK184" s="48"/>
      <c r="AL184" s="45">
        <v>129522</v>
      </c>
      <c r="AM184" s="45"/>
      <c r="AN184" s="45">
        <v>13381037</v>
      </c>
      <c r="AO184" s="45"/>
      <c r="AP184" s="45">
        <v>0</v>
      </c>
      <c r="AQ184" s="45"/>
      <c r="AR184" s="45">
        <f>+'GVFund Rev'!U184+'GVFund Rev'!W184-'GVFund Exp'!AH184-'GVFund Exp'!AL184+AJ184+AN184+AP184-'GV Fund BS'!S184</f>
        <v>0</v>
      </c>
      <c r="AS184" s="48"/>
    </row>
    <row r="185" spans="1:45" s="44" customFormat="1" ht="12.75" customHeight="1">
      <c r="A185" s="35" t="s">
        <v>216</v>
      </c>
      <c r="C185" s="35" t="s">
        <v>45</v>
      </c>
      <c r="E185" s="45">
        <v>1883304</v>
      </c>
      <c r="F185" s="48"/>
      <c r="G185" s="45">
        <v>4724282</v>
      </c>
      <c r="H185" s="48"/>
      <c r="I185" s="45">
        <v>166692</v>
      </c>
      <c r="J185" s="48"/>
      <c r="K185" s="45">
        <v>9499</v>
      </c>
      <c r="L185" s="48"/>
      <c r="M185" s="45">
        <v>1163783</v>
      </c>
      <c r="N185" s="48"/>
      <c r="O185" s="45">
        <v>505539</v>
      </c>
      <c r="P185" s="48"/>
      <c r="Q185" s="45">
        <v>0</v>
      </c>
      <c r="R185" s="48"/>
      <c r="S185" s="45">
        <v>605327</v>
      </c>
      <c r="T185" s="48"/>
      <c r="U185" s="45">
        <v>448601</v>
      </c>
      <c r="V185" s="48"/>
      <c r="W185" s="48"/>
      <c r="X185" s="35"/>
      <c r="Z185" s="35"/>
      <c r="AA185" s="35"/>
      <c r="AB185" s="45">
        <v>170580</v>
      </c>
      <c r="AC185" s="65"/>
      <c r="AD185" s="45">
        <v>106839</v>
      </c>
      <c r="AE185" s="65"/>
      <c r="AF185" s="45">
        <v>0</v>
      </c>
      <c r="AG185" s="65"/>
      <c r="AH185" s="48">
        <f t="shared" ref="AH185:AH196" si="6">SUM(E185:AF185)</f>
        <v>9784446</v>
      </c>
      <c r="AI185" s="48"/>
      <c r="AJ185" s="48">
        <v>0</v>
      </c>
      <c r="AK185" s="48"/>
      <c r="AL185" s="45">
        <v>0</v>
      </c>
      <c r="AM185" s="45"/>
      <c r="AN185" s="45">
        <v>2652936</v>
      </c>
      <c r="AO185" s="45"/>
      <c r="AP185" s="45">
        <v>0</v>
      </c>
      <c r="AQ185" s="45"/>
      <c r="AR185" s="45">
        <f>+'GVFund Rev'!U185+'GVFund Rev'!W185-'GVFund Exp'!AH185-'GVFund Exp'!AL185+AJ185+AN185+AP185-'GV Fund BS'!S185</f>
        <v>0</v>
      </c>
      <c r="AS185" s="48"/>
    </row>
    <row r="186" spans="1:45" s="44" customFormat="1" ht="12.75" customHeight="1">
      <c r="A186" s="35" t="s">
        <v>217</v>
      </c>
      <c r="C186" s="35" t="s">
        <v>43</v>
      </c>
      <c r="E186" s="45">
        <v>3771065</v>
      </c>
      <c r="F186" s="48"/>
      <c r="G186" s="45">
        <v>6912036</v>
      </c>
      <c r="H186" s="48"/>
      <c r="I186" s="45">
        <v>1374794</v>
      </c>
      <c r="J186" s="48"/>
      <c r="K186" s="45">
        <v>181525</v>
      </c>
      <c r="L186" s="48"/>
      <c r="M186" s="45">
        <v>1553329</v>
      </c>
      <c r="N186" s="48"/>
      <c r="O186" s="45">
        <v>919317</v>
      </c>
      <c r="P186" s="48"/>
      <c r="Q186" s="45">
        <v>0</v>
      </c>
      <c r="R186" s="48"/>
      <c r="S186" s="45">
        <v>1243010</v>
      </c>
      <c r="T186" s="48"/>
      <c r="U186" s="45">
        <v>0</v>
      </c>
      <c r="V186" s="48"/>
      <c r="W186" s="48"/>
      <c r="X186" s="35"/>
      <c r="Z186" s="35"/>
      <c r="AA186" s="35"/>
      <c r="AB186" s="45">
        <v>1632423</v>
      </c>
      <c r="AC186" s="65"/>
      <c r="AD186" s="45">
        <v>1125859</v>
      </c>
      <c r="AE186" s="65"/>
      <c r="AF186" s="45">
        <v>0</v>
      </c>
      <c r="AG186" s="65"/>
      <c r="AH186" s="48">
        <f t="shared" si="6"/>
        <v>18713358</v>
      </c>
      <c r="AI186" s="48"/>
      <c r="AJ186" s="48">
        <v>0</v>
      </c>
      <c r="AK186" s="48"/>
      <c r="AL186" s="45">
        <v>0</v>
      </c>
      <c r="AM186" s="45"/>
      <c r="AN186" s="45">
        <v>16839525</v>
      </c>
      <c r="AO186" s="45"/>
      <c r="AP186" s="45">
        <v>23055</v>
      </c>
      <c r="AQ186" s="45"/>
      <c r="AR186" s="45">
        <f>+'GVFund Rev'!U186+'GVFund Rev'!W186-'GVFund Exp'!AH186-'GVFund Exp'!AL186+AJ186+AN186+AP186-'GV Fund BS'!S186</f>
        <v>0</v>
      </c>
      <c r="AS186" s="48"/>
    </row>
    <row r="187" spans="1:45" s="44" customFormat="1" ht="12.75" hidden="1" customHeight="1">
      <c r="A187" s="35" t="s">
        <v>218</v>
      </c>
      <c r="C187" s="35" t="s">
        <v>27</v>
      </c>
      <c r="E187" s="45">
        <v>4820254</v>
      </c>
      <c r="F187" s="48"/>
      <c r="G187" s="45">
        <v>5844897</v>
      </c>
      <c r="H187" s="48"/>
      <c r="I187" s="45">
        <v>357229</v>
      </c>
      <c r="J187" s="48"/>
      <c r="K187" s="45">
        <v>1663</v>
      </c>
      <c r="L187" s="48"/>
      <c r="M187" s="45">
        <v>1583090</v>
      </c>
      <c r="N187" s="48"/>
      <c r="O187" s="45">
        <v>424035</v>
      </c>
      <c r="P187" s="48"/>
      <c r="Q187" s="45">
        <v>0</v>
      </c>
      <c r="R187" s="48"/>
      <c r="S187" s="45">
        <v>0</v>
      </c>
      <c r="T187" s="48"/>
      <c r="U187" s="45">
        <v>1485711</v>
      </c>
      <c r="V187" s="48"/>
      <c r="W187" s="48"/>
      <c r="X187" s="35"/>
      <c r="Z187" s="35"/>
      <c r="AA187" s="35"/>
      <c r="AB187" s="45">
        <v>1090044</v>
      </c>
      <c r="AC187" s="65"/>
      <c r="AD187" s="45">
        <v>617707</v>
      </c>
      <c r="AE187" s="65"/>
      <c r="AF187" s="45">
        <v>0</v>
      </c>
      <c r="AG187" s="65"/>
      <c r="AH187" s="48">
        <f t="shared" si="6"/>
        <v>16224630</v>
      </c>
      <c r="AI187" s="48"/>
      <c r="AJ187" s="48">
        <v>0</v>
      </c>
      <c r="AK187" s="48"/>
      <c r="AL187" s="45">
        <v>0</v>
      </c>
      <c r="AM187" s="45"/>
      <c r="AN187" s="45">
        <v>3789640</v>
      </c>
      <c r="AO187" s="45"/>
      <c r="AP187" s="45">
        <v>0</v>
      </c>
      <c r="AQ187" s="45"/>
      <c r="AR187" s="45">
        <f>+'GVFund Rev'!U187+'GVFund Rev'!W187-'GVFund Exp'!AH187-'GVFund Exp'!AL187+AJ187+AN187+AP187-'GV Fund BS'!S187</f>
        <v>3794327</v>
      </c>
      <c r="AS187" s="48"/>
    </row>
    <row r="188" spans="1:45" s="44" customFormat="1" ht="12.75" customHeight="1">
      <c r="A188" s="35" t="s">
        <v>219</v>
      </c>
      <c r="C188" s="35" t="s">
        <v>199</v>
      </c>
      <c r="E188" s="45">
        <v>647928</v>
      </c>
      <c r="F188" s="48"/>
      <c r="G188" s="45">
        <v>1560205</v>
      </c>
      <c r="H188" s="48"/>
      <c r="I188" s="45">
        <v>0</v>
      </c>
      <c r="J188" s="48"/>
      <c r="K188" s="45">
        <v>95805</v>
      </c>
      <c r="L188" s="48"/>
      <c r="M188" s="45">
        <v>705241</v>
      </c>
      <c r="N188" s="48"/>
      <c r="O188" s="45">
        <v>867728</v>
      </c>
      <c r="P188" s="48"/>
      <c r="Q188" s="45">
        <v>364421</v>
      </c>
      <c r="R188" s="48"/>
      <c r="S188" s="45">
        <v>167212</v>
      </c>
      <c r="T188" s="48"/>
      <c r="U188" s="45">
        <v>0</v>
      </c>
      <c r="V188" s="48"/>
      <c r="W188" s="48"/>
      <c r="X188" s="35"/>
      <c r="Z188" s="35"/>
      <c r="AA188" s="35"/>
      <c r="AB188" s="45">
        <v>205824</v>
      </c>
      <c r="AC188" s="65"/>
      <c r="AD188" s="45">
        <v>56779</v>
      </c>
      <c r="AE188" s="65"/>
      <c r="AF188" s="45">
        <v>0</v>
      </c>
      <c r="AG188" s="65"/>
      <c r="AH188" s="48">
        <f t="shared" si="6"/>
        <v>4671143</v>
      </c>
      <c r="AI188" s="48"/>
      <c r="AJ188" s="48">
        <v>0</v>
      </c>
      <c r="AK188" s="48"/>
      <c r="AL188" s="45">
        <v>0</v>
      </c>
      <c r="AM188" s="45"/>
      <c r="AN188" s="45">
        <v>1813378</v>
      </c>
      <c r="AO188" s="45"/>
      <c r="AP188" s="45">
        <v>0</v>
      </c>
      <c r="AQ188" s="45"/>
      <c r="AR188" s="45">
        <f>+'GVFund Rev'!U188+'GVFund Rev'!W188-'GVFund Exp'!AH188-'GVFund Exp'!AL188+AJ188+AN188+AP188-'GV Fund BS'!S188</f>
        <v>0</v>
      </c>
      <c r="AS188" s="48"/>
    </row>
    <row r="189" spans="1:45" s="44" customFormat="1" ht="12.75" customHeight="1">
      <c r="A189" s="35" t="s">
        <v>220</v>
      </c>
      <c r="C189" s="35" t="s">
        <v>66</v>
      </c>
      <c r="E189" s="45">
        <v>1992395</v>
      </c>
      <c r="F189" s="48"/>
      <c r="G189" s="45">
        <v>5773627</v>
      </c>
      <c r="H189" s="48"/>
      <c r="I189" s="45">
        <v>294716</v>
      </c>
      <c r="J189" s="48"/>
      <c r="K189" s="45">
        <v>2520</v>
      </c>
      <c r="L189" s="48"/>
      <c r="M189" s="45">
        <v>1186507</v>
      </c>
      <c r="N189" s="48"/>
      <c r="O189" s="45">
        <v>33548</v>
      </c>
      <c r="P189" s="48"/>
      <c r="Q189" s="45">
        <v>0</v>
      </c>
      <c r="R189" s="48"/>
      <c r="S189" s="45">
        <v>2235195</v>
      </c>
      <c r="T189" s="48"/>
      <c r="U189" s="45">
        <v>0</v>
      </c>
      <c r="V189" s="48"/>
      <c r="W189" s="48"/>
      <c r="X189" s="35"/>
      <c r="Z189" s="35"/>
      <c r="AA189" s="35"/>
      <c r="AB189" s="45">
        <v>345684</v>
      </c>
      <c r="AC189" s="65"/>
      <c r="AD189" s="45">
        <v>169103</v>
      </c>
      <c r="AE189" s="65"/>
      <c r="AF189" s="45">
        <v>0</v>
      </c>
      <c r="AG189" s="65"/>
      <c r="AH189" s="48">
        <f t="shared" si="6"/>
        <v>12033295</v>
      </c>
      <c r="AI189" s="48"/>
      <c r="AJ189" s="48">
        <v>0</v>
      </c>
      <c r="AK189" s="48"/>
      <c r="AL189" s="45">
        <v>0</v>
      </c>
      <c r="AM189" s="45"/>
      <c r="AN189" s="45">
        <v>4148757</v>
      </c>
      <c r="AO189" s="45"/>
      <c r="AP189" s="45">
        <v>0</v>
      </c>
      <c r="AQ189" s="45"/>
      <c r="AR189" s="45">
        <f>+'GVFund Rev'!U189+'GVFund Rev'!W189-'GVFund Exp'!AH189-'GVFund Exp'!AL189+AJ189+AN189+AP189-'GV Fund BS'!S189</f>
        <v>0</v>
      </c>
      <c r="AS189" s="48"/>
    </row>
    <row r="190" spans="1:45" s="44" customFormat="1" ht="12.75" customHeight="1">
      <c r="A190" s="35" t="s">
        <v>221</v>
      </c>
      <c r="C190" s="35" t="s">
        <v>27</v>
      </c>
      <c r="E190" s="45">
        <v>4525632</v>
      </c>
      <c r="F190" s="48"/>
      <c r="G190" s="45">
        <v>8628745</v>
      </c>
      <c r="H190" s="48"/>
      <c r="I190" s="45">
        <v>949327</v>
      </c>
      <c r="J190" s="48"/>
      <c r="K190" s="45">
        <v>1237321</v>
      </c>
      <c r="L190" s="48"/>
      <c r="M190" s="45">
        <v>2143712</v>
      </c>
      <c r="N190" s="48"/>
      <c r="O190" s="45">
        <v>3452308</v>
      </c>
      <c r="P190" s="48"/>
      <c r="Q190" s="45">
        <v>1571104</v>
      </c>
      <c r="R190" s="48"/>
      <c r="S190" s="45">
        <v>8759176</v>
      </c>
      <c r="T190" s="48"/>
      <c r="U190" s="45">
        <v>0</v>
      </c>
      <c r="V190" s="48"/>
      <c r="W190" s="48"/>
      <c r="X190" s="35"/>
      <c r="Z190" s="35"/>
      <c r="AA190" s="35"/>
      <c r="AB190" s="45">
        <v>1154751</v>
      </c>
      <c r="AC190" s="65"/>
      <c r="AD190" s="45">
        <v>905917</v>
      </c>
      <c r="AE190" s="65"/>
      <c r="AF190" s="45">
        <v>0</v>
      </c>
      <c r="AG190" s="65"/>
      <c r="AH190" s="48">
        <f t="shared" si="6"/>
        <v>33327993</v>
      </c>
      <c r="AI190" s="48"/>
      <c r="AJ190" s="48">
        <v>0</v>
      </c>
      <c r="AK190" s="48"/>
      <c r="AL190" s="45">
        <v>0</v>
      </c>
      <c r="AM190" s="45"/>
      <c r="AN190" s="45">
        <v>21137089</v>
      </c>
      <c r="AO190" s="45"/>
      <c r="AP190" s="45">
        <v>0</v>
      </c>
      <c r="AQ190" s="45"/>
      <c r="AR190" s="45">
        <f>+'GVFund Rev'!U190+'GVFund Rev'!W190-'GVFund Exp'!AH190-'GVFund Exp'!AL190+AJ190+AN190+AP190-'GV Fund BS'!S190</f>
        <v>0</v>
      </c>
      <c r="AS190" s="48"/>
    </row>
    <row r="191" spans="1:45" s="44" customFormat="1" ht="12.75" customHeight="1">
      <c r="A191" s="35" t="s">
        <v>222</v>
      </c>
      <c r="C191" s="35" t="s">
        <v>47</v>
      </c>
      <c r="E191" s="45">
        <v>988932</v>
      </c>
      <c r="F191" s="48"/>
      <c r="G191" s="45">
        <v>1998392</v>
      </c>
      <c r="H191" s="48"/>
      <c r="I191" s="45">
        <v>0</v>
      </c>
      <c r="J191" s="48"/>
      <c r="K191" s="45">
        <v>0</v>
      </c>
      <c r="L191" s="48"/>
      <c r="M191" s="45">
        <v>955883</v>
      </c>
      <c r="N191" s="48"/>
      <c r="O191" s="45">
        <v>256798</v>
      </c>
      <c r="P191" s="48"/>
      <c r="Q191" s="45">
        <v>254420</v>
      </c>
      <c r="R191" s="48"/>
      <c r="S191" s="45">
        <v>447867</v>
      </c>
      <c r="T191" s="48"/>
      <c r="U191" s="45">
        <v>0</v>
      </c>
      <c r="V191" s="48"/>
      <c r="W191" s="48"/>
      <c r="X191" s="35"/>
      <c r="Z191" s="35"/>
      <c r="AA191" s="35"/>
      <c r="AB191" s="45">
        <v>160000</v>
      </c>
      <c r="AC191" s="65"/>
      <c r="AD191" s="45">
        <v>286611</v>
      </c>
      <c r="AE191" s="65"/>
      <c r="AF191" s="45">
        <v>0</v>
      </c>
      <c r="AG191" s="65"/>
      <c r="AH191" s="48">
        <f t="shared" si="6"/>
        <v>5348903</v>
      </c>
      <c r="AI191" s="48"/>
      <c r="AJ191" s="48">
        <v>0</v>
      </c>
      <c r="AK191" s="48"/>
      <c r="AL191" s="45">
        <v>133000</v>
      </c>
      <c r="AM191" s="45"/>
      <c r="AN191" s="45">
        <v>925576</v>
      </c>
      <c r="AO191" s="45"/>
      <c r="AP191" s="45">
        <v>3010</v>
      </c>
      <c r="AQ191" s="45"/>
      <c r="AR191" s="45">
        <f>+'GVFund Rev'!U191+'GVFund Rev'!W191-'GVFund Exp'!AH191-'GVFund Exp'!AL191+AJ191+AN191+AP191-'GV Fund BS'!S191</f>
        <v>0</v>
      </c>
      <c r="AS191" s="48"/>
    </row>
    <row r="192" spans="1:45" s="44" customFormat="1" ht="12.75" customHeight="1">
      <c r="A192" s="35" t="s">
        <v>223</v>
      </c>
      <c r="C192" s="35" t="s">
        <v>94</v>
      </c>
      <c r="E192" s="45">
        <v>1155722</v>
      </c>
      <c r="F192" s="48"/>
      <c r="G192" s="45">
        <v>3529760</v>
      </c>
      <c r="H192" s="48"/>
      <c r="I192" s="45">
        <v>439924</v>
      </c>
      <c r="J192" s="48"/>
      <c r="K192" s="45">
        <v>0</v>
      </c>
      <c r="L192" s="48"/>
      <c r="M192" s="45">
        <v>769744</v>
      </c>
      <c r="N192" s="48"/>
      <c r="O192" s="45">
        <v>510690</v>
      </c>
      <c r="P192" s="48"/>
      <c r="Q192" s="45">
        <v>0</v>
      </c>
      <c r="R192" s="48"/>
      <c r="S192" s="45">
        <v>651237</v>
      </c>
      <c r="T192" s="48"/>
      <c r="U192" s="45">
        <v>0</v>
      </c>
      <c r="V192" s="48"/>
      <c r="W192" s="48"/>
      <c r="X192" s="35"/>
      <c r="Z192" s="35"/>
      <c r="AA192" s="35"/>
      <c r="AB192" s="45">
        <v>139785</v>
      </c>
      <c r="AC192" s="65"/>
      <c r="AD192" s="45">
        <v>215878</v>
      </c>
      <c r="AE192" s="65"/>
      <c r="AF192" s="45">
        <v>0</v>
      </c>
      <c r="AG192" s="65"/>
      <c r="AH192" s="48">
        <f t="shared" si="6"/>
        <v>7412740</v>
      </c>
      <c r="AI192" s="48"/>
      <c r="AJ192" s="48">
        <v>0</v>
      </c>
      <c r="AK192" s="48"/>
      <c r="AL192" s="45">
        <v>0</v>
      </c>
      <c r="AM192" s="45"/>
      <c r="AN192" s="45">
        <v>1904279</v>
      </c>
      <c r="AO192" s="45"/>
      <c r="AP192" s="45">
        <v>-12814</v>
      </c>
      <c r="AQ192" s="45"/>
      <c r="AR192" s="45">
        <f>+'GVFund Rev'!U192+'GVFund Rev'!W192-'GVFund Exp'!AH192-'GVFund Exp'!AL192+AJ192+AN192+AP192-'GV Fund BS'!S192</f>
        <v>0</v>
      </c>
      <c r="AS192" s="48"/>
    </row>
    <row r="193" spans="1:45" s="46" customFormat="1" ht="12.75" customHeight="1">
      <c r="A193" s="35" t="s">
        <v>76</v>
      </c>
      <c r="B193" s="44"/>
      <c r="C193" s="35" t="s">
        <v>132</v>
      </c>
      <c r="D193" s="44"/>
      <c r="E193" s="45">
        <v>4431558</v>
      </c>
      <c r="F193" s="48"/>
      <c r="G193" s="45">
        <v>11405465</v>
      </c>
      <c r="H193" s="48"/>
      <c r="I193" s="45">
        <v>3488303</v>
      </c>
      <c r="J193" s="48"/>
      <c r="K193" s="45">
        <v>365784</v>
      </c>
      <c r="L193" s="48"/>
      <c r="M193" s="45">
        <v>2884363</v>
      </c>
      <c r="N193" s="48"/>
      <c r="O193" s="45">
        <v>752163</v>
      </c>
      <c r="P193" s="48"/>
      <c r="Q193" s="45">
        <v>0</v>
      </c>
      <c r="R193" s="48"/>
      <c r="S193" s="45">
        <v>1996812</v>
      </c>
      <c r="T193" s="48"/>
      <c r="U193" s="45">
        <v>0</v>
      </c>
      <c r="V193" s="48"/>
      <c r="W193" s="48"/>
      <c r="X193" s="35"/>
      <c r="Y193" s="44"/>
      <c r="Z193" s="35"/>
      <c r="AA193" s="35"/>
      <c r="AB193" s="45">
        <v>991682</v>
      </c>
      <c r="AC193" s="65"/>
      <c r="AD193" s="45">
        <v>1367387</v>
      </c>
      <c r="AE193" s="65"/>
      <c r="AF193" s="45">
        <v>0</v>
      </c>
      <c r="AG193" s="65"/>
      <c r="AH193" s="48">
        <f t="shared" si="6"/>
        <v>27683517</v>
      </c>
      <c r="AI193" s="48"/>
      <c r="AJ193" s="48">
        <v>0</v>
      </c>
      <c r="AK193" s="48"/>
      <c r="AL193" s="45">
        <v>0</v>
      </c>
      <c r="AM193" s="45"/>
      <c r="AN193" s="45">
        <v>6528264</v>
      </c>
      <c r="AO193" s="45"/>
      <c r="AP193" s="45">
        <v>0</v>
      </c>
      <c r="AQ193" s="45"/>
      <c r="AR193" s="45">
        <f>+'GVFund Rev'!U193+'GVFund Rev'!W193-'GVFund Exp'!AH193-'GVFund Exp'!AL193+AJ193+AN193+AP193-'GV Fund BS'!S193</f>
        <v>0</v>
      </c>
      <c r="AS193" s="48"/>
    </row>
    <row r="194" spans="1:45" s="44" customFormat="1" ht="12.75" customHeight="1">
      <c r="A194" s="64" t="s">
        <v>224</v>
      </c>
      <c r="B194" s="46"/>
      <c r="C194" s="64" t="s">
        <v>27</v>
      </c>
      <c r="D194" s="46"/>
      <c r="E194" s="45">
        <v>2452602</v>
      </c>
      <c r="F194" s="48"/>
      <c r="G194" s="45">
        <v>3566360</v>
      </c>
      <c r="H194" s="48"/>
      <c r="I194" s="45">
        <v>650892</v>
      </c>
      <c r="J194" s="48"/>
      <c r="K194" s="45">
        <v>823992</v>
      </c>
      <c r="L194" s="48"/>
      <c r="M194" s="45">
        <v>1795971</v>
      </c>
      <c r="N194" s="48"/>
      <c r="O194" s="45">
        <v>1028903</v>
      </c>
      <c r="P194" s="48"/>
      <c r="Q194" s="45">
        <v>167484</v>
      </c>
      <c r="R194" s="48"/>
      <c r="S194" s="45">
        <v>6127324</v>
      </c>
      <c r="T194" s="48"/>
      <c r="U194" s="45">
        <v>0</v>
      </c>
      <c r="V194" s="48"/>
      <c r="W194" s="48"/>
      <c r="X194" s="35"/>
      <c r="Z194" s="35"/>
      <c r="AA194" s="35"/>
      <c r="AB194" s="45">
        <v>738648</v>
      </c>
      <c r="AC194" s="65"/>
      <c r="AD194" s="45">
        <v>655930</v>
      </c>
      <c r="AE194" s="65"/>
      <c r="AF194" s="45">
        <v>0</v>
      </c>
      <c r="AG194" s="65"/>
      <c r="AH194" s="48">
        <f t="shared" si="6"/>
        <v>18008106</v>
      </c>
      <c r="AI194" s="48"/>
      <c r="AJ194" s="48">
        <v>0</v>
      </c>
      <c r="AK194" s="48"/>
      <c r="AL194" s="45">
        <v>0</v>
      </c>
      <c r="AM194" s="45"/>
      <c r="AN194" s="45">
        <v>8999844</v>
      </c>
      <c r="AO194" s="45"/>
      <c r="AP194" s="45">
        <v>0</v>
      </c>
      <c r="AQ194" s="45"/>
      <c r="AR194" s="45">
        <f>+'GVFund Rev'!U194+'GVFund Rev'!W194-'GVFund Exp'!AH194-'GVFund Exp'!AL194+AJ194+AN194+AP194-'GV Fund BS'!S194</f>
        <v>0</v>
      </c>
      <c r="AS194" s="48"/>
    </row>
    <row r="195" spans="1:45" s="44" customFormat="1" ht="12.75" customHeight="1">
      <c r="A195" s="35" t="s">
        <v>225</v>
      </c>
      <c r="C195" s="35" t="s">
        <v>27</v>
      </c>
      <c r="E195" s="45">
        <f>4357380+2287809</f>
        <v>6645189</v>
      </c>
      <c r="F195" s="48"/>
      <c r="G195" s="45">
        <f>14914487+7986606+673580</f>
        <v>23574673</v>
      </c>
      <c r="H195" s="48"/>
      <c r="I195" s="45">
        <v>7347631</v>
      </c>
      <c r="J195" s="48"/>
      <c r="K195" s="45">
        <v>558251</v>
      </c>
      <c r="L195" s="48"/>
      <c r="M195" s="45">
        <v>4300875</v>
      </c>
      <c r="N195" s="48"/>
      <c r="O195" s="45">
        <f>5392796+2162700</f>
        <v>7555496</v>
      </c>
      <c r="P195" s="48"/>
      <c r="Q195" s="45">
        <f>4242460+3920231</f>
        <v>8162691</v>
      </c>
      <c r="R195" s="48"/>
      <c r="S195" s="45">
        <v>0</v>
      </c>
      <c r="T195" s="48"/>
      <c r="U195" s="45">
        <v>0</v>
      </c>
      <c r="V195" s="48"/>
      <c r="W195" s="48"/>
      <c r="X195" s="35"/>
      <c r="Z195" s="35"/>
      <c r="AA195" s="35"/>
      <c r="AB195" s="45">
        <v>2960142</v>
      </c>
      <c r="AC195" s="65"/>
      <c r="AD195" s="45">
        <v>1084763</v>
      </c>
      <c r="AE195" s="65"/>
      <c r="AF195" s="45">
        <v>0</v>
      </c>
      <c r="AG195" s="65"/>
      <c r="AH195" s="48">
        <f t="shared" si="6"/>
        <v>62189711</v>
      </c>
      <c r="AI195" s="48"/>
      <c r="AJ195" s="48">
        <v>0</v>
      </c>
      <c r="AK195" s="48"/>
      <c r="AL195" s="45">
        <v>3748042</v>
      </c>
      <c r="AM195" s="45"/>
      <c r="AN195" s="45">
        <v>47967846</v>
      </c>
      <c r="AO195" s="45"/>
      <c r="AP195" s="45">
        <v>0</v>
      </c>
      <c r="AQ195" s="45"/>
      <c r="AR195" s="45">
        <f>+'GVFund Rev'!U195+'GVFund Rev'!W195-'GVFund Exp'!AH195-'GVFund Exp'!AL195+AJ195+AN195+AP195-'GV Fund BS'!S195</f>
        <v>0</v>
      </c>
      <c r="AS195" s="48"/>
    </row>
    <row r="196" spans="1:45" s="44" customFormat="1" ht="12.75" customHeight="1">
      <c r="A196" s="35" t="s">
        <v>226</v>
      </c>
      <c r="C196" s="35" t="s">
        <v>45</v>
      </c>
      <c r="E196" s="45">
        <v>3410862</v>
      </c>
      <c r="F196" s="48"/>
      <c r="G196" s="45">
        <v>12148459</v>
      </c>
      <c r="H196" s="48"/>
      <c r="I196" s="45">
        <v>497291</v>
      </c>
      <c r="J196" s="48"/>
      <c r="K196" s="45">
        <v>347062</v>
      </c>
      <c r="L196" s="48"/>
      <c r="M196" s="45">
        <v>1972165</v>
      </c>
      <c r="N196" s="48"/>
      <c r="O196" s="45">
        <v>2809181</v>
      </c>
      <c r="P196" s="48"/>
      <c r="Q196" s="45">
        <v>541779</v>
      </c>
      <c r="R196" s="48"/>
      <c r="S196" s="45">
        <v>5456038</v>
      </c>
      <c r="T196" s="48"/>
      <c r="U196" s="45">
        <v>0</v>
      </c>
      <c r="V196" s="48"/>
      <c r="W196" s="48"/>
      <c r="X196" s="35"/>
      <c r="Z196" s="35"/>
      <c r="AA196" s="35"/>
      <c r="AB196" s="45">
        <v>1175000</v>
      </c>
      <c r="AC196" s="65"/>
      <c r="AD196" s="45">
        <v>810970</v>
      </c>
      <c r="AE196" s="65"/>
      <c r="AF196" s="45">
        <v>0</v>
      </c>
      <c r="AG196" s="65"/>
      <c r="AH196" s="48">
        <f t="shared" si="6"/>
        <v>29168807</v>
      </c>
      <c r="AI196" s="48"/>
      <c r="AJ196" s="48">
        <v>0</v>
      </c>
      <c r="AK196" s="48"/>
      <c r="AL196" s="45">
        <v>0</v>
      </c>
      <c r="AM196" s="45"/>
      <c r="AN196" s="45">
        <v>10627882</v>
      </c>
      <c r="AO196" s="45"/>
      <c r="AP196" s="45">
        <v>-25307</v>
      </c>
      <c r="AQ196" s="45"/>
      <c r="AR196" s="45">
        <f>+'GVFund Rev'!U196+'GVFund Rev'!W196-'GVFund Exp'!AH196-'GVFund Exp'!AL196+AJ196+AN196+AP196-'GV Fund BS'!S196</f>
        <v>0</v>
      </c>
      <c r="AS196" s="48"/>
    </row>
    <row r="197" spans="1:45" s="44" customFormat="1" ht="12.75" customHeight="1">
      <c r="A197" s="35"/>
      <c r="C197" s="35"/>
      <c r="E197" s="45"/>
      <c r="F197" s="48"/>
      <c r="G197" s="45"/>
      <c r="H197" s="48"/>
      <c r="I197" s="45"/>
      <c r="J197" s="48"/>
      <c r="K197" s="45"/>
      <c r="L197" s="48"/>
      <c r="M197" s="45"/>
      <c r="N197" s="48"/>
      <c r="O197" s="45"/>
      <c r="P197" s="48"/>
      <c r="Q197" s="45"/>
      <c r="R197" s="48"/>
      <c r="S197" s="45"/>
      <c r="T197" s="48"/>
      <c r="U197" s="45"/>
      <c r="V197" s="48"/>
      <c r="W197" s="48"/>
      <c r="X197" s="35"/>
      <c r="Z197" s="35"/>
      <c r="AA197" s="35"/>
      <c r="AB197" s="45"/>
      <c r="AC197" s="65"/>
      <c r="AD197" s="45"/>
      <c r="AE197" s="65"/>
      <c r="AF197" s="45"/>
      <c r="AG197" s="65"/>
      <c r="AH197" s="48"/>
      <c r="AI197" s="48"/>
      <c r="AJ197" s="48"/>
      <c r="AK197" s="48"/>
      <c r="AL197" s="48" t="s">
        <v>485</v>
      </c>
      <c r="AM197" s="45"/>
      <c r="AN197" s="45"/>
      <c r="AO197" s="45"/>
      <c r="AP197" s="45"/>
      <c r="AQ197" s="45"/>
      <c r="AR197" s="45"/>
      <c r="AS197" s="48"/>
    </row>
    <row r="198" spans="1:45" s="46" customFormat="1" ht="12.75" customHeight="1">
      <c r="A198" s="64" t="s">
        <v>227</v>
      </c>
      <c r="C198" s="64" t="s">
        <v>17</v>
      </c>
      <c r="E198" s="94">
        <v>748806</v>
      </c>
      <c r="F198" s="68"/>
      <c r="G198" s="94">
        <v>3051955</v>
      </c>
      <c r="H198" s="68"/>
      <c r="I198" s="94">
        <v>671423</v>
      </c>
      <c r="J198" s="68"/>
      <c r="K198" s="94">
        <v>32453</v>
      </c>
      <c r="L198" s="68"/>
      <c r="M198" s="94">
        <v>934526</v>
      </c>
      <c r="N198" s="68"/>
      <c r="O198" s="94">
        <v>61072</v>
      </c>
      <c r="P198" s="68"/>
      <c r="Q198" s="94">
        <v>591115</v>
      </c>
      <c r="R198" s="68"/>
      <c r="S198" s="94">
        <v>541623</v>
      </c>
      <c r="T198" s="68"/>
      <c r="U198" s="94">
        <v>0</v>
      </c>
      <c r="V198" s="68"/>
      <c r="W198" s="68"/>
      <c r="X198" s="64"/>
      <c r="Z198" s="64"/>
      <c r="AA198" s="64"/>
      <c r="AB198" s="94">
        <v>533223</v>
      </c>
      <c r="AC198" s="66"/>
      <c r="AD198" s="94">
        <v>125304</v>
      </c>
      <c r="AE198" s="66"/>
      <c r="AF198" s="94">
        <v>0</v>
      </c>
      <c r="AG198" s="66"/>
      <c r="AH198" s="68">
        <f>SUM(E198:AF198)</f>
        <v>7291500</v>
      </c>
      <c r="AI198" s="68"/>
      <c r="AJ198" s="68">
        <v>0</v>
      </c>
      <c r="AK198" s="68"/>
      <c r="AL198" s="94">
        <v>0</v>
      </c>
      <c r="AM198" s="94"/>
      <c r="AN198" s="94">
        <v>610959</v>
      </c>
      <c r="AO198" s="94"/>
      <c r="AP198" s="94">
        <v>0</v>
      </c>
      <c r="AQ198" s="94"/>
      <c r="AR198" s="94">
        <f>+'GVFund Rev'!U198+'GVFund Rev'!W198-'GVFund Exp'!AH198-'GVFund Exp'!AL198+AJ198+AN198+AP198-'GV Fund BS'!S198</f>
        <v>0</v>
      </c>
      <c r="AS198" s="68"/>
    </row>
    <row r="199" spans="1:45" s="46" customFormat="1" ht="12.75" customHeight="1">
      <c r="A199" s="35" t="s">
        <v>228</v>
      </c>
      <c r="B199" s="44"/>
      <c r="C199" s="35" t="s">
        <v>153</v>
      </c>
      <c r="D199" s="44"/>
      <c r="E199" s="45">
        <v>1261612</v>
      </c>
      <c r="F199" s="48"/>
      <c r="G199" s="45">
        <v>2801015</v>
      </c>
      <c r="H199" s="48"/>
      <c r="I199" s="45">
        <v>379516</v>
      </c>
      <c r="J199" s="48"/>
      <c r="K199" s="45">
        <v>325953</v>
      </c>
      <c r="L199" s="48"/>
      <c r="M199" s="45">
        <v>741715</v>
      </c>
      <c r="N199" s="48"/>
      <c r="O199" s="45">
        <v>65744</v>
      </c>
      <c r="P199" s="48"/>
      <c r="Q199" s="45">
        <v>28788</v>
      </c>
      <c r="R199" s="48"/>
      <c r="S199" s="45">
        <v>1636466</v>
      </c>
      <c r="T199" s="48"/>
      <c r="U199" s="45">
        <v>0</v>
      </c>
      <c r="V199" s="48"/>
      <c r="W199" s="48"/>
      <c r="X199" s="35"/>
      <c r="Y199" s="44"/>
      <c r="Z199" s="35"/>
      <c r="AA199" s="35"/>
      <c r="AB199" s="45">
        <v>55098</v>
      </c>
      <c r="AC199" s="65"/>
      <c r="AD199" s="45">
        <v>3937</v>
      </c>
      <c r="AE199" s="65"/>
      <c r="AF199" s="45">
        <v>0</v>
      </c>
      <c r="AG199" s="65"/>
      <c r="AH199" s="48">
        <f t="shared" ref="AH199:AH231" si="7">SUM(E199:AF199)</f>
        <v>7299844</v>
      </c>
      <c r="AI199" s="48"/>
      <c r="AJ199" s="48">
        <v>0</v>
      </c>
      <c r="AK199" s="48"/>
      <c r="AL199" s="45">
        <v>0</v>
      </c>
      <c r="AM199" s="45"/>
      <c r="AN199" s="45">
        <v>4018377</v>
      </c>
      <c r="AO199" s="45"/>
      <c r="AP199" s="45">
        <v>0</v>
      </c>
      <c r="AQ199" s="45"/>
      <c r="AR199" s="45">
        <f>+'GVFund Rev'!U199+'GVFund Rev'!W199-'GVFund Exp'!AH199-'GVFund Exp'!AL199+AJ199+AN199+AP199-'GV Fund BS'!S199</f>
        <v>0</v>
      </c>
      <c r="AS199" s="68"/>
    </row>
    <row r="200" spans="1:45" s="44" customFormat="1" ht="12.75" customHeight="1">
      <c r="A200" s="35" t="s">
        <v>229</v>
      </c>
      <c r="C200" s="35" t="s">
        <v>228</v>
      </c>
      <c r="E200" s="45">
        <v>1629417</v>
      </c>
      <c r="F200" s="48"/>
      <c r="G200" s="45">
        <v>11183654</v>
      </c>
      <c r="H200" s="48"/>
      <c r="I200" s="45">
        <v>1310180</v>
      </c>
      <c r="J200" s="48"/>
      <c r="K200" s="45">
        <v>209334</v>
      </c>
      <c r="L200" s="48"/>
      <c r="M200" s="45">
        <v>1424212</v>
      </c>
      <c r="N200" s="48"/>
      <c r="O200" s="45">
        <v>1366273</v>
      </c>
      <c r="P200" s="48"/>
      <c r="Q200" s="45">
        <v>45593</v>
      </c>
      <c r="R200" s="48"/>
      <c r="S200" s="45">
        <v>3888697</v>
      </c>
      <c r="T200" s="48"/>
      <c r="U200" s="45">
        <v>0</v>
      </c>
      <c r="V200" s="48"/>
      <c r="W200" s="48"/>
      <c r="X200" s="35"/>
      <c r="Z200" s="35"/>
      <c r="AA200" s="35"/>
      <c r="AB200" s="45">
        <v>445000</v>
      </c>
      <c r="AC200" s="65"/>
      <c r="AD200" s="45">
        <v>388520</v>
      </c>
      <c r="AE200" s="65"/>
      <c r="AF200" s="45">
        <v>0</v>
      </c>
      <c r="AG200" s="65"/>
      <c r="AH200" s="48">
        <f t="shared" si="7"/>
        <v>21890880</v>
      </c>
      <c r="AI200" s="48"/>
      <c r="AJ200" s="48">
        <v>0</v>
      </c>
      <c r="AK200" s="48"/>
      <c r="AL200" s="45">
        <v>483529</v>
      </c>
      <c r="AM200" s="45"/>
      <c r="AN200" s="45">
        <v>12615138</v>
      </c>
      <c r="AO200" s="45"/>
      <c r="AP200" s="45">
        <v>0</v>
      </c>
      <c r="AQ200" s="45"/>
      <c r="AR200" s="45">
        <f>+'GVFund Rev'!U200+'GVFund Rev'!W200-'GVFund Exp'!AH200-'GVFund Exp'!AL200+AJ200+AN200+AP200-'GV Fund BS'!S200</f>
        <v>0</v>
      </c>
      <c r="AS200" s="48"/>
    </row>
    <row r="201" spans="1:45" s="44" customFormat="1" ht="12.75" customHeight="1">
      <c r="A201" s="35" t="s">
        <v>230</v>
      </c>
      <c r="C201" s="35" t="s">
        <v>45</v>
      </c>
      <c r="E201" s="45">
        <v>713881</v>
      </c>
      <c r="F201" s="48"/>
      <c r="G201" s="45">
        <v>1305040</v>
      </c>
      <c r="H201" s="48"/>
      <c r="I201" s="45">
        <v>311746</v>
      </c>
      <c r="J201" s="48"/>
      <c r="K201" s="45">
        <v>4746</v>
      </c>
      <c r="L201" s="48"/>
      <c r="M201" s="45">
        <v>257725</v>
      </c>
      <c r="N201" s="48"/>
      <c r="O201" s="45">
        <v>22085</v>
      </c>
      <c r="P201" s="48"/>
      <c r="Q201" s="45">
        <v>366431</v>
      </c>
      <c r="R201" s="48"/>
      <c r="S201" s="45">
        <v>96535</v>
      </c>
      <c r="T201" s="48"/>
      <c r="U201" s="45">
        <v>0</v>
      </c>
      <c r="V201" s="48"/>
      <c r="W201" s="48"/>
      <c r="X201" s="35"/>
      <c r="Z201" s="35"/>
      <c r="AA201" s="35"/>
      <c r="AB201" s="45">
        <v>170343</v>
      </c>
      <c r="AC201" s="65"/>
      <c r="AD201" s="45">
        <v>10365</v>
      </c>
      <c r="AE201" s="65"/>
      <c r="AF201" s="45">
        <v>0</v>
      </c>
      <c r="AG201" s="65"/>
      <c r="AH201" s="48">
        <f t="shared" si="7"/>
        <v>3258897</v>
      </c>
      <c r="AI201" s="48"/>
      <c r="AJ201" s="48">
        <v>0</v>
      </c>
      <c r="AK201" s="48"/>
      <c r="AL201" s="45">
        <v>0</v>
      </c>
      <c r="AM201" s="45"/>
      <c r="AN201" s="45">
        <v>1987914</v>
      </c>
      <c r="AO201" s="45"/>
      <c r="AP201" s="45">
        <v>0</v>
      </c>
      <c r="AQ201" s="45"/>
      <c r="AR201" s="45">
        <f>+'GVFund Rev'!U201+'GVFund Rev'!W201-'GVFund Exp'!AH201-'GVFund Exp'!AL201+AJ201+AN201+AP201-'GV Fund BS'!S201</f>
        <v>0</v>
      </c>
      <c r="AS201" s="48"/>
    </row>
    <row r="202" spans="1:45" s="44" customFormat="1" ht="12.75" customHeight="1">
      <c r="A202" s="35" t="s">
        <v>231</v>
      </c>
      <c r="C202" s="35" t="s">
        <v>27</v>
      </c>
      <c r="E202" s="45">
        <v>5461817</v>
      </c>
      <c r="F202" s="48"/>
      <c r="G202" s="45">
        <v>14610478</v>
      </c>
      <c r="H202" s="48"/>
      <c r="I202" s="45">
        <v>3139019</v>
      </c>
      <c r="J202" s="48"/>
      <c r="K202" s="45">
        <v>98755</v>
      </c>
      <c r="L202" s="48"/>
      <c r="M202" s="45">
        <v>5405428</v>
      </c>
      <c r="N202" s="48"/>
      <c r="O202" s="45">
        <v>5602008</v>
      </c>
      <c r="P202" s="48"/>
      <c r="Q202" s="45">
        <v>0</v>
      </c>
      <c r="R202" s="48"/>
      <c r="S202" s="45">
        <v>13649066</v>
      </c>
      <c r="T202" s="48"/>
      <c r="U202" s="45">
        <v>0</v>
      </c>
      <c r="V202" s="48"/>
      <c r="W202" s="48"/>
      <c r="X202" s="35"/>
      <c r="Z202" s="35"/>
      <c r="AA202" s="35"/>
      <c r="AB202" s="45">
        <v>5886095</v>
      </c>
      <c r="AC202" s="65"/>
      <c r="AD202" s="45">
        <v>1406201</v>
      </c>
      <c r="AE202" s="65"/>
      <c r="AF202" s="45">
        <v>2044148</v>
      </c>
      <c r="AG202" s="65"/>
      <c r="AH202" s="48">
        <f t="shared" si="7"/>
        <v>57303015</v>
      </c>
      <c r="AI202" s="48"/>
      <c r="AJ202" s="48">
        <v>0</v>
      </c>
      <c r="AK202" s="48"/>
      <c r="AL202" s="45">
        <v>254023</v>
      </c>
      <c r="AM202" s="45"/>
      <c r="AN202" s="45">
        <v>46187190</v>
      </c>
      <c r="AO202" s="45"/>
      <c r="AP202" s="45">
        <v>0</v>
      </c>
      <c r="AQ202" s="45"/>
      <c r="AR202" s="45">
        <f>+'GVFund Rev'!U202+'GVFund Rev'!W202-'GVFund Exp'!AH202-'GVFund Exp'!AL202+AJ202+AN202+AP202-'GV Fund BS'!S202</f>
        <v>0</v>
      </c>
      <c r="AS202" s="48"/>
    </row>
    <row r="203" spans="1:45" s="44" customFormat="1" ht="12.75" customHeight="1">
      <c r="A203" s="64" t="s">
        <v>232</v>
      </c>
      <c r="B203" s="46"/>
      <c r="C203" s="64" t="s">
        <v>27</v>
      </c>
      <c r="D203" s="46"/>
      <c r="E203" s="45">
        <v>2852890</v>
      </c>
      <c r="F203" s="48"/>
      <c r="G203" s="45">
        <v>8955792</v>
      </c>
      <c r="H203" s="48"/>
      <c r="I203" s="45">
        <v>236164</v>
      </c>
      <c r="J203" s="48"/>
      <c r="K203" s="45">
        <v>135702</v>
      </c>
      <c r="L203" s="48"/>
      <c r="M203" s="45">
        <v>2232363</v>
      </c>
      <c r="N203" s="48"/>
      <c r="O203" s="45">
        <v>400337</v>
      </c>
      <c r="P203" s="48"/>
      <c r="Q203" s="45">
        <v>3290381</v>
      </c>
      <c r="R203" s="48"/>
      <c r="S203" s="45">
        <v>26376117</v>
      </c>
      <c r="T203" s="48"/>
      <c r="U203" s="45">
        <v>0</v>
      </c>
      <c r="V203" s="48"/>
      <c r="W203" s="48"/>
      <c r="X203" s="35"/>
      <c r="Z203" s="35"/>
      <c r="AA203" s="35"/>
      <c r="AB203" s="45">
        <v>1271660</v>
      </c>
      <c r="AC203" s="65"/>
      <c r="AD203" s="45">
        <v>510743</v>
      </c>
      <c r="AE203" s="65"/>
      <c r="AF203" s="45">
        <v>0</v>
      </c>
      <c r="AG203" s="65"/>
      <c r="AH203" s="48">
        <f t="shared" si="7"/>
        <v>46262149</v>
      </c>
      <c r="AI203" s="48"/>
      <c r="AJ203" s="48">
        <v>0</v>
      </c>
      <c r="AK203" s="48"/>
      <c r="AL203" s="45">
        <v>0</v>
      </c>
      <c r="AM203" s="45"/>
      <c r="AN203" s="45">
        <v>14501712</v>
      </c>
      <c r="AO203" s="45"/>
      <c r="AP203" s="45">
        <v>0</v>
      </c>
      <c r="AQ203" s="45"/>
      <c r="AR203" s="45">
        <f>+'GVFund Rev'!U203+'GVFund Rev'!W203-'GVFund Exp'!AH203-'GVFund Exp'!AL203+AJ203+AN203+AP203-'GV Fund BS'!S203</f>
        <v>0</v>
      </c>
      <c r="AS203" s="48"/>
    </row>
    <row r="204" spans="1:45" s="44" customFormat="1" ht="12.75" customHeight="1">
      <c r="A204" s="35" t="s">
        <v>233</v>
      </c>
      <c r="C204" s="35" t="s">
        <v>111</v>
      </c>
      <c r="E204" s="45">
        <v>3943581</v>
      </c>
      <c r="F204" s="48"/>
      <c r="G204" s="45">
        <v>2613876</v>
      </c>
      <c r="H204" s="48"/>
      <c r="I204" s="45">
        <v>725553</v>
      </c>
      <c r="J204" s="48"/>
      <c r="K204" s="45">
        <v>11518</v>
      </c>
      <c r="L204" s="48"/>
      <c r="M204" s="45">
        <v>813735</v>
      </c>
      <c r="N204" s="48"/>
      <c r="O204" s="45">
        <v>418201</v>
      </c>
      <c r="P204" s="48"/>
      <c r="Q204" s="45">
        <v>0</v>
      </c>
      <c r="R204" s="48"/>
      <c r="S204" s="45">
        <v>1524581</v>
      </c>
      <c r="T204" s="48"/>
      <c r="U204" s="45">
        <v>0</v>
      </c>
      <c r="V204" s="48"/>
      <c r="W204" s="48"/>
      <c r="X204" s="35"/>
      <c r="Z204" s="35"/>
      <c r="AA204" s="35"/>
      <c r="AB204" s="45">
        <v>569708</v>
      </c>
      <c r="AC204" s="65"/>
      <c r="AD204" s="45">
        <v>472490</v>
      </c>
      <c r="AE204" s="65"/>
      <c r="AF204" s="45">
        <v>0</v>
      </c>
      <c r="AG204" s="65"/>
      <c r="AH204" s="48">
        <f t="shared" si="7"/>
        <v>11093243</v>
      </c>
      <c r="AI204" s="48"/>
      <c r="AJ204" s="48">
        <v>0</v>
      </c>
      <c r="AK204" s="48"/>
      <c r="AL204" s="45">
        <v>2574194</v>
      </c>
      <c r="AM204" s="45"/>
      <c r="AN204" s="45">
        <v>11250001</v>
      </c>
      <c r="AO204" s="45"/>
      <c r="AP204" s="45">
        <v>11202</v>
      </c>
      <c r="AQ204" s="45"/>
      <c r="AR204" s="45">
        <f>+'GVFund Rev'!U204+'GVFund Rev'!W204-'GVFund Exp'!AH204-'GVFund Exp'!AL204+AJ204+AN204+AP204-'GV Fund BS'!S204</f>
        <v>0</v>
      </c>
      <c r="AS204" s="48"/>
    </row>
    <row r="205" spans="1:45" s="44" customFormat="1" ht="12.75" customHeight="1">
      <c r="A205" s="35" t="s">
        <v>234</v>
      </c>
      <c r="C205" s="35" t="s">
        <v>45</v>
      </c>
      <c r="E205" s="45">
        <v>5591828</v>
      </c>
      <c r="F205" s="48"/>
      <c r="G205" s="45">
        <v>7634041</v>
      </c>
      <c r="H205" s="48"/>
      <c r="I205" s="45">
        <v>675411</v>
      </c>
      <c r="J205" s="48"/>
      <c r="K205" s="45">
        <v>297746</v>
      </c>
      <c r="L205" s="48"/>
      <c r="M205" s="45">
        <v>1599785</v>
      </c>
      <c r="N205" s="48"/>
      <c r="O205" s="45">
        <v>1789681</v>
      </c>
      <c r="P205" s="48"/>
      <c r="Q205" s="45">
        <v>0</v>
      </c>
      <c r="R205" s="48"/>
      <c r="S205" s="45">
        <v>6551731</v>
      </c>
      <c r="T205" s="48"/>
      <c r="U205" s="45">
        <v>0</v>
      </c>
      <c r="V205" s="48"/>
      <c r="W205" s="48"/>
      <c r="X205" s="35"/>
      <c r="Z205" s="35"/>
      <c r="AA205" s="35"/>
      <c r="AB205" s="45">
        <v>695783</v>
      </c>
      <c r="AC205" s="65"/>
      <c r="AD205" s="45">
        <v>371819</v>
      </c>
      <c r="AE205" s="65"/>
      <c r="AF205" s="45">
        <v>0</v>
      </c>
      <c r="AG205" s="65"/>
      <c r="AH205" s="48">
        <f t="shared" si="7"/>
        <v>25207825</v>
      </c>
      <c r="AI205" s="48"/>
      <c r="AJ205" s="48">
        <v>0</v>
      </c>
      <c r="AK205" s="48"/>
      <c r="AL205" s="45">
        <v>0</v>
      </c>
      <c r="AM205" s="45"/>
      <c r="AN205" s="45">
        <v>8718755</v>
      </c>
      <c r="AO205" s="45"/>
      <c r="AP205" s="45">
        <v>0</v>
      </c>
      <c r="AQ205" s="45"/>
      <c r="AR205" s="45">
        <f>+'GVFund Rev'!U205+'GVFund Rev'!W205-'GVFund Exp'!AH205-'GVFund Exp'!AL205+AJ205+AN205+AP205-'GV Fund BS'!S205</f>
        <v>0</v>
      </c>
      <c r="AS205" s="48"/>
    </row>
    <row r="206" spans="1:45" s="44" customFormat="1" ht="12.75" customHeight="1">
      <c r="A206" s="35" t="s">
        <v>235</v>
      </c>
      <c r="C206" s="35" t="s">
        <v>183</v>
      </c>
      <c r="E206" s="45">
        <v>12224622</v>
      </c>
      <c r="F206" s="48"/>
      <c r="G206" s="45">
        <v>28642283</v>
      </c>
      <c r="H206" s="48"/>
      <c r="I206" s="45">
        <v>7141940</v>
      </c>
      <c r="J206" s="48"/>
      <c r="K206" s="45">
        <v>183960</v>
      </c>
      <c r="L206" s="48"/>
      <c r="M206" s="45">
        <v>3632339</v>
      </c>
      <c r="N206" s="48"/>
      <c r="O206" s="45">
        <v>2545125</v>
      </c>
      <c r="P206" s="48"/>
      <c r="Q206" s="45">
        <v>325661</v>
      </c>
      <c r="R206" s="48"/>
      <c r="S206" s="45">
        <v>9101635</v>
      </c>
      <c r="T206" s="48"/>
      <c r="U206" s="45">
        <v>0</v>
      </c>
      <c r="V206" s="48"/>
      <c r="W206" s="48"/>
      <c r="X206" s="35"/>
      <c r="Z206" s="35"/>
      <c r="AA206" s="35"/>
      <c r="AB206" s="45">
        <v>1939959</v>
      </c>
      <c r="AC206" s="65"/>
      <c r="AD206" s="45">
        <v>774145</v>
      </c>
      <c r="AE206" s="65"/>
      <c r="AF206" s="45">
        <v>0</v>
      </c>
      <c r="AG206" s="65"/>
      <c r="AH206" s="48">
        <f t="shared" si="7"/>
        <v>66511669</v>
      </c>
      <c r="AI206" s="48"/>
      <c r="AJ206" s="48">
        <v>0</v>
      </c>
      <c r="AK206" s="48"/>
      <c r="AL206" s="45">
        <v>5939035</v>
      </c>
      <c r="AM206" s="45"/>
      <c r="AN206" s="45">
        <v>29536284</v>
      </c>
      <c r="AO206" s="45"/>
      <c r="AP206" s="45">
        <v>0</v>
      </c>
      <c r="AQ206" s="45"/>
      <c r="AR206" s="45">
        <f>+'GVFund Rev'!U206+'GVFund Rev'!W206-'GVFund Exp'!AH206-'GVFund Exp'!AL206+AJ206+AN206+AP206-'GV Fund BS'!S206</f>
        <v>0</v>
      </c>
      <c r="AS206" s="48"/>
    </row>
    <row r="207" spans="1:45" s="44" customFormat="1" ht="12.75" customHeight="1">
      <c r="A207" s="35" t="s">
        <v>236</v>
      </c>
      <c r="C207" s="35" t="s">
        <v>45</v>
      </c>
      <c r="E207" s="45">
        <v>3846875</v>
      </c>
      <c r="F207" s="48"/>
      <c r="G207" s="45">
        <v>4783367</v>
      </c>
      <c r="H207" s="48"/>
      <c r="I207" s="45">
        <v>0</v>
      </c>
      <c r="J207" s="48"/>
      <c r="K207" s="45">
        <v>93939</v>
      </c>
      <c r="L207" s="48"/>
      <c r="M207" s="45">
        <v>334180</v>
      </c>
      <c r="N207" s="48"/>
      <c r="O207" s="45">
        <v>232074</v>
      </c>
      <c r="P207" s="48"/>
      <c r="Q207" s="45">
        <v>620</v>
      </c>
      <c r="R207" s="48"/>
      <c r="S207" s="45">
        <v>1997821</v>
      </c>
      <c r="T207" s="48"/>
      <c r="U207" s="45">
        <v>0</v>
      </c>
      <c r="V207" s="48"/>
      <c r="W207" s="48"/>
      <c r="X207" s="35"/>
      <c r="Z207" s="35"/>
      <c r="AA207" s="35"/>
      <c r="AB207" s="45">
        <v>134620</v>
      </c>
      <c r="AC207" s="65"/>
      <c r="AD207" s="45">
        <v>83128</v>
      </c>
      <c r="AE207" s="65"/>
      <c r="AF207" s="45">
        <v>1116301</v>
      </c>
      <c r="AG207" s="65"/>
      <c r="AH207" s="48">
        <f t="shared" si="7"/>
        <v>12622925</v>
      </c>
      <c r="AI207" s="48"/>
      <c r="AJ207" s="48">
        <v>0</v>
      </c>
      <c r="AK207" s="48"/>
      <c r="AL207" s="45">
        <v>0</v>
      </c>
      <c r="AM207" s="45"/>
      <c r="AN207" s="45">
        <v>7027929</v>
      </c>
      <c r="AO207" s="45"/>
      <c r="AP207" s="45">
        <v>15312</v>
      </c>
      <c r="AQ207" s="45"/>
      <c r="AR207" s="45">
        <f>+'GVFund Rev'!U207+'GVFund Rev'!W207-'GVFund Exp'!AH207-'GVFund Exp'!AL207+AJ207+AN207+AP207-'GV Fund BS'!S207</f>
        <v>0</v>
      </c>
      <c r="AS207" s="48"/>
    </row>
    <row r="208" spans="1:45" s="44" customFormat="1" ht="12.75" customHeight="1">
      <c r="A208" s="35" t="s">
        <v>237</v>
      </c>
      <c r="C208" s="35" t="s">
        <v>33</v>
      </c>
      <c r="E208" s="45">
        <v>316220</v>
      </c>
      <c r="F208" s="48"/>
      <c r="G208" s="45">
        <v>979472</v>
      </c>
      <c r="H208" s="48"/>
      <c r="I208" s="45">
        <v>594652</v>
      </c>
      <c r="J208" s="48"/>
      <c r="K208" s="45">
        <v>33189</v>
      </c>
      <c r="L208" s="48"/>
      <c r="M208" s="45">
        <v>476241</v>
      </c>
      <c r="N208" s="48"/>
      <c r="O208" s="45">
        <v>400553</v>
      </c>
      <c r="P208" s="48"/>
      <c r="Q208" s="45">
        <v>0</v>
      </c>
      <c r="R208" s="48"/>
      <c r="S208" s="45">
        <v>90871</v>
      </c>
      <c r="T208" s="48"/>
      <c r="U208" s="45">
        <v>0</v>
      </c>
      <c r="V208" s="48"/>
      <c r="W208" s="48"/>
      <c r="X208" s="35"/>
      <c r="Z208" s="35"/>
      <c r="AA208" s="35"/>
      <c r="AB208" s="45">
        <v>238072</v>
      </c>
      <c r="AC208" s="65"/>
      <c r="AD208" s="45">
        <v>49000</v>
      </c>
      <c r="AE208" s="65"/>
      <c r="AF208" s="45">
        <v>4979</v>
      </c>
      <c r="AG208" s="65"/>
      <c r="AH208" s="48">
        <f t="shared" si="7"/>
        <v>3183249</v>
      </c>
      <c r="AI208" s="48"/>
      <c r="AJ208" s="48">
        <v>0</v>
      </c>
      <c r="AK208" s="48"/>
      <c r="AL208" s="45">
        <v>0</v>
      </c>
      <c r="AM208" s="45"/>
      <c r="AN208" s="45">
        <v>1599432</v>
      </c>
      <c r="AO208" s="45"/>
      <c r="AP208" s="45">
        <v>0</v>
      </c>
      <c r="AQ208" s="45"/>
      <c r="AR208" s="45">
        <f>+'GVFund Rev'!U208+'GVFund Rev'!W208-'GVFund Exp'!AH208-'GVFund Exp'!AL208+AJ208+AN208+AP208-'GV Fund BS'!S208</f>
        <v>0</v>
      </c>
      <c r="AS208" s="48"/>
    </row>
    <row r="209" spans="1:45" s="44" customFormat="1" ht="12.75" customHeight="1">
      <c r="A209" s="35" t="s">
        <v>238</v>
      </c>
      <c r="C209" s="35" t="s">
        <v>239</v>
      </c>
      <c r="E209" s="45">
        <v>1120922</v>
      </c>
      <c r="F209" s="48"/>
      <c r="G209" s="45">
        <v>2739401</v>
      </c>
      <c r="H209" s="48"/>
      <c r="I209" s="45">
        <v>57845</v>
      </c>
      <c r="J209" s="48"/>
      <c r="K209" s="45">
        <v>2206</v>
      </c>
      <c r="L209" s="48"/>
      <c r="M209" s="45">
        <v>830869</v>
      </c>
      <c r="N209" s="48"/>
      <c r="O209" s="45">
        <v>307322</v>
      </c>
      <c r="P209" s="48"/>
      <c r="Q209" s="45">
        <v>0</v>
      </c>
      <c r="R209" s="48"/>
      <c r="S209" s="45">
        <v>2814040</v>
      </c>
      <c r="T209" s="48"/>
      <c r="U209" s="45">
        <v>0</v>
      </c>
      <c r="V209" s="48"/>
      <c r="W209" s="48"/>
      <c r="X209" s="35"/>
      <c r="Z209" s="35"/>
      <c r="AA209" s="35"/>
      <c r="AB209" s="45">
        <v>0</v>
      </c>
      <c r="AC209" s="65"/>
      <c r="AD209" s="45">
        <v>36726</v>
      </c>
      <c r="AE209" s="65"/>
      <c r="AF209" s="45">
        <v>0</v>
      </c>
      <c r="AG209" s="65"/>
      <c r="AH209" s="48">
        <f t="shared" si="7"/>
        <v>7909331</v>
      </c>
      <c r="AI209" s="48"/>
      <c r="AJ209" s="48">
        <v>0</v>
      </c>
      <c r="AK209" s="48"/>
      <c r="AL209" s="45">
        <v>856208</v>
      </c>
      <c r="AM209" s="45"/>
      <c r="AN209" s="45">
        <v>13681217</v>
      </c>
      <c r="AO209" s="45"/>
      <c r="AP209" s="45">
        <v>15628</v>
      </c>
      <c r="AQ209" s="45"/>
      <c r="AR209" s="45">
        <f>+'GVFund Rev'!U209+'GVFund Rev'!W209-'GVFund Exp'!AH209-'GVFund Exp'!AL209+AJ209+AN209+AP209-'GV Fund BS'!S209</f>
        <v>710876</v>
      </c>
      <c r="AS209" s="48"/>
    </row>
    <row r="210" spans="1:45" s="44" customFormat="1" ht="12.75" customHeight="1">
      <c r="A210" s="35" t="s">
        <v>487</v>
      </c>
      <c r="C210" s="35" t="s">
        <v>249</v>
      </c>
      <c r="E210" s="45">
        <v>3818711</v>
      </c>
      <c r="F210" s="48"/>
      <c r="G210" s="45">
        <v>7730624</v>
      </c>
      <c r="H210" s="48"/>
      <c r="I210" s="45">
        <v>790370</v>
      </c>
      <c r="J210" s="48"/>
      <c r="K210" s="45">
        <v>567287</v>
      </c>
      <c r="L210" s="48"/>
      <c r="M210" s="45">
        <v>2991084</v>
      </c>
      <c r="N210" s="48"/>
      <c r="O210" s="45">
        <v>1095447</v>
      </c>
      <c r="P210" s="48"/>
      <c r="Q210" s="45">
        <v>0</v>
      </c>
      <c r="R210" s="48"/>
      <c r="S210" s="45">
        <v>24900</v>
      </c>
      <c r="T210" s="48"/>
      <c r="U210" s="45">
        <v>0</v>
      </c>
      <c r="V210" s="48"/>
      <c r="W210" s="48"/>
      <c r="X210" s="35"/>
      <c r="Z210" s="35"/>
      <c r="AA210" s="35"/>
      <c r="AB210" s="45">
        <v>226195</v>
      </c>
      <c r="AC210" s="65"/>
      <c r="AD210" s="45">
        <v>110716</v>
      </c>
      <c r="AE210" s="65"/>
      <c r="AF210" s="45">
        <v>0</v>
      </c>
      <c r="AG210" s="65"/>
      <c r="AH210" s="48">
        <f>SUM(E210:AF210)</f>
        <v>17355334</v>
      </c>
      <c r="AI210" s="48"/>
      <c r="AJ210" s="48">
        <v>0</v>
      </c>
      <c r="AK210" s="48"/>
      <c r="AL210" s="45">
        <v>0</v>
      </c>
      <c r="AM210" s="45"/>
      <c r="AN210" s="45">
        <v>5950060</v>
      </c>
      <c r="AO210" s="45"/>
      <c r="AP210" s="45">
        <v>0</v>
      </c>
      <c r="AQ210" s="45"/>
      <c r="AR210" s="45">
        <f>+'GVFund Rev'!U210+'GVFund Rev'!W210-'GVFund Exp'!AH210-'GVFund Exp'!AL210+AJ210+AN210+AP210-'GV Fund BS'!S210</f>
        <v>0</v>
      </c>
      <c r="AS210" s="48"/>
    </row>
    <row r="211" spans="1:45" s="44" customFormat="1" ht="12.75" customHeight="1">
      <c r="A211" s="35" t="s">
        <v>240</v>
      </c>
      <c r="C211" s="35" t="s">
        <v>13</v>
      </c>
      <c r="E211" s="45">
        <v>5682480</v>
      </c>
      <c r="F211" s="48"/>
      <c r="G211" s="45">
        <v>12211360</v>
      </c>
      <c r="H211" s="48"/>
      <c r="I211" s="45">
        <v>1357699</v>
      </c>
      <c r="J211" s="48"/>
      <c r="K211" s="45">
        <v>402885</v>
      </c>
      <c r="L211" s="48"/>
      <c r="M211" s="45">
        <v>3479526</v>
      </c>
      <c r="N211" s="48"/>
      <c r="O211" s="45">
        <v>1967626</v>
      </c>
      <c r="P211" s="48"/>
      <c r="Q211" s="45">
        <v>0</v>
      </c>
      <c r="R211" s="48"/>
      <c r="S211" s="45">
        <v>7709278</v>
      </c>
      <c r="T211" s="48"/>
      <c r="U211" s="45">
        <v>0</v>
      </c>
      <c r="V211" s="48"/>
      <c r="W211" s="48"/>
      <c r="X211" s="35"/>
      <c r="Z211" s="35"/>
      <c r="AA211" s="35"/>
      <c r="AB211" s="45">
        <v>10808200</v>
      </c>
      <c r="AC211" s="65"/>
      <c r="AD211" s="45">
        <v>652997</v>
      </c>
      <c r="AE211" s="65"/>
      <c r="AF211" s="45">
        <v>60040</v>
      </c>
      <c r="AG211" s="65"/>
      <c r="AH211" s="48">
        <f t="shared" si="7"/>
        <v>44332091</v>
      </c>
      <c r="AI211" s="48"/>
      <c r="AJ211" s="48">
        <v>0</v>
      </c>
      <c r="AK211" s="48"/>
      <c r="AL211" s="45">
        <v>0</v>
      </c>
      <c r="AM211" s="45"/>
      <c r="AN211" s="45">
        <v>14492314</v>
      </c>
      <c r="AO211" s="45"/>
      <c r="AP211" s="45">
        <v>0</v>
      </c>
      <c r="AQ211" s="45"/>
      <c r="AR211" s="45">
        <f>+'GVFund Rev'!U211+'GVFund Rev'!W211-'GVFund Exp'!AH211-'GVFund Exp'!AL211+AJ211+AN211+AP211-'GV Fund BS'!S211</f>
        <v>0</v>
      </c>
      <c r="AS211" s="48"/>
    </row>
    <row r="212" spans="1:45" s="137" customFormat="1" ht="12.75" hidden="1" customHeight="1">
      <c r="A212" s="142" t="s">
        <v>241</v>
      </c>
      <c r="C212" s="142" t="s">
        <v>22</v>
      </c>
      <c r="E212" s="143">
        <v>0</v>
      </c>
      <c r="F212" s="148"/>
      <c r="G212" s="143">
        <v>0</v>
      </c>
      <c r="H212" s="148"/>
      <c r="I212" s="143">
        <v>0</v>
      </c>
      <c r="J212" s="148"/>
      <c r="K212" s="143">
        <v>0</v>
      </c>
      <c r="L212" s="148"/>
      <c r="M212" s="143">
        <v>0</v>
      </c>
      <c r="N212" s="148"/>
      <c r="O212" s="143">
        <v>0</v>
      </c>
      <c r="P212" s="148"/>
      <c r="Q212" s="143">
        <v>0</v>
      </c>
      <c r="R212" s="148"/>
      <c r="S212" s="143">
        <v>0</v>
      </c>
      <c r="T212" s="148"/>
      <c r="U212" s="143">
        <v>0</v>
      </c>
      <c r="V212" s="148"/>
      <c r="W212" s="148"/>
      <c r="X212" s="142"/>
      <c r="Z212" s="142"/>
      <c r="AA212" s="142"/>
      <c r="AB212" s="143">
        <v>0</v>
      </c>
      <c r="AC212" s="141"/>
      <c r="AD212" s="143">
        <v>0</v>
      </c>
      <c r="AE212" s="141"/>
      <c r="AF212" s="143">
        <v>0</v>
      </c>
      <c r="AG212" s="141"/>
      <c r="AH212" s="148">
        <f t="shared" si="7"/>
        <v>0</v>
      </c>
      <c r="AI212" s="148"/>
      <c r="AJ212" s="148">
        <v>0</v>
      </c>
      <c r="AK212" s="148"/>
      <c r="AL212" s="143">
        <v>0</v>
      </c>
      <c r="AM212" s="143"/>
      <c r="AN212" s="143">
        <v>0</v>
      </c>
      <c r="AO212" s="143"/>
      <c r="AP212" s="143">
        <v>0</v>
      </c>
      <c r="AQ212" s="143"/>
      <c r="AR212" s="143">
        <f>+'GVFund Rev'!U212+'GVFund Rev'!W212-'GVFund Exp'!AH212-'GVFund Exp'!AL212+AJ212+AN212+AP212-'GV Fund BS'!S212</f>
        <v>0</v>
      </c>
      <c r="AS212" s="148"/>
    </row>
    <row r="213" spans="1:45" s="44" customFormat="1" ht="12.75" customHeight="1">
      <c r="A213" s="35" t="s">
        <v>242</v>
      </c>
      <c r="C213" s="35" t="s">
        <v>27</v>
      </c>
      <c r="E213" s="45">
        <v>6478223</v>
      </c>
      <c r="F213" s="48"/>
      <c r="G213" s="45">
        <v>17291565</v>
      </c>
      <c r="H213" s="48"/>
      <c r="I213" s="45">
        <v>1369984</v>
      </c>
      <c r="J213" s="48"/>
      <c r="K213" s="45">
        <v>689121</v>
      </c>
      <c r="L213" s="48"/>
      <c r="M213" s="45">
        <v>7831893</v>
      </c>
      <c r="N213" s="48"/>
      <c r="O213" s="45">
        <v>4943165</v>
      </c>
      <c r="P213" s="48"/>
      <c r="Q213" s="45">
        <v>2512831</v>
      </c>
      <c r="R213" s="48"/>
      <c r="S213" s="45">
        <v>12248397</v>
      </c>
      <c r="T213" s="48"/>
      <c r="U213" s="45">
        <v>0</v>
      </c>
      <c r="V213" s="48"/>
      <c r="W213" s="48"/>
      <c r="X213" s="35"/>
      <c r="Z213" s="35"/>
      <c r="AA213" s="35"/>
      <c r="AB213" s="45">
        <v>2529457</v>
      </c>
      <c r="AC213" s="65"/>
      <c r="AD213" s="45">
        <v>1965418</v>
      </c>
      <c r="AE213" s="65"/>
      <c r="AF213" s="45">
        <v>0</v>
      </c>
      <c r="AG213" s="65"/>
      <c r="AH213" s="48">
        <f t="shared" si="7"/>
        <v>57860054</v>
      </c>
      <c r="AI213" s="48"/>
      <c r="AJ213" s="48">
        <v>0</v>
      </c>
      <c r="AK213" s="48"/>
      <c r="AL213" s="45">
        <v>0</v>
      </c>
      <c r="AM213" s="45"/>
      <c r="AN213" s="45">
        <v>30610600</v>
      </c>
      <c r="AO213" s="45"/>
      <c r="AP213" s="45">
        <v>0</v>
      </c>
      <c r="AQ213" s="45"/>
      <c r="AR213" s="45">
        <f>+'GVFund Rev'!U213+'GVFund Rev'!W213-'GVFund Exp'!AH213-'GVFund Exp'!AL213+AJ213+AN213+AP213-'GV Fund BS'!S213</f>
        <v>0</v>
      </c>
      <c r="AS213" s="48"/>
    </row>
    <row r="214" spans="1:45" s="44" customFormat="1" ht="12.75" customHeight="1">
      <c r="A214" s="35" t="s">
        <v>243</v>
      </c>
      <c r="C214" s="35" t="s">
        <v>163</v>
      </c>
      <c r="E214" s="45">
        <v>4256036</v>
      </c>
      <c r="F214" s="48"/>
      <c r="G214" s="45">
        <v>5326754</v>
      </c>
      <c r="H214" s="48"/>
      <c r="I214" s="45">
        <v>623403</v>
      </c>
      <c r="J214" s="48"/>
      <c r="K214" s="45">
        <v>175009</v>
      </c>
      <c r="L214" s="48"/>
      <c r="M214" s="45">
        <v>1615825</v>
      </c>
      <c r="N214" s="48"/>
      <c r="O214" s="45">
        <v>796848</v>
      </c>
      <c r="P214" s="48"/>
      <c r="Q214" s="45">
        <v>968808</v>
      </c>
      <c r="R214" s="48"/>
      <c r="S214" s="45">
        <v>5076881</v>
      </c>
      <c r="T214" s="48"/>
      <c r="U214" s="45">
        <v>0</v>
      </c>
      <c r="V214" s="48"/>
      <c r="W214" s="48"/>
      <c r="X214" s="35"/>
      <c r="Z214" s="35"/>
      <c r="AA214" s="35"/>
      <c r="AB214" s="45">
        <v>1037246</v>
      </c>
      <c r="AC214" s="65"/>
      <c r="AD214" s="45">
        <v>642381</v>
      </c>
      <c r="AE214" s="65"/>
      <c r="AF214" s="45">
        <v>0</v>
      </c>
      <c r="AG214" s="65"/>
      <c r="AH214" s="48">
        <f t="shared" si="7"/>
        <v>20519191</v>
      </c>
      <c r="AI214" s="48"/>
      <c r="AJ214" s="48">
        <v>0</v>
      </c>
      <c r="AK214" s="48"/>
      <c r="AL214" s="45">
        <v>0</v>
      </c>
      <c r="AM214" s="45"/>
      <c r="AN214" s="45">
        <v>23995159</v>
      </c>
      <c r="AO214" s="45"/>
      <c r="AP214" s="45">
        <v>-5802</v>
      </c>
      <c r="AQ214" s="45"/>
      <c r="AR214" s="45">
        <f>+'GVFund Rev'!U214+'GVFund Rev'!W214-'GVFund Exp'!AH214-'GVFund Exp'!AL214+AJ214+AN214+AP214-'GV Fund BS'!S214</f>
        <v>0</v>
      </c>
      <c r="AS214" s="48"/>
    </row>
    <row r="215" spans="1:45" s="44" customFormat="1" ht="12.75" customHeight="1">
      <c r="A215" s="35" t="s">
        <v>244</v>
      </c>
      <c r="C215" s="35" t="s">
        <v>13</v>
      </c>
      <c r="E215" s="45">
        <v>2855878</v>
      </c>
      <c r="F215" s="48"/>
      <c r="G215" s="45">
        <v>5946988</v>
      </c>
      <c r="H215" s="48"/>
      <c r="I215" s="45">
        <v>391535</v>
      </c>
      <c r="J215" s="48"/>
      <c r="K215" s="45">
        <v>72133</v>
      </c>
      <c r="L215" s="48"/>
      <c r="M215" s="45">
        <v>1941612</v>
      </c>
      <c r="N215" s="48"/>
      <c r="O215" s="45">
        <v>1577690</v>
      </c>
      <c r="P215" s="48"/>
      <c r="Q215" s="45">
        <v>0</v>
      </c>
      <c r="R215" s="48"/>
      <c r="S215" s="45">
        <v>2390010</v>
      </c>
      <c r="T215" s="48"/>
      <c r="U215" s="45">
        <v>0</v>
      </c>
      <c r="V215" s="48"/>
      <c r="W215" s="48"/>
      <c r="X215" s="35"/>
      <c r="Z215" s="35"/>
      <c r="AA215" s="35"/>
      <c r="AB215" s="45">
        <v>516201</v>
      </c>
      <c r="AC215" s="65"/>
      <c r="AD215" s="45">
        <v>464858</v>
      </c>
      <c r="AE215" s="65"/>
      <c r="AF215" s="45">
        <v>0</v>
      </c>
      <c r="AG215" s="65"/>
      <c r="AH215" s="48">
        <f>SUM(E215:AF215)</f>
        <v>16156905</v>
      </c>
      <c r="AI215" s="48"/>
      <c r="AJ215" s="48">
        <v>0</v>
      </c>
      <c r="AK215" s="48"/>
      <c r="AL215" s="45">
        <v>0</v>
      </c>
      <c r="AM215" s="45"/>
      <c r="AN215" s="45">
        <v>3221355</v>
      </c>
      <c r="AO215" s="45"/>
      <c r="AP215" s="45">
        <v>0</v>
      </c>
      <c r="AQ215" s="45"/>
      <c r="AR215" s="45">
        <f>+'GVFund Rev'!U215+'GVFund Rev'!W215-'GVFund Exp'!AH215-'GVFund Exp'!AL215+AJ215+AN215+AP215-'GV Fund BS'!S215</f>
        <v>0</v>
      </c>
      <c r="AS215" s="48"/>
    </row>
    <row r="216" spans="1:45" s="44" customFormat="1" ht="12.75" customHeight="1">
      <c r="A216" s="35" t="s">
        <v>245</v>
      </c>
      <c r="C216" s="35" t="s">
        <v>110</v>
      </c>
      <c r="E216" s="45">
        <v>2605248</v>
      </c>
      <c r="F216" s="48"/>
      <c r="G216" s="45">
        <v>6530974</v>
      </c>
      <c r="H216" s="48"/>
      <c r="I216" s="45">
        <v>377139</v>
      </c>
      <c r="J216" s="48"/>
      <c r="K216" s="45">
        <v>3723</v>
      </c>
      <c r="L216" s="48"/>
      <c r="M216" s="45">
        <v>961157</v>
      </c>
      <c r="N216" s="48"/>
      <c r="O216" s="45">
        <v>380835</v>
      </c>
      <c r="P216" s="48"/>
      <c r="Q216" s="45">
        <v>298673</v>
      </c>
      <c r="R216" s="48"/>
      <c r="S216" s="45">
        <v>1173887</v>
      </c>
      <c r="T216" s="48"/>
      <c r="U216" s="45">
        <v>0</v>
      </c>
      <c r="V216" s="48"/>
      <c r="W216" s="48"/>
      <c r="X216" s="35"/>
      <c r="Z216" s="35"/>
      <c r="AA216" s="35"/>
      <c r="AB216" s="45">
        <v>869942</v>
      </c>
      <c r="AC216" s="65"/>
      <c r="AD216" s="45">
        <v>51426</v>
      </c>
      <c r="AE216" s="65"/>
      <c r="AF216" s="45">
        <v>0</v>
      </c>
      <c r="AG216" s="65"/>
      <c r="AH216" s="48">
        <f t="shared" si="7"/>
        <v>13253004</v>
      </c>
      <c r="AI216" s="48"/>
      <c r="AJ216" s="48">
        <v>0</v>
      </c>
      <c r="AK216" s="48"/>
      <c r="AL216" s="45">
        <v>0</v>
      </c>
      <c r="AM216" s="45"/>
      <c r="AN216" s="45">
        <v>4273671</v>
      </c>
      <c r="AO216" s="45"/>
      <c r="AP216" s="45">
        <v>9914</v>
      </c>
      <c r="AQ216" s="45"/>
      <c r="AR216" s="45">
        <f>+'GVFund Rev'!U216+'GVFund Rev'!W216-'GVFund Exp'!AH216-'GVFund Exp'!AL216+AJ216+AN216+AP216-'GV Fund BS'!S216</f>
        <v>0</v>
      </c>
      <c r="AS216" s="48"/>
    </row>
    <row r="217" spans="1:45" s="44" customFormat="1" ht="12.75" customHeight="1">
      <c r="A217" s="35" t="s">
        <v>246</v>
      </c>
      <c r="C217" s="35" t="s">
        <v>209</v>
      </c>
      <c r="E217" s="45">
        <v>1457073</v>
      </c>
      <c r="F217" s="48"/>
      <c r="G217" s="45">
        <v>2980614</v>
      </c>
      <c r="H217" s="48"/>
      <c r="I217" s="45">
        <v>238806</v>
      </c>
      <c r="J217" s="48"/>
      <c r="K217" s="45">
        <v>0</v>
      </c>
      <c r="L217" s="48"/>
      <c r="M217" s="45">
        <v>549832</v>
      </c>
      <c r="N217" s="48"/>
      <c r="O217" s="45">
        <v>866924</v>
      </c>
      <c r="P217" s="48"/>
      <c r="Q217" s="45">
        <v>223769</v>
      </c>
      <c r="R217" s="48"/>
      <c r="S217" s="45">
        <v>2263569</v>
      </c>
      <c r="T217" s="48"/>
      <c r="U217" s="45">
        <v>0</v>
      </c>
      <c r="V217" s="48"/>
      <c r="W217" s="48"/>
      <c r="X217" s="35"/>
      <c r="Z217" s="35"/>
      <c r="AA217" s="35"/>
      <c r="AB217" s="45">
        <v>897062</v>
      </c>
      <c r="AC217" s="65"/>
      <c r="AD217" s="45">
        <v>288508</v>
      </c>
      <c r="AE217" s="65"/>
      <c r="AF217" s="45">
        <v>0</v>
      </c>
      <c r="AG217" s="65"/>
      <c r="AH217" s="48">
        <f t="shared" si="7"/>
        <v>9766157</v>
      </c>
      <c r="AI217" s="48"/>
      <c r="AJ217" s="48">
        <v>0</v>
      </c>
      <c r="AK217" s="48"/>
      <c r="AL217" s="45">
        <v>0</v>
      </c>
      <c r="AM217" s="45"/>
      <c r="AN217" s="45">
        <v>4938051</v>
      </c>
      <c r="AO217" s="45"/>
      <c r="AP217" s="45">
        <v>-3391</v>
      </c>
      <c r="AQ217" s="45"/>
      <c r="AR217" s="45">
        <f>+'GVFund Rev'!U217+'GVFund Rev'!W217-'GVFund Exp'!AH217-'GVFund Exp'!AL217+AJ217+AN217+AP217-'GV Fund BS'!S217</f>
        <v>0</v>
      </c>
      <c r="AS217" s="48"/>
    </row>
    <row r="218" spans="1:45" s="44" customFormat="1" ht="12.75" customHeight="1">
      <c r="A218" s="35" t="s">
        <v>247</v>
      </c>
      <c r="C218" s="35" t="s">
        <v>163</v>
      </c>
      <c r="E218" s="45">
        <v>17794000</v>
      </c>
      <c r="F218" s="48"/>
      <c r="G218" s="45">
        <v>198212000</v>
      </c>
      <c r="H218" s="48"/>
      <c r="I218" s="45">
        <v>18981000</v>
      </c>
      <c r="J218" s="48"/>
      <c r="K218" s="45">
        <v>17934000</v>
      </c>
      <c r="L218" s="48"/>
      <c r="M218" s="45">
        <v>0</v>
      </c>
      <c r="N218" s="48"/>
      <c r="O218" s="45">
        <v>3503000</v>
      </c>
      <c r="P218" s="48"/>
      <c r="Q218" s="45">
        <v>102000</v>
      </c>
      <c r="R218" s="48"/>
      <c r="S218" s="45">
        <v>57708000</v>
      </c>
      <c r="T218" s="48"/>
      <c r="U218" s="45">
        <v>0</v>
      </c>
      <c r="V218" s="48"/>
      <c r="W218" s="48"/>
      <c r="X218" s="35"/>
      <c r="Z218" s="35"/>
      <c r="AA218" s="35"/>
      <c r="AB218" s="45">
        <v>17248000</v>
      </c>
      <c r="AC218" s="65"/>
      <c r="AD218" s="45">
        <v>10370000</v>
      </c>
      <c r="AE218" s="65"/>
      <c r="AF218" s="45">
        <v>0</v>
      </c>
      <c r="AG218" s="65"/>
      <c r="AH218" s="48">
        <f t="shared" si="7"/>
        <v>341852000</v>
      </c>
      <c r="AI218" s="48"/>
      <c r="AJ218" s="48">
        <v>0</v>
      </c>
      <c r="AK218" s="48"/>
      <c r="AL218" s="45">
        <v>0</v>
      </c>
      <c r="AM218" s="45"/>
      <c r="AN218" s="45">
        <v>18708000</v>
      </c>
      <c r="AO218" s="45"/>
      <c r="AP218" s="45">
        <v>-172000</v>
      </c>
      <c r="AQ218" s="45"/>
      <c r="AR218" s="45">
        <f>+'GVFund Rev'!U218+'GVFund Rev'!W218-'GVFund Exp'!AH218-'GVFund Exp'!AL218+AJ218+AN218+AP218-'GV Fund BS'!S218</f>
        <v>0</v>
      </c>
      <c r="AS218" s="48"/>
    </row>
    <row r="219" spans="1:45" s="44" customFormat="1" ht="12.75" customHeight="1">
      <c r="A219" s="35" t="s">
        <v>248</v>
      </c>
      <c r="C219" s="35" t="s">
        <v>249</v>
      </c>
      <c r="E219" s="45">
        <v>458356</v>
      </c>
      <c r="F219" s="48"/>
      <c r="G219" s="45">
        <v>1453936</v>
      </c>
      <c r="H219" s="48"/>
      <c r="I219" s="45">
        <v>268560</v>
      </c>
      <c r="J219" s="48"/>
      <c r="K219" s="45">
        <v>11716</v>
      </c>
      <c r="L219" s="48"/>
      <c r="M219" s="45">
        <v>453916</v>
      </c>
      <c r="N219" s="48"/>
      <c r="O219" s="45">
        <v>129842</v>
      </c>
      <c r="P219" s="48"/>
      <c r="Q219" s="45">
        <v>0</v>
      </c>
      <c r="R219" s="48"/>
      <c r="S219" s="45">
        <v>1547369</v>
      </c>
      <c r="T219" s="48"/>
      <c r="U219" s="45">
        <v>0</v>
      </c>
      <c r="V219" s="48"/>
      <c r="W219" s="48"/>
      <c r="X219" s="35"/>
      <c r="Z219" s="35"/>
      <c r="AA219" s="35"/>
      <c r="AB219" s="45">
        <v>181783</v>
      </c>
      <c r="AC219" s="65"/>
      <c r="AD219" s="45">
        <v>40657</v>
      </c>
      <c r="AE219" s="65"/>
      <c r="AF219" s="45">
        <v>0</v>
      </c>
      <c r="AG219" s="65"/>
      <c r="AH219" s="48">
        <f t="shared" si="7"/>
        <v>4546135</v>
      </c>
      <c r="AI219" s="48"/>
      <c r="AJ219" s="48">
        <v>0</v>
      </c>
      <c r="AK219" s="48"/>
      <c r="AL219" s="45">
        <v>0</v>
      </c>
      <c r="AM219" s="45"/>
      <c r="AN219" s="45">
        <v>1035795</v>
      </c>
      <c r="AO219" s="45"/>
      <c r="AP219" s="45">
        <v>-6300</v>
      </c>
      <c r="AQ219" s="45"/>
      <c r="AR219" s="45">
        <f>+'GVFund Rev'!U219+'GVFund Rev'!W219-'GVFund Exp'!AH219-'GVFund Exp'!AL219+AJ219+AN219+AP219-'GV Fund BS'!S219</f>
        <v>0</v>
      </c>
      <c r="AS219" s="48"/>
    </row>
    <row r="220" spans="1:45" s="46" customFormat="1" ht="12.75" customHeight="1">
      <c r="A220" s="35" t="s">
        <v>250</v>
      </c>
      <c r="B220" s="44"/>
      <c r="C220" s="35" t="s">
        <v>103</v>
      </c>
      <c r="D220" s="44"/>
      <c r="E220" s="45">
        <v>392751</v>
      </c>
      <c r="F220" s="48"/>
      <c r="G220" s="45">
        <v>2161145</v>
      </c>
      <c r="H220" s="48"/>
      <c r="I220" s="45">
        <v>104527</v>
      </c>
      <c r="J220" s="48"/>
      <c r="K220" s="45">
        <v>67681</v>
      </c>
      <c r="L220" s="48"/>
      <c r="M220" s="45">
        <v>313564</v>
      </c>
      <c r="N220" s="48"/>
      <c r="O220" s="45">
        <v>82340</v>
      </c>
      <c r="P220" s="48"/>
      <c r="Q220" s="45">
        <v>55109</v>
      </c>
      <c r="R220" s="48"/>
      <c r="S220" s="45">
        <v>755451</v>
      </c>
      <c r="T220" s="48"/>
      <c r="U220" s="45">
        <v>0</v>
      </c>
      <c r="V220" s="48"/>
      <c r="W220" s="48"/>
      <c r="X220" s="35"/>
      <c r="Y220" s="44"/>
      <c r="Z220" s="35"/>
      <c r="AA220" s="35"/>
      <c r="AB220" s="45">
        <v>89523</v>
      </c>
      <c r="AC220" s="65"/>
      <c r="AD220" s="45">
        <v>23244</v>
      </c>
      <c r="AE220" s="65"/>
      <c r="AF220" s="45">
        <v>0</v>
      </c>
      <c r="AG220" s="65"/>
      <c r="AH220" s="48">
        <f t="shared" si="7"/>
        <v>4045335</v>
      </c>
      <c r="AI220" s="48"/>
      <c r="AJ220" s="48">
        <v>0</v>
      </c>
      <c r="AK220" s="48"/>
      <c r="AL220" s="45">
        <v>0</v>
      </c>
      <c r="AM220" s="45"/>
      <c r="AN220" s="45">
        <v>2816958</v>
      </c>
      <c r="AO220" s="45"/>
      <c r="AP220" s="45">
        <v>0</v>
      </c>
      <c r="AQ220" s="45"/>
      <c r="AR220" s="45">
        <f>+'GVFund Rev'!U220+'GVFund Rev'!W220-'GVFund Exp'!AH220-'GVFund Exp'!AL220+AJ220+AN220+AP220-'GV Fund BS'!S220</f>
        <v>0</v>
      </c>
      <c r="AS220" s="48"/>
    </row>
    <row r="221" spans="1:45" s="44" customFormat="1" ht="12.75" customHeight="1">
      <c r="A221" s="35" t="s">
        <v>251</v>
      </c>
      <c r="C221" s="35" t="s">
        <v>66</v>
      </c>
      <c r="E221" s="45">
        <v>2818858</v>
      </c>
      <c r="F221" s="48"/>
      <c r="G221" s="45">
        <v>9147913</v>
      </c>
      <c r="H221" s="48"/>
      <c r="I221" s="45">
        <v>1255235</v>
      </c>
      <c r="J221" s="48"/>
      <c r="K221" s="45">
        <v>0</v>
      </c>
      <c r="L221" s="48"/>
      <c r="M221" s="45">
        <v>1423293</v>
      </c>
      <c r="N221" s="48"/>
      <c r="O221" s="45">
        <v>463841</v>
      </c>
      <c r="P221" s="48"/>
      <c r="Q221" s="45">
        <v>0</v>
      </c>
      <c r="R221" s="48"/>
      <c r="S221" s="45">
        <v>4827180</v>
      </c>
      <c r="T221" s="48"/>
      <c r="U221" s="45">
        <v>0</v>
      </c>
      <c r="V221" s="48"/>
      <c r="W221" s="48"/>
      <c r="X221" s="35"/>
      <c r="Z221" s="35"/>
      <c r="AA221" s="35"/>
      <c r="AB221" s="45">
        <v>340423</v>
      </c>
      <c r="AC221" s="65"/>
      <c r="AD221" s="45">
        <v>861877</v>
      </c>
      <c r="AE221" s="65"/>
      <c r="AF221" s="45">
        <v>0</v>
      </c>
      <c r="AG221" s="65"/>
      <c r="AH221" s="48">
        <f>SUM(E221:AF221)</f>
        <v>21138620</v>
      </c>
      <c r="AI221" s="48"/>
      <c r="AJ221" s="48">
        <v>0</v>
      </c>
      <c r="AK221" s="48"/>
      <c r="AL221" s="45">
        <v>0</v>
      </c>
      <c r="AM221" s="45"/>
      <c r="AN221" s="45">
        <v>-7243017</v>
      </c>
      <c r="AO221" s="45"/>
      <c r="AP221" s="45">
        <v>-75900</v>
      </c>
      <c r="AQ221" s="45"/>
      <c r="AR221" s="45">
        <f>+'GVFund Rev'!U221+'GVFund Rev'!W221-'GVFund Exp'!AH221-'GVFund Exp'!AL221+AJ221+AN221+AP221-'GV Fund BS'!S221</f>
        <v>0</v>
      </c>
      <c r="AS221" s="48"/>
    </row>
    <row r="222" spans="1:45" s="44" customFormat="1" ht="12.75" customHeight="1">
      <c r="A222" s="35" t="s">
        <v>252</v>
      </c>
      <c r="C222" s="35" t="s">
        <v>209</v>
      </c>
      <c r="E222" s="45">
        <v>4772246</v>
      </c>
      <c r="F222" s="48"/>
      <c r="G222" s="45">
        <v>9234356</v>
      </c>
      <c r="H222" s="48"/>
      <c r="I222" s="45">
        <v>918513</v>
      </c>
      <c r="J222" s="48"/>
      <c r="K222" s="45">
        <v>494383</v>
      </c>
      <c r="L222" s="48"/>
      <c r="M222" s="45">
        <v>2263423</v>
      </c>
      <c r="N222" s="48"/>
      <c r="O222" s="45">
        <v>1546806</v>
      </c>
      <c r="P222" s="48"/>
      <c r="Q222" s="45">
        <v>1224791</v>
      </c>
      <c r="R222" s="48"/>
      <c r="S222" s="45">
        <v>2196944</v>
      </c>
      <c r="T222" s="48"/>
      <c r="U222" s="45">
        <v>0</v>
      </c>
      <c r="V222" s="48"/>
      <c r="W222" s="48"/>
      <c r="X222" s="35"/>
      <c r="Z222" s="35"/>
      <c r="AA222" s="35"/>
      <c r="AB222" s="45">
        <v>534000</v>
      </c>
      <c r="AC222" s="65"/>
      <c r="AD222" s="45">
        <v>528781</v>
      </c>
      <c r="AE222" s="65"/>
      <c r="AF222" s="45">
        <v>3865</v>
      </c>
      <c r="AG222" s="65"/>
      <c r="AH222" s="48">
        <f t="shared" si="7"/>
        <v>23718108</v>
      </c>
      <c r="AI222" s="48"/>
      <c r="AJ222" s="48">
        <v>0</v>
      </c>
      <c r="AK222" s="48"/>
      <c r="AL222" s="45">
        <v>575000</v>
      </c>
      <c r="AM222" s="45"/>
      <c r="AN222" s="45">
        <v>45383473</v>
      </c>
      <c r="AO222" s="45"/>
      <c r="AP222" s="45">
        <v>0</v>
      </c>
      <c r="AQ222" s="45"/>
      <c r="AR222" s="45">
        <f>+'GVFund Rev'!U222+'GVFund Rev'!W222-'GVFund Exp'!AH222-'GVFund Exp'!AL222+AJ222+AN222+AP222-'GV Fund BS'!S222</f>
        <v>0</v>
      </c>
      <c r="AS222" s="48"/>
    </row>
    <row r="223" spans="1:45" s="44" customFormat="1" ht="12.75" customHeight="1">
      <c r="A223" s="35" t="s">
        <v>253</v>
      </c>
      <c r="C223" s="35" t="s">
        <v>13</v>
      </c>
      <c r="E223" s="45">
        <v>3364225</v>
      </c>
      <c r="F223" s="48"/>
      <c r="G223" s="45">
        <v>9061064</v>
      </c>
      <c r="H223" s="48"/>
      <c r="I223" s="45">
        <v>1461380</v>
      </c>
      <c r="J223" s="48"/>
      <c r="K223" s="45">
        <v>0</v>
      </c>
      <c r="L223" s="48"/>
      <c r="M223" s="45">
        <v>4390771</v>
      </c>
      <c r="N223" s="48"/>
      <c r="O223" s="45">
        <v>1781481</v>
      </c>
      <c r="P223" s="48"/>
      <c r="Q223" s="45">
        <v>0</v>
      </c>
      <c r="R223" s="48"/>
      <c r="S223" s="45">
        <v>5679274</v>
      </c>
      <c r="T223" s="48"/>
      <c r="U223" s="45">
        <v>0</v>
      </c>
      <c r="V223" s="48"/>
      <c r="W223" s="48"/>
      <c r="X223" s="35"/>
      <c r="Z223" s="35"/>
      <c r="AA223" s="35"/>
      <c r="AB223" s="45">
        <v>754008</v>
      </c>
      <c r="AC223" s="65"/>
      <c r="AD223" s="45">
        <v>827489</v>
      </c>
      <c r="AE223" s="65"/>
      <c r="AF223" s="45">
        <v>6176</v>
      </c>
      <c r="AG223" s="65"/>
      <c r="AH223" s="48">
        <f>SUM(E223:AF223)</f>
        <v>27325868</v>
      </c>
      <c r="AI223" s="48"/>
      <c r="AJ223" s="48">
        <v>0</v>
      </c>
      <c r="AK223" s="48"/>
      <c r="AL223" s="45">
        <v>1795963</v>
      </c>
      <c r="AM223" s="45"/>
      <c r="AN223" s="45">
        <v>21918321</v>
      </c>
      <c r="AO223" s="45"/>
      <c r="AP223" s="45">
        <v>0</v>
      </c>
      <c r="AQ223" s="45"/>
      <c r="AR223" s="45">
        <f>+'GVFund Rev'!U223+'GVFund Rev'!W223-'GVFund Exp'!AH223-'GVFund Exp'!AL223+AJ223+AN223+AP223-'GV Fund BS'!S223</f>
        <v>0</v>
      </c>
      <c r="AS223" s="48"/>
    </row>
    <row r="224" spans="1:45" s="46" customFormat="1" ht="12.75" customHeight="1">
      <c r="A224" s="35" t="s">
        <v>254</v>
      </c>
      <c r="B224" s="44"/>
      <c r="C224" s="35" t="s">
        <v>89</v>
      </c>
      <c r="D224" s="44"/>
      <c r="E224" s="45">
        <v>518133</v>
      </c>
      <c r="F224" s="48"/>
      <c r="G224" s="45">
        <v>1216705</v>
      </c>
      <c r="H224" s="48"/>
      <c r="I224" s="45">
        <v>284769</v>
      </c>
      <c r="J224" s="48"/>
      <c r="K224" s="45">
        <v>112500</v>
      </c>
      <c r="L224" s="48"/>
      <c r="M224" s="45">
        <v>333251</v>
      </c>
      <c r="N224" s="48"/>
      <c r="O224" s="45">
        <v>52895</v>
      </c>
      <c r="P224" s="48"/>
      <c r="Q224" s="45">
        <v>0</v>
      </c>
      <c r="R224" s="48"/>
      <c r="S224" s="45">
        <v>2327691</v>
      </c>
      <c r="T224" s="48"/>
      <c r="U224" s="45">
        <v>0</v>
      </c>
      <c r="V224" s="48"/>
      <c r="W224" s="48"/>
      <c r="X224" s="35"/>
      <c r="Y224" s="44"/>
      <c r="Z224" s="35"/>
      <c r="AA224" s="35"/>
      <c r="AB224" s="45">
        <v>200857</v>
      </c>
      <c r="AC224" s="65"/>
      <c r="AD224" s="45">
        <v>145111</v>
      </c>
      <c r="AE224" s="65"/>
      <c r="AF224" s="45">
        <v>0</v>
      </c>
      <c r="AG224" s="65"/>
      <c r="AH224" s="48">
        <f t="shared" si="7"/>
        <v>5191912</v>
      </c>
      <c r="AI224" s="48"/>
      <c r="AJ224" s="48">
        <v>0</v>
      </c>
      <c r="AK224" s="48"/>
      <c r="AL224" s="45">
        <v>0</v>
      </c>
      <c r="AM224" s="45"/>
      <c r="AN224" s="45">
        <v>2762113</v>
      </c>
      <c r="AO224" s="45"/>
      <c r="AP224" s="45">
        <v>0</v>
      </c>
      <c r="AQ224" s="45"/>
      <c r="AR224" s="45">
        <f>+'GVFund Rev'!U224+'GVFund Rev'!W224-'GVFund Exp'!AH224-'GVFund Exp'!AL224+AJ224+AN224+AP224-'GV Fund BS'!S224</f>
        <v>0</v>
      </c>
      <c r="AS224" s="48"/>
    </row>
    <row r="225" spans="1:46" s="44" customFormat="1" ht="12.75" customHeight="1">
      <c r="A225" s="35" t="s">
        <v>159</v>
      </c>
      <c r="C225" s="35" t="s">
        <v>66</v>
      </c>
      <c r="E225" s="45">
        <v>500580</v>
      </c>
      <c r="F225" s="48"/>
      <c r="G225" s="45">
        <v>2593784</v>
      </c>
      <c r="H225" s="48"/>
      <c r="I225" s="45">
        <v>460823</v>
      </c>
      <c r="J225" s="48"/>
      <c r="K225" s="45">
        <v>15393</v>
      </c>
      <c r="L225" s="48"/>
      <c r="M225" s="45">
        <v>472099</v>
      </c>
      <c r="N225" s="48"/>
      <c r="O225" s="45">
        <v>74426</v>
      </c>
      <c r="P225" s="48"/>
      <c r="Q225" s="45">
        <v>0</v>
      </c>
      <c r="R225" s="48"/>
      <c r="S225" s="45">
        <v>0</v>
      </c>
      <c r="T225" s="48"/>
      <c r="U225" s="45">
        <v>0</v>
      </c>
      <c r="V225" s="48"/>
      <c r="W225" s="48"/>
      <c r="X225" s="35"/>
      <c r="Z225" s="35"/>
      <c r="AA225" s="35"/>
      <c r="AB225" s="45">
        <v>45045</v>
      </c>
      <c r="AC225" s="65"/>
      <c r="AD225" s="45">
        <v>66114</v>
      </c>
      <c r="AE225" s="65"/>
      <c r="AF225" s="45">
        <v>0</v>
      </c>
      <c r="AG225" s="65"/>
      <c r="AH225" s="48">
        <f>SUM(E225:AF225)</f>
        <v>4228264</v>
      </c>
      <c r="AI225" s="48"/>
      <c r="AJ225" s="48">
        <v>0</v>
      </c>
      <c r="AK225" s="48"/>
      <c r="AL225" s="45">
        <v>0</v>
      </c>
      <c r="AM225" s="45"/>
      <c r="AN225" s="45">
        <v>471635</v>
      </c>
      <c r="AO225" s="45"/>
      <c r="AP225" s="45">
        <v>0</v>
      </c>
      <c r="AQ225" s="45"/>
      <c r="AR225" s="45">
        <f>+'GVFund Rev'!U225+'GVFund Rev'!W225-'GVFund Exp'!AH225-'GVFund Exp'!AL225+AJ225+AN225+AP225-'GV Fund BS'!S225</f>
        <v>0</v>
      </c>
      <c r="AS225" s="48"/>
    </row>
    <row r="226" spans="1:46" s="44" customFormat="1" ht="12.75" customHeight="1">
      <c r="A226" s="35" t="s">
        <v>255</v>
      </c>
      <c r="C226" s="35" t="s">
        <v>27</v>
      </c>
      <c r="E226" s="45">
        <v>1492940</v>
      </c>
      <c r="F226" s="48"/>
      <c r="G226" s="45">
        <v>7635129</v>
      </c>
      <c r="H226" s="48"/>
      <c r="I226" s="45">
        <v>4728751</v>
      </c>
      <c r="J226" s="48"/>
      <c r="K226" s="45">
        <v>50926</v>
      </c>
      <c r="L226" s="48"/>
      <c r="M226" s="45">
        <v>1551348</v>
      </c>
      <c r="N226" s="48"/>
      <c r="O226" s="45">
        <v>439679</v>
      </c>
      <c r="P226" s="48"/>
      <c r="Q226" s="45">
        <v>1566794</v>
      </c>
      <c r="R226" s="48"/>
      <c r="S226" s="45">
        <v>837777</v>
      </c>
      <c r="T226" s="48"/>
      <c r="U226" s="45">
        <v>0</v>
      </c>
      <c r="V226" s="48"/>
      <c r="W226" s="48"/>
      <c r="X226" s="35"/>
      <c r="Z226" s="35"/>
      <c r="AA226" s="35"/>
      <c r="AB226" s="45">
        <v>2989222</v>
      </c>
      <c r="AC226" s="65"/>
      <c r="AD226" s="45">
        <v>216327</v>
      </c>
      <c r="AE226" s="65"/>
      <c r="AF226" s="45"/>
      <c r="AG226" s="65"/>
      <c r="AH226" s="48">
        <f t="shared" si="7"/>
        <v>21508893</v>
      </c>
      <c r="AI226" s="48"/>
      <c r="AJ226" s="48">
        <v>0</v>
      </c>
      <c r="AK226" s="48"/>
      <c r="AL226" s="45">
        <v>0</v>
      </c>
      <c r="AM226" s="45"/>
      <c r="AN226" s="45">
        <v>1294461</v>
      </c>
      <c r="AO226" s="45"/>
      <c r="AP226" s="45">
        <v>11840</v>
      </c>
      <c r="AQ226" s="45"/>
      <c r="AR226" s="45">
        <f>+'GVFund Rev'!U226+'GVFund Rev'!W226-'GVFund Exp'!AH226-'GVFund Exp'!AL226+AJ226+AN226+AP226-'GV Fund BS'!S226</f>
        <v>0</v>
      </c>
      <c r="AS226" s="173"/>
      <c r="AT226" s="173"/>
    </row>
    <row r="227" spans="1:46" s="44" customFormat="1" ht="12.75" customHeight="1">
      <c r="A227" s="35" t="s">
        <v>256</v>
      </c>
      <c r="C227" s="35" t="s">
        <v>43</v>
      </c>
      <c r="E227" s="45">
        <v>6908706</v>
      </c>
      <c r="F227" s="48"/>
      <c r="G227" s="45">
        <v>14677347</v>
      </c>
      <c r="H227" s="48"/>
      <c r="I227" s="45">
        <v>935594</v>
      </c>
      <c r="J227" s="48"/>
      <c r="K227" s="45">
        <v>3875689</v>
      </c>
      <c r="L227" s="48"/>
      <c r="M227" s="45">
        <v>0</v>
      </c>
      <c r="N227" s="48"/>
      <c r="O227" s="45">
        <v>3025197</v>
      </c>
      <c r="P227" s="48"/>
      <c r="Q227" s="45">
        <v>0</v>
      </c>
      <c r="R227" s="48"/>
      <c r="S227" s="45">
        <v>6685785</v>
      </c>
      <c r="T227" s="48"/>
      <c r="U227" s="45">
        <v>0</v>
      </c>
      <c r="V227" s="48"/>
      <c r="W227" s="48"/>
      <c r="X227" s="35"/>
      <c r="Z227" s="35"/>
      <c r="AA227" s="35"/>
      <c r="AB227" s="45">
        <v>1194551</v>
      </c>
      <c r="AC227" s="65"/>
      <c r="AD227" s="45">
        <v>971924</v>
      </c>
      <c r="AE227" s="65"/>
      <c r="AF227" s="45">
        <v>0</v>
      </c>
      <c r="AG227" s="65"/>
      <c r="AH227" s="48">
        <f>SUM(E227:AF227)</f>
        <v>38274793</v>
      </c>
      <c r="AI227" s="48"/>
      <c r="AJ227" s="48">
        <v>0</v>
      </c>
      <c r="AK227" s="48"/>
      <c r="AL227" s="45">
        <v>0</v>
      </c>
      <c r="AM227" s="45"/>
      <c r="AN227" s="45">
        <v>43595058</v>
      </c>
      <c r="AO227" s="45"/>
      <c r="AP227" s="45">
        <v>0</v>
      </c>
      <c r="AQ227" s="45"/>
      <c r="AR227" s="45">
        <f>+'GVFund Rev'!U227+'GVFund Rev'!W227-'GVFund Exp'!AH227-'GVFund Exp'!AL227+AJ227+AN227+AP227-'GV Fund BS'!S227</f>
        <v>0</v>
      </c>
      <c r="AS227" s="48"/>
    </row>
    <row r="228" spans="1:46" s="44" customFormat="1" ht="11.25" customHeight="1">
      <c r="A228" s="35" t="s">
        <v>257</v>
      </c>
      <c r="C228" s="35" t="s">
        <v>258</v>
      </c>
      <c r="E228" s="45">
        <v>1343578</v>
      </c>
      <c r="F228" s="48"/>
      <c r="G228" s="45">
        <v>1663564</v>
      </c>
      <c r="H228" s="48"/>
      <c r="I228" s="45">
        <v>203096</v>
      </c>
      <c r="J228" s="48"/>
      <c r="K228" s="45">
        <v>44579</v>
      </c>
      <c r="L228" s="48"/>
      <c r="M228" s="45">
        <v>512968</v>
      </c>
      <c r="N228" s="48"/>
      <c r="O228" s="45">
        <v>558999</v>
      </c>
      <c r="P228" s="48"/>
      <c r="Q228" s="45">
        <v>2748</v>
      </c>
      <c r="R228" s="48"/>
      <c r="S228" s="45">
        <v>0</v>
      </c>
      <c r="T228" s="48"/>
      <c r="U228" s="45">
        <v>0</v>
      </c>
      <c r="V228" s="48"/>
      <c r="W228" s="48"/>
      <c r="X228" s="35"/>
      <c r="Z228" s="35"/>
      <c r="AA228" s="35"/>
      <c r="AB228" s="45">
        <v>428401</v>
      </c>
      <c r="AC228" s="65"/>
      <c r="AD228" s="45">
        <v>302444</v>
      </c>
      <c r="AE228" s="65"/>
      <c r="AF228" s="45">
        <v>0</v>
      </c>
      <c r="AG228" s="65"/>
      <c r="AH228" s="48">
        <f>SUM(E228:AF228)</f>
        <v>5060377</v>
      </c>
      <c r="AI228" s="48"/>
      <c r="AJ228" s="48">
        <v>0</v>
      </c>
      <c r="AK228" s="48"/>
      <c r="AL228" s="45">
        <v>0</v>
      </c>
      <c r="AM228" s="45"/>
      <c r="AN228" s="45">
        <v>1981041</v>
      </c>
      <c r="AO228" s="45"/>
      <c r="AP228" s="45">
        <v>5292</v>
      </c>
      <c r="AQ228" s="45"/>
      <c r="AR228" s="45">
        <f>+'GVFund Rev'!U228+'GVFund Rev'!W228-'GVFund Exp'!AH228-'GVFund Exp'!AL228+AJ228+AN228+AP228-'GV Fund BS'!S228</f>
        <v>0</v>
      </c>
      <c r="AS228" s="48"/>
    </row>
    <row r="229" spans="1:46" s="44" customFormat="1" ht="12.75" customHeight="1">
      <c r="A229" s="35" t="s">
        <v>259</v>
      </c>
      <c r="C229" s="35" t="s">
        <v>346</v>
      </c>
      <c r="E229" s="45">
        <v>1690198</v>
      </c>
      <c r="F229" s="48"/>
      <c r="G229" s="45">
        <v>4696769</v>
      </c>
      <c r="H229" s="48"/>
      <c r="I229" s="45">
        <v>307184</v>
      </c>
      <c r="J229" s="48"/>
      <c r="K229" s="45">
        <v>224177</v>
      </c>
      <c r="L229" s="48"/>
      <c r="M229" s="45">
        <v>949454</v>
      </c>
      <c r="N229" s="48"/>
      <c r="O229" s="45">
        <v>351727</v>
      </c>
      <c r="P229" s="48"/>
      <c r="Q229" s="45">
        <v>2889</v>
      </c>
      <c r="R229" s="48"/>
      <c r="S229" s="45">
        <v>1561361</v>
      </c>
      <c r="T229" s="48"/>
      <c r="U229" s="45">
        <v>0</v>
      </c>
      <c r="V229" s="48"/>
      <c r="W229" s="48"/>
      <c r="X229" s="35"/>
      <c r="Z229" s="35"/>
      <c r="AA229" s="35"/>
      <c r="AB229" s="45">
        <v>485260</v>
      </c>
      <c r="AC229" s="65"/>
      <c r="AD229" s="45">
        <v>163879</v>
      </c>
      <c r="AE229" s="65"/>
      <c r="AF229" s="45">
        <v>0</v>
      </c>
      <c r="AG229" s="65"/>
      <c r="AH229" s="48">
        <f t="shared" si="7"/>
        <v>10432898</v>
      </c>
      <c r="AI229" s="48"/>
      <c r="AJ229" s="48">
        <v>0</v>
      </c>
      <c r="AK229" s="48"/>
      <c r="AL229" s="45">
        <v>93989</v>
      </c>
      <c r="AM229" s="45"/>
      <c r="AN229" s="45">
        <v>4707198</v>
      </c>
      <c r="AO229" s="45"/>
      <c r="AP229" s="45">
        <v>0</v>
      </c>
      <c r="AQ229" s="45"/>
      <c r="AR229" s="45">
        <f>+'GVFund Rev'!U229+'GVFund Rev'!W229-'GVFund Exp'!AH229-'GVFund Exp'!AL229+AJ229+AN229+AP229-'GV Fund BS'!S229</f>
        <v>0</v>
      </c>
      <c r="AS229" s="48"/>
    </row>
    <row r="230" spans="1:46" s="44" customFormat="1" ht="12.75" customHeight="1">
      <c r="A230" s="35" t="s">
        <v>261</v>
      </c>
      <c r="C230" s="35" t="s">
        <v>66</v>
      </c>
      <c r="E230" s="45">
        <v>5679146</v>
      </c>
      <c r="F230" s="48"/>
      <c r="G230" s="45">
        <v>5643811</v>
      </c>
      <c r="H230" s="48"/>
      <c r="I230" s="45">
        <v>0</v>
      </c>
      <c r="J230" s="48"/>
      <c r="K230" s="45">
        <v>0</v>
      </c>
      <c r="L230" s="48"/>
      <c r="M230" s="45">
        <v>3343736</v>
      </c>
      <c r="N230" s="48"/>
      <c r="O230" s="45">
        <v>3158080</v>
      </c>
      <c r="P230" s="48"/>
      <c r="Q230" s="45">
        <v>0</v>
      </c>
      <c r="R230" s="48"/>
      <c r="S230" s="45">
        <v>4861768</v>
      </c>
      <c r="T230" s="48"/>
      <c r="U230" s="45">
        <v>0</v>
      </c>
      <c r="V230" s="48"/>
      <c r="W230" s="48"/>
      <c r="X230" s="35"/>
      <c r="Z230" s="35"/>
      <c r="AA230" s="35"/>
      <c r="AB230" s="45">
        <v>619479</v>
      </c>
      <c r="AC230" s="65"/>
      <c r="AD230" s="45">
        <v>605128</v>
      </c>
      <c r="AE230" s="65"/>
      <c r="AF230" s="45">
        <v>0</v>
      </c>
      <c r="AG230" s="65"/>
      <c r="AH230" s="48">
        <f t="shared" si="7"/>
        <v>23911148</v>
      </c>
      <c r="AI230" s="48"/>
      <c r="AJ230" s="48">
        <v>0</v>
      </c>
      <c r="AK230" s="48"/>
      <c r="AL230" s="45">
        <v>490505</v>
      </c>
      <c r="AM230" s="45"/>
      <c r="AN230" s="45">
        <v>23400601</v>
      </c>
      <c r="AO230" s="45"/>
      <c r="AP230" s="45">
        <v>0</v>
      </c>
      <c r="AQ230" s="45"/>
      <c r="AR230" s="45">
        <f>+'GVFund Rev'!U230+'GVFund Rev'!W230-'GVFund Exp'!AH230-'GVFund Exp'!AL230+AJ230+AN230+AP230-'GV Fund BS'!S230</f>
        <v>0</v>
      </c>
      <c r="AS230" s="48"/>
    </row>
    <row r="231" spans="1:46" s="44" customFormat="1" ht="12.75" customHeight="1">
      <c r="A231" s="35" t="s">
        <v>262</v>
      </c>
      <c r="C231" s="35" t="s">
        <v>132</v>
      </c>
      <c r="E231" s="45">
        <v>1911707</v>
      </c>
      <c r="F231" s="48"/>
      <c r="G231" s="45">
        <v>2593349</v>
      </c>
      <c r="H231" s="48"/>
      <c r="I231" s="45">
        <v>320655</v>
      </c>
      <c r="J231" s="48"/>
      <c r="K231" s="45">
        <v>114659</v>
      </c>
      <c r="L231" s="48"/>
      <c r="M231" s="45">
        <v>1007545</v>
      </c>
      <c r="N231" s="48"/>
      <c r="O231" s="45">
        <v>201612</v>
      </c>
      <c r="P231" s="48"/>
      <c r="Q231" s="45"/>
      <c r="R231" s="48"/>
      <c r="S231" s="45">
        <v>1028037</v>
      </c>
      <c r="T231" s="48"/>
      <c r="U231" s="45">
        <v>0</v>
      </c>
      <c r="V231" s="48"/>
      <c r="W231" s="48"/>
      <c r="X231" s="35"/>
      <c r="Z231" s="35"/>
      <c r="AA231" s="35"/>
      <c r="AB231" s="45">
        <v>494000</v>
      </c>
      <c r="AC231" s="65"/>
      <c r="AD231" s="45">
        <v>180356</v>
      </c>
      <c r="AE231" s="65"/>
      <c r="AF231" s="45">
        <v>1093610</v>
      </c>
      <c r="AG231" s="65"/>
      <c r="AH231" s="48">
        <f t="shared" si="7"/>
        <v>8945530</v>
      </c>
      <c r="AI231" s="48"/>
      <c r="AJ231" s="48">
        <v>0</v>
      </c>
      <c r="AK231" s="48"/>
      <c r="AL231" s="45">
        <v>721354</v>
      </c>
      <c r="AM231" s="45"/>
      <c r="AN231" s="45">
        <v>3642127</v>
      </c>
      <c r="AO231" s="45"/>
      <c r="AP231" s="45">
        <v>0</v>
      </c>
      <c r="AQ231" s="45"/>
      <c r="AR231" s="45">
        <f>+'GVFund Rev'!U231+'GVFund Rev'!W231-'GVFund Exp'!AH231-'GVFund Exp'!AL231+AJ231+AN231+AP231-'GV Fund BS'!S231</f>
        <v>0</v>
      </c>
      <c r="AS231" s="48"/>
    </row>
    <row r="232" spans="1:46" s="44" customFormat="1" ht="12.75" customHeight="1">
      <c r="A232" s="35" t="s">
        <v>263</v>
      </c>
      <c r="C232" s="35" t="s">
        <v>53</v>
      </c>
      <c r="E232" s="45">
        <v>5523566</v>
      </c>
      <c r="F232" s="48"/>
      <c r="G232" s="45">
        <v>5274973</v>
      </c>
      <c r="H232" s="48"/>
      <c r="I232" s="45">
        <v>625538</v>
      </c>
      <c r="J232" s="48"/>
      <c r="K232" s="45">
        <v>110122</v>
      </c>
      <c r="L232" s="48"/>
      <c r="M232" s="45">
        <v>2005132</v>
      </c>
      <c r="N232" s="48"/>
      <c r="O232" s="45">
        <v>2087317</v>
      </c>
      <c r="P232" s="48"/>
      <c r="Q232" s="45">
        <v>19281</v>
      </c>
      <c r="R232" s="48"/>
      <c r="S232" s="45">
        <v>2949313</v>
      </c>
      <c r="T232" s="48"/>
      <c r="U232" s="45">
        <v>204548</v>
      </c>
      <c r="V232" s="48"/>
      <c r="W232" s="48"/>
      <c r="X232" s="35"/>
      <c r="Z232" s="35"/>
      <c r="AA232" s="35"/>
      <c r="AB232" s="45">
        <v>336905</v>
      </c>
      <c r="AC232" s="65"/>
      <c r="AD232" s="45">
        <v>169363</v>
      </c>
      <c r="AE232" s="65"/>
      <c r="AF232" s="45">
        <v>0</v>
      </c>
      <c r="AG232" s="65"/>
      <c r="AH232" s="48">
        <f t="shared" ref="AH232:AH255" si="8">SUM(E232:AF232)</f>
        <v>19306058</v>
      </c>
      <c r="AI232" s="48"/>
      <c r="AJ232" s="48">
        <v>0</v>
      </c>
      <c r="AK232" s="48"/>
      <c r="AL232" s="45">
        <v>0</v>
      </c>
      <c r="AM232" s="45"/>
      <c r="AN232" s="45">
        <v>14202025</v>
      </c>
      <c r="AO232" s="45"/>
      <c r="AP232" s="45">
        <v>0</v>
      </c>
      <c r="AQ232" s="45"/>
      <c r="AR232" s="45">
        <f>+'GVFund Rev'!U232+'GVFund Rev'!W232-'GVFund Exp'!AH232-'GVFund Exp'!AL232+AJ232+AN232+AP232-'GV Fund BS'!S232</f>
        <v>0</v>
      </c>
      <c r="AS232" s="48"/>
    </row>
    <row r="233" spans="1:46" s="44" customFormat="1" ht="12.75" customHeight="1">
      <c r="A233" s="35" t="s">
        <v>264</v>
      </c>
      <c r="C233" s="35" t="s">
        <v>239</v>
      </c>
      <c r="E233" s="45">
        <v>1129757</v>
      </c>
      <c r="F233" s="48"/>
      <c r="G233" s="45">
        <v>2446860</v>
      </c>
      <c r="H233" s="48"/>
      <c r="I233" s="45">
        <v>75643</v>
      </c>
      <c r="J233" s="48"/>
      <c r="K233" s="45">
        <v>218356</v>
      </c>
      <c r="L233" s="48"/>
      <c r="M233" s="45">
        <v>1128899</v>
      </c>
      <c r="N233" s="48"/>
      <c r="O233" s="45">
        <v>283512</v>
      </c>
      <c r="P233" s="48"/>
      <c r="Q233" s="45">
        <v>0</v>
      </c>
      <c r="R233" s="48"/>
      <c r="S233" s="45">
        <v>0</v>
      </c>
      <c r="T233" s="48"/>
      <c r="U233" s="45">
        <v>0</v>
      </c>
      <c r="V233" s="48"/>
      <c r="W233" s="48"/>
      <c r="X233" s="35"/>
      <c r="Z233" s="35"/>
      <c r="AA233" s="35"/>
      <c r="AB233" s="45">
        <v>454074</v>
      </c>
      <c r="AC233" s="65"/>
      <c r="AD233" s="45">
        <v>73146</v>
      </c>
      <c r="AE233" s="65"/>
      <c r="AF233" s="45">
        <v>0</v>
      </c>
      <c r="AG233" s="65"/>
      <c r="AH233" s="48">
        <f t="shared" si="8"/>
        <v>5810247</v>
      </c>
      <c r="AI233" s="48"/>
      <c r="AJ233" s="48">
        <v>0</v>
      </c>
      <c r="AK233" s="48"/>
      <c r="AL233" s="45">
        <v>514219</v>
      </c>
      <c r="AM233" s="45"/>
      <c r="AN233" s="45">
        <v>6417339</v>
      </c>
      <c r="AO233" s="45"/>
      <c r="AP233" s="45">
        <v>0</v>
      </c>
      <c r="AQ233" s="45"/>
      <c r="AR233" s="45">
        <f>+'GVFund Rev'!U233+'GVFund Rev'!W233-'GVFund Exp'!AH233-'GVFund Exp'!AL233+AJ233+AN233+AP233-'GV Fund BS'!S233</f>
        <v>0</v>
      </c>
      <c r="AS233" s="48"/>
    </row>
    <row r="234" spans="1:46" s="44" customFormat="1" ht="12.75" customHeight="1">
      <c r="A234" s="35" t="s">
        <v>111</v>
      </c>
      <c r="C234" s="44" t="s">
        <v>80</v>
      </c>
      <c r="E234" s="45">
        <v>8190628</v>
      </c>
      <c r="F234" s="48"/>
      <c r="G234" s="45">
        <v>17671898</v>
      </c>
      <c r="H234" s="48"/>
      <c r="I234" s="45">
        <v>1946116</v>
      </c>
      <c r="J234" s="48"/>
      <c r="K234" s="45">
        <v>492168</v>
      </c>
      <c r="L234" s="48"/>
      <c r="M234" s="45">
        <v>2328166</v>
      </c>
      <c r="N234" s="48"/>
      <c r="O234" s="45">
        <v>876264</v>
      </c>
      <c r="P234" s="48"/>
      <c r="Q234" s="45">
        <v>2083320</v>
      </c>
      <c r="R234" s="48"/>
      <c r="S234" s="45">
        <v>1833099</v>
      </c>
      <c r="T234" s="48"/>
      <c r="U234" s="45">
        <v>0</v>
      </c>
      <c r="V234" s="48"/>
      <c r="W234" s="48"/>
      <c r="X234" s="35"/>
      <c r="Z234" s="35"/>
      <c r="AA234" s="35"/>
      <c r="AB234" s="45">
        <v>2025221</v>
      </c>
      <c r="AC234" s="65"/>
      <c r="AD234" s="45">
        <v>580065</v>
      </c>
      <c r="AE234" s="65"/>
      <c r="AF234" s="45">
        <v>0</v>
      </c>
      <c r="AG234" s="65"/>
      <c r="AH234" s="48">
        <f>SUM(E234:AF234)</f>
        <v>38026945</v>
      </c>
      <c r="AI234" s="48"/>
      <c r="AJ234" s="48">
        <v>0</v>
      </c>
      <c r="AK234" s="48"/>
      <c r="AL234" s="45">
        <v>255816</v>
      </c>
      <c r="AM234" s="45"/>
      <c r="AN234" s="45">
        <v>17338577</v>
      </c>
      <c r="AO234" s="45"/>
      <c r="AP234" s="45">
        <v>0</v>
      </c>
      <c r="AQ234" s="45"/>
      <c r="AR234" s="45">
        <f>+'GVFund Rev'!U234+'GVFund Rev'!W234-'GVFund Exp'!AH234-'GVFund Exp'!AL234+AJ234+AN234+AP234-'GV Fund BS'!S234</f>
        <v>0</v>
      </c>
      <c r="AS234" s="48"/>
    </row>
    <row r="235" spans="1:46" s="44" customFormat="1" ht="12.75" customHeight="1">
      <c r="A235" s="35" t="s">
        <v>265</v>
      </c>
      <c r="C235" s="44" t="s">
        <v>27</v>
      </c>
      <c r="E235" s="45">
        <v>2618484</v>
      </c>
      <c r="F235" s="48"/>
      <c r="G235" s="45">
        <v>8009319</v>
      </c>
      <c r="H235" s="48"/>
      <c r="I235" s="45">
        <v>918719</v>
      </c>
      <c r="J235" s="48"/>
      <c r="K235" s="45">
        <v>50615</v>
      </c>
      <c r="L235" s="48"/>
      <c r="M235" s="45">
        <v>1812967</v>
      </c>
      <c r="N235" s="48"/>
      <c r="O235" s="45">
        <v>261904</v>
      </c>
      <c r="P235" s="48"/>
      <c r="Q235" s="45">
        <v>1144734</v>
      </c>
      <c r="R235" s="48"/>
      <c r="S235" s="45">
        <v>2404728</v>
      </c>
      <c r="T235" s="48"/>
      <c r="U235" s="45">
        <v>0</v>
      </c>
      <c r="V235" s="48"/>
      <c r="W235" s="48"/>
      <c r="X235" s="35"/>
      <c r="Z235" s="35"/>
      <c r="AA235" s="35"/>
      <c r="AB235" s="45">
        <v>970136</v>
      </c>
      <c r="AC235" s="65"/>
      <c r="AD235" s="45">
        <v>598501</v>
      </c>
      <c r="AE235" s="65"/>
      <c r="AF235" s="45">
        <v>0</v>
      </c>
      <c r="AG235" s="65"/>
      <c r="AH235" s="48">
        <f t="shared" si="8"/>
        <v>18790107</v>
      </c>
      <c r="AI235" s="48"/>
      <c r="AJ235" s="48">
        <v>0</v>
      </c>
      <c r="AK235" s="48"/>
      <c r="AL235" s="45">
        <v>0</v>
      </c>
      <c r="AM235" s="45"/>
      <c r="AN235" s="45">
        <v>4192167</v>
      </c>
      <c r="AO235" s="45"/>
      <c r="AP235" s="45">
        <v>0</v>
      </c>
      <c r="AQ235" s="45"/>
      <c r="AR235" s="45">
        <f>+'GVFund Rev'!U235+'GVFund Rev'!W235-'GVFund Exp'!AH235-'GVFund Exp'!AL235+AJ235+AN235+AP235-'GV Fund BS'!S235</f>
        <v>0</v>
      </c>
      <c r="AS235" s="48"/>
    </row>
    <row r="236" spans="1:46" s="44" customFormat="1" ht="12.75" customHeight="1">
      <c r="A236" s="35" t="s">
        <v>40</v>
      </c>
      <c r="C236" s="47" t="s">
        <v>452</v>
      </c>
      <c r="E236" s="45">
        <v>2744185</v>
      </c>
      <c r="F236" s="48"/>
      <c r="G236" s="45">
        <v>3806013</v>
      </c>
      <c r="H236" s="48"/>
      <c r="I236" s="45">
        <v>1532185</v>
      </c>
      <c r="J236" s="48"/>
      <c r="K236" s="45">
        <v>318622</v>
      </c>
      <c r="L236" s="48"/>
      <c r="M236" s="45">
        <v>1068668</v>
      </c>
      <c r="N236" s="48"/>
      <c r="O236" s="45">
        <v>61137</v>
      </c>
      <c r="P236" s="48"/>
      <c r="Q236" s="45">
        <v>0</v>
      </c>
      <c r="R236" s="48"/>
      <c r="S236" s="45">
        <v>1240053</v>
      </c>
      <c r="T236" s="48"/>
      <c r="U236" s="45">
        <v>0</v>
      </c>
      <c r="V236" s="48"/>
      <c r="W236" s="48"/>
      <c r="X236" s="35"/>
      <c r="Z236" s="35"/>
      <c r="AA236" s="35"/>
      <c r="AB236" s="45">
        <v>2271000</v>
      </c>
      <c r="AC236" s="65"/>
      <c r="AD236" s="45">
        <v>254245</v>
      </c>
      <c r="AE236" s="65"/>
      <c r="AF236" s="45">
        <v>223762</v>
      </c>
      <c r="AG236" s="65"/>
      <c r="AH236" s="48">
        <f t="shared" si="8"/>
        <v>13519870</v>
      </c>
      <c r="AI236" s="48"/>
      <c r="AJ236" s="48">
        <v>0</v>
      </c>
      <c r="AK236" s="48"/>
      <c r="AL236" s="45">
        <v>0</v>
      </c>
      <c r="AM236" s="45"/>
      <c r="AN236" s="45">
        <v>842898</v>
      </c>
      <c r="AO236" s="45"/>
      <c r="AP236" s="45">
        <v>0</v>
      </c>
      <c r="AQ236" s="45"/>
      <c r="AR236" s="45">
        <f>+'GVFund Rev'!U236+'GVFund Rev'!W236-'GVFund Exp'!AH236-'GVFund Exp'!AL236+AJ236+AN236+AP236-'GV Fund BS'!S236</f>
        <v>0</v>
      </c>
      <c r="AS236" s="48"/>
    </row>
    <row r="237" spans="1:46" s="44" customFormat="1" ht="12.75" customHeight="1">
      <c r="A237" s="64" t="s">
        <v>266</v>
      </c>
      <c r="B237" s="46"/>
      <c r="C237" s="64" t="s">
        <v>267</v>
      </c>
      <c r="D237" s="46"/>
      <c r="E237" s="45">
        <v>627828</v>
      </c>
      <c r="F237" s="48"/>
      <c r="G237" s="45">
        <v>2004565</v>
      </c>
      <c r="H237" s="48"/>
      <c r="I237" s="45">
        <v>326824</v>
      </c>
      <c r="J237" s="48"/>
      <c r="K237" s="45">
        <v>0</v>
      </c>
      <c r="L237" s="48"/>
      <c r="M237" s="45">
        <v>577461</v>
      </c>
      <c r="N237" s="48"/>
      <c r="O237" s="45">
        <v>612181</v>
      </c>
      <c r="P237" s="48"/>
      <c r="Q237" s="45">
        <v>50647</v>
      </c>
      <c r="R237" s="48"/>
      <c r="S237" s="45">
        <v>649375</v>
      </c>
      <c r="T237" s="48"/>
      <c r="U237" s="45">
        <v>0</v>
      </c>
      <c r="V237" s="48"/>
      <c r="W237" s="48"/>
      <c r="X237" s="35"/>
      <c r="Z237" s="35"/>
      <c r="AA237" s="35"/>
      <c r="AB237" s="45">
        <v>300000</v>
      </c>
      <c r="AC237" s="65"/>
      <c r="AD237" s="45">
        <v>165486</v>
      </c>
      <c r="AE237" s="65"/>
      <c r="AF237" s="45">
        <v>0</v>
      </c>
      <c r="AG237" s="65"/>
      <c r="AH237" s="48">
        <f t="shared" si="8"/>
        <v>5314367</v>
      </c>
      <c r="AI237" s="48"/>
      <c r="AJ237" s="48">
        <v>0</v>
      </c>
      <c r="AK237" s="48"/>
      <c r="AL237" s="45">
        <v>0</v>
      </c>
      <c r="AM237" s="45"/>
      <c r="AN237" s="45">
        <v>4982724</v>
      </c>
      <c r="AO237" s="45"/>
      <c r="AP237" s="45">
        <v>6971</v>
      </c>
      <c r="AQ237" s="45"/>
      <c r="AR237" s="45">
        <f>+'GVFund Rev'!U237+'GVFund Rev'!W237-'GVFund Exp'!AH237-'GVFund Exp'!AL237+AJ237+AN237+AP237-'GV Fund BS'!S237</f>
        <v>0</v>
      </c>
      <c r="AS237" s="48"/>
    </row>
    <row r="238" spans="1:46" s="46" customFormat="1" ht="12.75" customHeight="1">
      <c r="A238" s="35" t="s">
        <v>268</v>
      </c>
      <c r="B238" s="44"/>
      <c r="C238" s="35" t="s">
        <v>269</v>
      </c>
      <c r="D238" s="44"/>
      <c r="E238" s="45">
        <v>993276</v>
      </c>
      <c r="F238" s="48"/>
      <c r="G238" s="45">
        <v>1413342</v>
      </c>
      <c r="H238" s="48"/>
      <c r="I238" s="45">
        <v>784</v>
      </c>
      <c r="J238" s="48"/>
      <c r="K238" s="45">
        <v>1470</v>
      </c>
      <c r="L238" s="48"/>
      <c r="M238" s="45">
        <v>582495</v>
      </c>
      <c r="N238" s="48"/>
      <c r="O238" s="45">
        <v>0</v>
      </c>
      <c r="P238" s="48"/>
      <c r="Q238" s="45">
        <v>0</v>
      </c>
      <c r="R238" s="48"/>
      <c r="S238" s="45">
        <v>281515</v>
      </c>
      <c r="T238" s="48"/>
      <c r="U238" s="45">
        <v>0</v>
      </c>
      <c r="V238" s="48"/>
      <c r="W238" s="48"/>
      <c r="X238" s="35"/>
      <c r="Y238" s="44"/>
      <c r="Z238" s="35"/>
      <c r="AA238" s="35"/>
      <c r="AB238" s="45">
        <v>1220296</v>
      </c>
      <c r="AC238" s="65"/>
      <c r="AD238" s="45">
        <v>33144</v>
      </c>
      <c r="AE238" s="65"/>
      <c r="AF238" s="45">
        <v>0</v>
      </c>
      <c r="AG238" s="65"/>
      <c r="AH238" s="48">
        <f t="shared" si="8"/>
        <v>4526322</v>
      </c>
      <c r="AI238" s="48"/>
      <c r="AJ238" s="48">
        <v>0</v>
      </c>
      <c r="AK238" s="48"/>
      <c r="AL238" s="45">
        <v>0</v>
      </c>
      <c r="AM238" s="45"/>
      <c r="AN238" s="45">
        <v>1298752</v>
      </c>
      <c r="AO238" s="45"/>
      <c r="AP238" s="45">
        <v>0</v>
      </c>
      <c r="AQ238" s="45"/>
      <c r="AR238" s="45">
        <f>+'GVFund Rev'!U238+'GVFund Rev'!W238-'GVFund Exp'!AH238-'GVFund Exp'!AL238+AJ238+AN238+AP238-'GV Fund BS'!S238</f>
        <v>0</v>
      </c>
      <c r="AS238" s="48"/>
    </row>
    <row r="239" spans="1:46" s="44" customFormat="1" ht="12.75" customHeight="1">
      <c r="A239" s="35" t="s">
        <v>270</v>
      </c>
      <c r="C239" s="35" t="s">
        <v>136</v>
      </c>
      <c r="E239" s="45">
        <v>727597</v>
      </c>
      <c r="F239" s="48"/>
      <c r="G239" s="45">
        <v>1536836</v>
      </c>
      <c r="H239" s="48"/>
      <c r="I239" s="45">
        <v>633425</v>
      </c>
      <c r="J239" s="48"/>
      <c r="K239" s="45">
        <v>186721</v>
      </c>
      <c r="L239" s="48"/>
      <c r="M239" s="45">
        <v>353524</v>
      </c>
      <c r="N239" s="48"/>
      <c r="O239" s="45">
        <v>90281</v>
      </c>
      <c r="P239" s="48"/>
      <c r="Q239" s="45">
        <v>0</v>
      </c>
      <c r="R239" s="48"/>
      <c r="S239" s="45">
        <v>800</v>
      </c>
      <c r="T239" s="48"/>
      <c r="U239" s="45">
        <v>0</v>
      </c>
      <c r="V239" s="48"/>
      <c r="W239" s="48"/>
      <c r="X239" s="35"/>
      <c r="Z239" s="35"/>
      <c r="AA239" s="35"/>
      <c r="AB239" s="45">
        <v>85961</v>
      </c>
      <c r="AC239" s="65"/>
      <c r="AD239" s="45">
        <v>20376</v>
      </c>
      <c r="AE239" s="65"/>
      <c r="AF239" s="45">
        <v>0</v>
      </c>
      <c r="AG239" s="65"/>
      <c r="AH239" s="48">
        <f>SUM(E239:AF239)</f>
        <v>3635521</v>
      </c>
      <c r="AI239" s="48"/>
      <c r="AJ239" s="48">
        <v>0</v>
      </c>
      <c r="AK239" s="48"/>
      <c r="AL239" s="45">
        <v>0</v>
      </c>
      <c r="AM239" s="45"/>
      <c r="AN239" s="45">
        <v>3866264</v>
      </c>
      <c r="AO239" s="45"/>
      <c r="AP239" s="45">
        <v>0</v>
      </c>
      <c r="AQ239" s="45"/>
      <c r="AR239" s="45">
        <f>+'GVFund Rev'!U239+'GVFund Rev'!W239-'GVFund Exp'!AH239-'GVFund Exp'!AL239+AJ239+AN239+AP239-'GV Fund BS'!S239</f>
        <v>0</v>
      </c>
      <c r="AS239" s="48"/>
    </row>
    <row r="240" spans="1:46" s="44" customFormat="1" ht="12.75" customHeight="1">
      <c r="A240" s="64" t="s">
        <v>271</v>
      </c>
      <c r="B240" s="46"/>
      <c r="C240" s="64" t="s">
        <v>66</v>
      </c>
      <c r="D240" s="46"/>
      <c r="E240" s="45">
        <v>1453258</v>
      </c>
      <c r="F240" s="48"/>
      <c r="G240" s="45">
        <v>4921068</v>
      </c>
      <c r="H240" s="48"/>
      <c r="I240" s="45">
        <v>1895425</v>
      </c>
      <c r="J240" s="48"/>
      <c r="K240" s="45">
        <v>0</v>
      </c>
      <c r="L240" s="48"/>
      <c r="M240" s="45">
        <v>682155</v>
      </c>
      <c r="N240" s="48"/>
      <c r="O240" s="45">
        <v>860147</v>
      </c>
      <c r="P240" s="48"/>
      <c r="Q240" s="45">
        <v>0</v>
      </c>
      <c r="R240" s="48"/>
      <c r="S240" s="45">
        <v>902445</v>
      </c>
      <c r="T240" s="48"/>
      <c r="U240" s="45">
        <v>0</v>
      </c>
      <c r="V240" s="48"/>
      <c r="W240" s="48"/>
      <c r="X240" s="35"/>
      <c r="Z240" s="35"/>
      <c r="AA240" s="35"/>
      <c r="AB240" s="45">
        <v>299000</v>
      </c>
      <c r="AC240" s="65"/>
      <c r="AD240" s="45">
        <v>186052</v>
      </c>
      <c r="AE240" s="65"/>
      <c r="AF240" s="45">
        <v>0</v>
      </c>
      <c r="AG240" s="65"/>
      <c r="AH240" s="48">
        <f t="shared" si="8"/>
        <v>11199550</v>
      </c>
      <c r="AI240" s="48"/>
      <c r="AJ240" s="48">
        <v>0</v>
      </c>
      <c r="AK240" s="48"/>
      <c r="AL240" s="45">
        <v>154843</v>
      </c>
      <c r="AM240" s="45"/>
      <c r="AN240" s="45">
        <v>5051157</v>
      </c>
      <c r="AO240" s="45"/>
      <c r="AP240" s="45">
        <v>0</v>
      </c>
      <c r="AQ240" s="45"/>
      <c r="AR240" s="45">
        <f>+'GVFund Rev'!U240+'GVFund Rev'!W240-'GVFund Exp'!AH240-'GVFund Exp'!AL240+AJ240+AN240+AP240-'GV Fund BS'!S240</f>
        <v>0</v>
      </c>
      <c r="AS240" s="48"/>
    </row>
    <row r="241" spans="1:46" s="44" customFormat="1" ht="12.75" customHeight="1">
      <c r="A241" s="35" t="s">
        <v>272</v>
      </c>
      <c r="C241" s="35" t="s">
        <v>43</v>
      </c>
      <c r="E241" s="45">
        <v>11026743</v>
      </c>
      <c r="F241" s="48"/>
      <c r="G241" s="45">
        <v>21498778</v>
      </c>
      <c r="H241" s="48"/>
      <c r="I241" s="45">
        <v>2387252</v>
      </c>
      <c r="J241" s="48"/>
      <c r="K241" s="45">
        <v>67269</v>
      </c>
      <c r="L241" s="48"/>
      <c r="M241" s="45">
        <v>2319041</v>
      </c>
      <c r="N241" s="48"/>
      <c r="O241" s="45">
        <v>7007948</v>
      </c>
      <c r="P241" s="48"/>
      <c r="Q241" s="45">
        <v>532666</v>
      </c>
      <c r="R241" s="48"/>
      <c r="S241" s="45">
        <v>4934906</v>
      </c>
      <c r="T241" s="48"/>
      <c r="U241" s="45">
        <v>0</v>
      </c>
      <c r="V241" s="48"/>
      <c r="W241" s="48"/>
      <c r="X241" s="35"/>
      <c r="Z241" s="35"/>
      <c r="AA241" s="35"/>
      <c r="AB241" s="45">
        <v>1590622</v>
      </c>
      <c r="AC241" s="65"/>
      <c r="AD241" s="45">
        <v>1227015</v>
      </c>
      <c r="AE241" s="65"/>
      <c r="AF241" s="45">
        <v>4482</v>
      </c>
      <c r="AG241" s="65"/>
      <c r="AH241" s="48">
        <f t="shared" si="8"/>
        <v>52596722</v>
      </c>
      <c r="AI241" s="48"/>
      <c r="AJ241" s="48">
        <v>0</v>
      </c>
      <c r="AK241" s="48"/>
      <c r="AL241" s="45">
        <v>0</v>
      </c>
      <c r="AM241" s="45"/>
      <c r="AN241" s="45">
        <v>41482288</v>
      </c>
      <c r="AO241" s="45"/>
      <c r="AP241" s="45">
        <v>0</v>
      </c>
      <c r="AQ241" s="45"/>
      <c r="AR241" s="45">
        <f>+'GVFund Rev'!U241+'GVFund Rev'!W241-'GVFund Exp'!AH241-'GVFund Exp'!AL241+AJ241+AN241+AP241-'GV Fund BS'!S241</f>
        <v>0</v>
      </c>
      <c r="AS241" s="48"/>
    </row>
    <row r="242" spans="1:46" s="44" customFormat="1" ht="12.75" customHeight="1">
      <c r="A242" s="35" t="s">
        <v>273</v>
      </c>
      <c r="C242" s="35" t="s">
        <v>27</v>
      </c>
      <c r="E242" s="45">
        <v>5983975</v>
      </c>
      <c r="F242" s="48"/>
      <c r="G242" s="45">
        <v>12507272</v>
      </c>
      <c r="H242" s="48"/>
      <c r="I242" s="45">
        <v>1282164</v>
      </c>
      <c r="J242" s="48"/>
      <c r="K242" s="45">
        <v>832274</v>
      </c>
      <c r="L242" s="48"/>
      <c r="M242" s="45">
        <v>6112980</v>
      </c>
      <c r="N242" s="48"/>
      <c r="O242" s="45">
        <v>3488479</v>
      </c>
      <c r="P242" s="48"/>
      <c r="Q242" s="45">
        <v>753497</v>
      </c>
      <c r="R242" s="48"/>
      <c r="S242" s="45">
        <v>8264879</v>
      </c>
      <c r="T242" s="48"/>
      <c r="U242" s="45">
        <v>0</v>
      </c>
      <c r="V242" s="48"/>
      <c r="W242" s="48"/>
      <c r="X242" s="35"/>
      <c r="Z242" s="35"/>
      <c r="AA242" s="35"/>
      <c r="AB242" s="45">
        <v>3101326</v>
      </c>
      <c r="AC242" s="65"/>
      <c r="AD242" s="45">
        <v>1355219</v>
      </c>
      <c r="AE242" s="65"/>
      <c r="AF242" s="45">
        <v>0</v>
      </c>
      <c r="AG242" s="65"/>
      <c r="AH242" s="48">
        <f t="shared" si="8"/>
        <v>43682065</v>
      </c>
      <c r="AI242" s="48"/>
      <c r="AJ242" s="48">
        <v>0</v>
      </c>
      <c r="AK242" s="48"/>
      <c r="AL242" s="45">
        <v>0</v>
      </c>
      <c r="AM242" s="45"/>
      <c r="AN242" s="45">
        <v>58793669</v>
      </c>
      <c r="AO242" s="45"/>
      <c r="AP242" s="45">
        <v>0</v>
      </c>
      <c r="AQ242" s="45"/>
      <c r="AR242" s="45">
        <f>+'GVFund Rev'!U242+'GVFund Rev'!W242-'GVFund Exp'!AH242-'GVFund Exp'!AL242+AJ242+AN242+AP242-'GV Fund BS'!S242</f>
        <v>0</v>
      </c>
      <c r="AS242" s="48"/>
    </row>
    <row r="243" spans="1:46" s="44" customFormat="1" ht="12.75" customHeight="1">
      <c r="A243" s="35" t="s">
        <v>274</v>
      </c>
      <c r="C243" s="35" t="s">
        <v>43</v>
      </c>
      <c r="E243" s="45">
        <v>5322764</v>
      </c>
      <c r="F243" s="48"/>
      <c r="G243" s="45">
        <v>9756594</v>
      </c>
      <c r="H243" s="48"/>
      <c r="I243" s="45">
        <v>23834</v>
      </c>
      <c r="J243" s="48"/>
      <c r="K243" s="45">
        <v>84985</v>
      </c>
      <c r="L243" s="48"/>
      <c r="M243" s="45">
        <v>1507622</v>
      </c>
      <c r="N243" s="48"/>
      <c r="O243" s="45">
        <v>578629</v>
      </c>
      <c r="P243" s="48"/>
      <c r="Q243" s="45">
        <v>411991</v>
      </c>
      <c r="R243" s="48"/>
      <c r="S243" s="45">
        <v>1399704</v>
      </c>
      <c r="T243" s="48"/>
      <c r="U243" s="45">
        <v>0</v>
      </c>
      <c r="V243" s="48"/>
      <c r="W243" s="48"/>
      <c r="X243" s="35"/>
      <c r="Z243" s="35"/>
      <c r="AA243" s="35"/>
      <c r="AB243" s="45">
        <v>343143</v>
      </c>
      <c r="AC243" s="65"/>
      <c r="AD243" s="45">
        <v>107320</v>
      </c>
      <c r="AE243" s="65"/>
      <c r="AF243" s="45">
        <v>56231</v>
      </c>
      <c r="AG243" s="65"/>
      <c r="AH243" s="48">
        <f t="shared" si="8"/>
        <v>19592817</v>
      </c>
      <c r="AI243" s="48"/>
      <c r="AJ243" s="48">
        <v>0</v>
      </c>
      <c r="AK243" s="48"/>
      <c r="AL243" s="45">
        <v>0</v>
      </c>
      <c r="AM243" s="45"/>
      <c r="AN243" s="45">
        <v>8414187</v>
      </c>
      <c r="AO243" s="45"/>
      <c r="AP243" s="45">
        <v>0</v>
      </c>
      <c r="AQ243" s="45"/>
      <c r="AR243" s="45">
        <f>+'GVFund Rev'!U243+'GVFund Rev'!W243-'GVFund Exp'!AH243-'GVFund Exp'!AL243+AJ243+AN243+AP243-'GV Fund BS'!S243</f>
        <v>0</v>
      </c>
      <c r="AS243" s="48"/>
    </row>
    <row r="244" spans="1:46" s="44" customFormat="1" ht="12.75" customHeight="1">
      <c r="A244" s="35" t="s">
        <v>275</v>
      </c>
      <c r="C244" s="35" t="s">
        <v>92</v>
      </c>
      <c r="E244" s="45">
        <v>3949066</v>
      </c>
      <c r="F244" s="48"/>
      <c r="G244" s="45">
        <v>5539991</v>
      </c>
      <c r="H244" s="48"/>
      <c r="I244" s="45">
        <v>190932</v>
      </c>
      <c r="J244" s="48"/>
      <c r="K244" s="45">
        <v>98261</v>
      </c>
      <c r="L244" s="48"/>
      <c r="M244" s="45">
        <v>1889289</v>
      </c>
      <c r="N244" s="48"/>
      <c r="O244" s="45">
        <v>757260</v>
      </c>
      <c r="P244" s="48"/>
      <c r="Q244" s="45">
        <v>1104471</v>
      </c>
      <c r="R244" s="48"/>
      <c r="S244" s="45">
        <v>5262010</v>
      </c>
      <c r="T244" s="48"/>
      <c r="U244" s="45">
        <v>0</v>
      </c>
      <c r="V244" s="48"/>
      <c r="W244" s="48"/>
      <c r="X244" s="35"/>
      <c r="Z244" s="35"/>
      <c r="AA244" s="35"/>
      <c r="AB244" s="45">
        <v>100000</v>
      </c>
      <c r="AC244" s="65"/>
      <c r="AD244" s="45">
        <v>228328</v>
      </c>
      <c r="AE244" s="65"/>
      <c r="AF244" s="45">
        <v>0</v>
      </c>
      <c r="AG244" s="65"/>
      <c r="AH244" s="48">
        <f t="shared" si="8"/>
        <v>19119608</v>
      </c>
      <c r="AI244" s="48"/>
      <c r="AJ244" s="48">
        <v>0</v>
      </c>
      <c r="AK244" s="48"/>
      <c r="AL244" s="45">
        <v>0</v>
      </c>
      <c r="AM244" s="45"/>
      <c r="AN244" s="45">
        <v>12334569</v>
      </c>
      <c r="AO244" s="45"/>
      <c r="AP244" s="45">
        <v>-33360</v>
      </c>
      <c r="AQ244" s="45"/>
      <c r="AR244" s="45">
        <f>+'GVFund Rev'!U244+'GVFund Rev'!W244-'GVFund Exp'!AH244-'GVFund Exp'!AL244+AJ244+AN244+AP244-'GV Fund BS'!S244</f>
        <v>0</v>
      </c>
      <c r="AS244" s="48"/>
    </row>
    <row r="245" spans="1:46" s="44" customFormat="1" ht="12.75" customHeight="1">
      <c r="A245" s="35" t="s">
        <v>276</v>
      </c>
      <c r="C245" s="35" t="s">
        <v>38</v>
      </c>
      <c r="E245" s="45">
        <v>590445</v>
      </c>
      <c r="F245" s="48"/>
      <c r="G245" s="45">
        <v>2159315</v>
      </c>
      <c r="H245" s="48"/>
      <c r="I245" s="45">
        <v>174827</v>
      </c>
      <c r="J245" s="48"/>
      <c r="K245" s="45">
        <v>36390</v>
      </c>
      <c r="L245" s="48"/>
      <c r="M245" s="45">
        <v>738022</v>
      </c>
      <c r="N245" s="48"/>
      <c r="O245" s="45">
        <v>250885</v>
      </c>
      <c r="P245" s="48"/>
      <c r="Q245" s="45">
        <v>0</v>
      </c>
      <c r="R245" s="48"/>
      <c r="S245" s="45">
        <v>195710</v>
      </c>
      <c r="T245" s="48"/>
      <c r="U245" s="45">
        <v>0</v>
      </c>
      <c r="V245" s="48"/>
      <c r="W245" s="48"/>
      <c r="X245" s="35"/>
      <c r="Z245" s="35"/>
      <c r="AA245" s="35"/>
      <c r="AB245" s="45">
        <v>32648</v>
      </c>
      <c r="AC245" s="65"/>
      <c r="AD245" s="45">
        <v>62983</v>
      </c>
      <c r="AE245" s="65"/>
      <c r="AF245" s="45">
        <v>0</v>
      </c>
      <c r="AG245" s="65"/>
      <c r="AH245" s="48">
        <f t="shared" si="8"/>
        <v>4241225</v>
      </c>
      <c r="AI245" s="48"/>
      <c r="AJ245" s="48">
        <v>0</v>
      </c>
      <c r="AK245" s="48"/>
      <c r="AL245" s="45">
        <v>0</v>
      </c>
      <c r="AM245" s="45"/>
      <c r="AN245" s="45">
        <v>4411714</v>
      </c>
      <c r="AO245" s="45"/>
      <c r="AP245" s="45">
        <v>0</v>
      </c>
      <c r="AQ245" s="45"/>
      <c r="AR245" s="45">
        <f>+'GVFund Rev'!U245+'GVFund Rev'!W245-'GVFund Exp'!AH245-'GVFund Exp'!AL245+AJ245+AN245+AP245-'GV Fund BS'!S245</f>
        <v>0</v>
      </c>
      <c r="AS245" s="48"/>
    </row>
    <row r="246" spans="1:46" s="44" customFormat="1" ht="12.75" customHeight="1">
      <c r="A246" s="35" t="s">
        <v>277</v>
      </c>
      <c r="C246" s="35" t="s">
        <v>92</v>
      </c>
      <c r="E246" s="45">
        <v>6673545</v>
      </c>
      <c r="F246" s="48"/>
      <c r="G246" s="45">
        <v>12543192</v>
      </c>
      <c r="H246" s="48"/>
      <c r="I246" s="45">
        <v>1004475</v>
      </c>
      <c r="J246" s="48"/>
      <c r="K246" s="45">
        <v>452928</v>
      </c>
      <c r="L246" s="48"/>
      <c r="M246" s="45">
        <v>1651544</v>
      </c>
      <c r="N246" s="48"/>
      <c r="O246" s="45">
        <v>1782007</v>
      </c>
      <c r="P246" s="48"/>
      <c r="Q246" s="45">
        <v>1097610</v>
      </c>
      <c r="R246" s="48"/>
      <c r="S246" s="45">
        <v>3195284</v>
      </c>
      <c r="T246" s="48"/>
      <c r="U246" s="45">
        <v>0</v>
      </c>
      <c r="V246" s="48"/>
      <c r="W246" s="48"/>
      <c r="X246" s="35"/>
      <c r="Z246" s="35"/>
      <c r="AA246" s="35"/>
      <c r="AB246" s="45">
        <v>867787</v>
      </c>
      <c r="AC246" s="65"/>
      <c r="AD246" s="45">
        <v>879325</v>
      </c>
      <c r="AE246" s="65"/>
      <c r="AF246" s="45">
        <v>0</v>
      </c>
      <c r="AG246" s="65"/>
      <c r="AH246" s="48">
        <f t="shared" si="8"/>
        <v>30147697</v>
      </c>
      <c r="AI246" s="48"/>
      <c r="AJ246" s="48">
        <v>0</v>
      </c>
      <c r="AK246" s="48"/>
      <c r="AL246" s="45">
        <v>62907</v>
      </c>
      <c r="AM246" s="45"/>
      <c r="AN246" s="45">
        <v>15614746</v>
      </c>
      <c r="AO246" s="45"/>
      <c r="AP246" s="45">
        <v>-47911</v>
      </c>
      <c r="AQ246" s="45"/>
      <c r="AR246" s="45">
        <f>+'GVFund Rev'!U246+'GVFund Rev'!W246-'GVFund Exp'!AH246-'GVFund Exp'!AL246+AJ246+AN246+AP246-'GV Fund BS'!S246</f>
        <v>0</v>
      </c>
      <c r="AS246" s="48"/>
    </row>
    <row r="247" spans="1:46" s="44" customFormat="1" ht="12.75" customHeight="1">
      <c r="A247" s="64" t="s">
        <v>278</v>
      </c>
      <c r="B247" s="46"/>
      <c r="C247" s="64" t="s">
        <v>92</v>
      </c>
      <c r="D247" s="46"/>
      <c r="E247" s="45">
        <v>1391921</v>
      </c>
      <c r="F247" s="48"/>
      <c r="G247" s="45">
        <v>4416598</v>
      </c>
      <c r="H247" s="48"/>
      <c r="I247" s="45">
        <v>143411</v>
      </c>
      <c r="J247" s="48"/>
      <c r="K247" s="45">
        <v>0</v>
      </c>
      <c r="L247" s="48"/>
      <c r="M247" s="45">
        <v>1679376</v>
      </c>
      <c r="N247" s="48"/>
      <c r="O247" s="45">
        <v>215092</v>
      </c>
      <c r="P247" s="48"/>
      <c r="Q247" s="45">
        <v>0</v>
      </c>
      <c r="R247" s="48"/>
      <c r="S247" s="45">
        <v>999234</v>
      </c>
      <c r="T247" s="48"/>
      <c r="U247" s="45">
        <v>0</v>
      </c>
      <c r="V247" s="48"/>
      <c r="W247" s="48"/>
      <c r="X247" s="35"/>
      <c r="Z247" s="35"/>
      <c r="AA247" s="35"/>
      <c r="AB247" s="45">
        <v>237000</v>
      </c>
      <c r="AC247" s="65"/>
      <c r="AD247" s="45">
        <v>134045</v>
      </c>
      <c r="AE247" s="65"/>
      <c r="AF247" s="45">
        <v>0</v>
      </c>
      <c r="AG247" s="65"/>
      <c r="AH247" s="48">
        <f t="shared" si="8"/>
        <v>9216677</v>
      </c>
      <c r="AI247" s="48"/>
      <c r="AJ247" s="48">
        <v>0</v>
      </c>
      <c r="AK247" s="48"/>
      <c r="AL247" s="45">
        <v>0</v>
      </c>
      <c r="AM247" s="45"/>
      <c r="AN247" s="45">
        <v>950129</v>
      </c>
      <c r="AO247" s="45"/>
      <c r="AP247" s="45">
        <v>0</v>
      </c>
      <c r="AQ247" s="45"/>
      <c r="AR247" s="45">
        <f>+'GVFund Rev'!U247+'GVFund Rev'!W247-'GVFund Exp'!AH247-'GVFund Exp'!AL247+AJ247+AN247+AP247-'GV Fund BS'!S247</f>
        <v>0</v>
      </c>
      <c r="AS247" s="48"/>
    </row>
    <row r="248" spans="1:46" s="44" customFormat="1" ht="12.75" customHeight="1">
      <c r="A248" s="35" t="s">
        <v>279</v>
      </c>
      <c r="C248" s="35" t="s">
        <v>92</v>
      </c>
      <c r="E248" s="45">
        <v>1650890</v>
      </c>
      <c r="F248" s="48"/>
      <c r="G248" s="45">
        <v>4964598</v>
      </c>
      <c r="H248" s="48"/>
      <c r="I248" s="45">
        <v>531935</v>
      </c>
      <c r="J248" s="48"/>
      <c r="K248" s="45">
        <v>116366</v>
      </c>
      <c r="L248" s="48"/>
      <c r="M248" s="45">
        <v>985795</v>
      </c>
      <c r="N248" s="48"/>
      <c r="O248" s="45">
        <v>976536</v>
      </c>
      <c r="P248" s="48"/>
      <c r="Q248" s="45">
        <v>889090</v>
      </c>
      <c r="R248" s="48"/>
      <c r="S248" s="45">
        <v>2477763</v>
      </c>
      <c r="T248" s="48"/>
      <c r="U248" s="45">
        <v>0</v>
      </c>
      <c r="V248" s="48"/>
      <c r="W248" s="48"/>
      <c r="X248" s="35"/>
      <c r="Z248" s="35"/>
      <c r="AA248" s="35"/>
      <c r="AB248" s="45">
        <v>135699</v>
      </c>
      <c r="AC248" s="65"/>
      <c r="AD248" s="45">
        <v>5832</v>
      </c>
      <c r="AE248" s="65"/>
      <c r="AF248" s="45">
        <v>0</v>
      </c>
      <c r="AG248" s="65"/>
      <c r="AH248" s="48">
        <f t="shared" si="8"/>
        <v>12734504</v>
      </c>
      <c r="AI248" s="48"/>
      <c r="AJ248" s="48">
        <v>0</v>
      </c>
      <c r="AK248" s="48"/>
      <c r="AL248" s="45">
        <v>0</v>
      </c>
      <c r="AM248" s="45"/>
      <c r="AN248" s="45">
        <v>6488980</v>
      </c>
      <c r="AO248" s="45"/>
      <c r="AP248" s="45">
        <v>0</v>
      </c>
      <c r="AQ248" s="45"/>
      <c r="AR248" s="45">
        <f>+'GVFund Rev'!U248+'GVFund Rev'!W248-'GVFund Exp'!AH248-'GVFund Exp'!AL248+AJ248+AN248+AP248-'GV Fund BS'!S248</f>
        <v>0</v>
      </c>
      <c r="AS248" s="48"/>
    </row>
    <row r="249" spans="1:46" s="44" customFormat="1" ht="12.75" customHeight="1">
      <c r="A249" s="35" t="s">
        <v>280</v>
      </c>
      <c r="C249" s="35" t="s">
        <v>281</v>
      </c>
      <c r="E249" s="45">
        <v>5188237</v>
      </c>
      <c r="F249" s="48"/>
      <c r="G249" s="45">
        <v>4634804</v>
      </c>
      <c r="H249" s="48"/>
      <c r="I249" s="45">
        <v>0</v>
      </c>
      <c r="J249" s="48"/>
      <c r="K249" s="45">
        <v>633764</v>
      </c>
      <c r="L249" s="48"/>
      <c r="M249" s="45">
        <v>2364894</v>
      </c>
      <c r="N249" s="48"/>
      <c r="O249" s="45">
        <v>650825</v>
      </c>
      <c r="P249" s="48"/>
      <c r="Q249" s="45">
        <v>0</v>
      </c>
      <c r="R249" s="48"/>
      <c r="S249" s="45">
        <v>1728849</v>
      </c>
      <c r="T249" s="48"/>
      <c r="U249" s="45">
        <v>0</v>
      </c>
      <c r="V249" s="48"/>
      <c r="W249" s="48"/>
      <c r="X249" s="35"/>
      <c r="Z249" s="35"/>
      <c r="AA249" s="35"/>
      <c r="AB249" s="45">
        <v>316968</v>
      </c>
      <c r="AC249" s="65"/>
      <c r="AD249" s="45">
        <v>305259</v>
      </c>
      <c r="AE249" s="65"/>
      <c r="AF249" s="45">
        <v>0</v>
      </c>
      <c r="AG249" s="65"/>
      <c r="AH249" s="48">
        <f t="shared" si="8"/>
        <v>15823600</v>
      </c>
      <c r="AI249" s="48"/>
      <c r="AJ249" s="48">
        <v>0</v>
      </c>
      <c r="AK249" s="48"/>
      <c r="AL249" s="45">
        <v>0</v>
      </c>
      <c r="AM249" s="45"/>
      <c r="AN249" s="45">
        <v>5544165</v>
      </c>
      <c r="AO249" s="45"/>
      <c r="AP249" s="45">
        <v>0</v>
      </c>
      <c r="AQ249" s="45"/>
      <c r="AR249" s="45">
        <f>+'GVFund Rev'!U249+'GVFund Rev'!W249-'GVFund Exp'!AH249-'GVFund Exp'!AL249+AJ249+AN249+AP249-'GV Fund BS'!S249</f>
        <v>0</v>
      </c>
      <c r="AS249" s="48"/>
    </row>
    <row r="250" spans="1:46" s="44" customFormat="1" ht="12.75" customHeight="1">
      <c r="A250" s="35" t="s">
        <v>282</v>
      </c>
      <c r="C250" s="35" t="s">
        <v>199</v>
      </c>
      <c r="E250" s="45">
        <v>3279618</v>
      </c>
      <c r="F250" s="48"/>
      <c r="G250" s="45">
        <v>9529944</v>
      </c>
      <c r="H250" s="48"/>
      <c r="I250" s="45">
        <v>1234397</v>
      </c>
      <c r="J250" s="48"/>
      <c r="K250" s="45">
        <v>148884</v>
      </c>
      <c r="L250" s="48"/>
      <c r="M250" s="45">
        <v>2163997</v>
      </c>
      <c r="N250" s="48"/>
      <c r="O250" s="45">
        <v>1885624</v>
      </c>
      <c r="P250" s="48"/>
      <c r="Q250" s="45">
        <v>0</v>
      </c>
      <c r="R250" s="48"/>
      <c r="S250" s="45">
        <v>2693490</v>
      </c>
      <c r="T250" s="48"/>
      <c r="U250" s="45">
        <v>0</v>
      </c>
      <c r="V250" s="48"/>
      <c r="W250" s="48"/>
      <c r="X250" s="35"/>
      <c r="Z250" s="35"/>
      <c r="AA250" s="35"/>
      <c r="AB250" s="45">
        <v>372318</v>
      </c>
      <c r="AC250" s="65"/>
      <c r="AD250" s="45">
        <v>214332</v>
      </c>
      <c r="AE250" s="65"/>
      <c r="AF250" s="45">
        <v>0</v>
      </c>
      <c r="AG250" s="65"/>
      <c r="AH250" s="48">
        <f t="shared" si="8"/>
        <v>21522604</v>
      </c>
      <c r="AI250" s="48"/>
      <c r="AJ250" s="48">
        <v>0</v>
      </c>
      <c r="AK250" s="48"/>
      <c r="AL250" s="45">
        <v>1431473</v>
      </c>
      <c r="AM250" s="45"/>
      <c r="AN250" s="45">
        <v>18523102</v>
      </c>
      <c r="AO250" s="45"/>
      <c r="AP250" s="45">
        <v>4300000</v>
      </c>
      <c r="AQ250" s="45"/>
      <c r="AR250" s="45">
        <f>+'GVFund Rev'!U250+'GVFund Rev'!W250-'GVFund Exp'!AH250-'GVFund Exp'!AL250+AJ250+AN250+AP250-'GV Fund BS'!S250</f>
        <v>0</v>
      </c>
      <c r="AS250" s="48"/>
    </row>
    <row r="251" spans="1:46" s="44" customFormat="1" ht="12.75" customHeight="1">
      <c r="A251" s="35" t="s">
        <v>283</v>
      </c>
      <c r="C251" s="35" t="s">
        <v>43</v>
      </c>
      <c r="E251" s="45">
        <v>4970852</v>
      </c>
      <c r="F251" s="48"/>
      <c r="G251" s="45">
        <v>9400332</v>
      </c>
      <c r="H251" s="48"/>
      <c r="I251" s="45">
        <v>720429</v>
      </c>
      <c r="J251" s="48"/>
      <c r="K251" s="45">
        <v>49775</v>
      </c>
      <c r="L251" s="48"/>
      <c r="M251" s="45">
        <v>2325165</v>
      </c>
      <c r="N251" s="48"/>
      <c r="O251" s="45">
        <v>3515107</v>
      </c>
      <c r="P251" s="48"/>
      <c r="Q251" s="45">
        <v>1725629</v>
      </c>
      <c r="R251" s="48"/>
      <c r="S251" s="45">
        <v>4204892</v>
      </c>
      <c r="T251" s="48"/>
      <c r="U251" s="45">
        <v>0</v>
      </c>
      <c r="V251" s="48"/>
      <c r="W251" s="48"/>
      <c r="X251" s="35"/>
      <c r="Z251" s="35"/>
      <c r="AA251" s="35"/>
      <c r="AB251" s="45">
        <v>475000</v>
      </c>
      <c r="AC251" s="65"/>
      <c r="AD251" s="45">
        <v>375096</v>
      </c>
      <c r="AE251" s="65"/>
      <c r="AF251" s="45">
        <v>0</v>
      </c>
      <c r="AG251" s="65"/>
      <c r="AH251" s="48">
        <f t="shared" si="8"/>
        <v>27762277</v>
      </c>
      <c r="AI251" s="48"/>
      <c r="AJ251" s="48">
        <v>0</v>
      </c>
      <c r="AK251" s="48"/>
      <c r="AL251" s="45">
        <v>0</v>
      </c>
      <c r="AM251" s="45"/>
      <c r="AN251" s="45">
        <v>16787793</v>
      </c>
      <c r="AO251" s="45"/>
      <c r="AP251" s="45">
        <v>0</v>
      </c>
      <c r="AQ251" s="45"/>
      <c r="AR251" s="45">
        <f>+'GVFund Rev'!U251+'GVFund Rev'!W251-'GVFund Exp'!AH251-'GVFund Exp'!AL251+AJ251+AN251+AP251-'GV Fund BS'!S251</f>
        <v>0</v>
      </c>
      <c r="AS251" s="48"/>
    </row>
    <row r="252" spans="1:46" s="44" customFormat="1" ht="12.75" customHeight="1">
      <c r="A252" s="35" t="s">
        <v>284</v>
      </c>
      <c r="C252" s="35" t="s">
        <v>45</v>
      </c>
      <c r="E252" s="45">
        <v>2577727</v>
      </c>
      <c r="F252" s="48"/>
      <c r="G252" s="45">
        <v>2490263</v>
      </c>
      <c r="H252" s="48"/>
      <c r="I252" s="45">
        <v>295359</v>
      </c>
      <c r="J252" s="48"/>
      <c r="K252" s="45">
        <v>50269</v>
      </c>
      <c r="L252" s="48"/>
      <c r="M252" s="45">
        <v>858354</v>
      </c>
      <c r="N252" s="48"/>
      <c r="O252" s="45">
        <v>1214787</v>
      </c>
      <c r="P252" s="48"/>
      <c r="Q252" s="45">
        <v>519012</v>
      </c>
      <c r="R252" s="48"/>
      <c r="S252" s="45">
        <v>4612259</v>
      </c>
      <c r="T252" s="48"/>
      <c r="U252" s="45">
        <v>0</v>
      </c>
      <c r="V252" s="48"/>
      <c r="W252" s="48"/>
      <c r="X252" s="35"/>
      <c r="Z252" s="35"/>
      <c r="AA252" s="35"/>
      <c r="AB252" s="45">
        <v>323656</v>
      </c>
      <c r="AC252" s="65"/>
      <c r="AD252" s="45">
        <v>406784</v>
      </c>
      <c r="AE252" s="65"/>
      <c r="AF252" s="45">
        <v>0</v>
      </c>
      <c r="AG252" s="65"/>
      <c r="AH252" s="48">
        <f t="shared" si="8"/>
        <v>13348470</v>
      </c>
      <c r="AI252" s="48"/>
      <c r="AJ252" s="48">
        <v>0</v>
      </c>
      <c r="AK252" s="48"/>
      <c r="AL252" s="45">
        <v>0</v>
      </c>
      <c r="AM252" s="45"/>
      <c r="AN252" s="45">
        <v>10239470</v>
      </c>
      <c r="AO252" s="45"/>
      <c r="AP252" s="45">
        <v>-1985</v>
      </c>
      <c r="AQ252" s="45"/>
      <c r="AR252" s="45">
        <f>+'GVFund Rev'!U252+'GVFund Rev'!W252-'GVFund Exp'!AH252-'GVFund Exp'!AL252+AJ252+AN252+AP252-'GV Fund BS'!S252</f>
        <v>0</v>
      </c>
      <c r="AS252" s="48"/>
    </row>
    <row r="253" spans="1:46" s="44" customFormat="1" ht="12.75" customHeight="1">
      <c r="A253" s="35" t="s">
        <v>285</v>
      </c>
      <c r="C253" s="35" t="s">
        <v>30</v>
      </c>
      <c r="E253" s="45">
        <v>3307934</v>
      </c>
      <c r="F253" s="48"/>
      <c r="G253" s="45">
        <v>10638670</v>
      </c>
      <c r="H253" s="48"/>
      <c r="I253" s="45">
        <v>331927</v>
      </c>
      <c r="J253" s="48"/>
      <c r="K253" s="45">
        <v>60524</v>
      </c>
      <c r="L253" s="48"/>
      <c r="M253" s="45">
        <v>1606466</v>
      </c>
      <c r="N253" s="48"/>
      <c r="O253" s="45">
        <v>386229</v>
      </c>
      <c r="P253" s="48"/>
      <c r="Q253" s="45">
        <v>0</v>
      </c>
      <c r="R253" s="48"/>
      <c r="S253" s="45">
        <v>1651163</v>
      </c>
      <c r="T253" s="48"/>
      <c r="U253" s="45">
        <v>0</v>
      </c>
      <c r="V253" s="48"/>
      <c r="W253" s="48"/>
      <c r="X253" s="35"/>
      <c r="Z253" s="35"/>
      <c r="AA253" s="35"/>
      <c r="AB253" s="45">
        <v>346055</v>
      </c>
      <c r="AC253" s="65"/>
      <c r="AD253" s="45">
        <v>134491</v>
      </c>
      <c r="AE253" s="65"/>
      <c r="AF253" s="45">
        <v>0</v>
      </c>
      <c r="AG253" s="65"/>
      <c r="AH253" s="48">
        <f t="shared" si="8"/>
        <v>18463459</v>
      </c>
      <c r="AI253" s="48"/>
      <c r="AJ253" s="48">
        <v>0</v>
      </c>
      <c r="AK253" s="48"/>
      <c r="AL253" s="45">
        <v>0</v>
      </c>
      <c r="AM253" s="45"/>
      <c r="AN253" s="45">
        <v>7916196</v>
      </c>
      <c r="AO253" s="45"/>
      <c r="AP253" s="45">
        <v>14617</v>
      </c>
      <c r="AQ253" s="45"/>
      <c r="AR253" s="45">
        <f>+'GVFund Rev'!U253+'GVFund Rev'!W253-'GVFund Exp'!AH253-'GVFund Exp'!AL253+AJ253+AN253+AP253-'GV Fund BS'!S253</f>
        <v>0</v>
      </c>
      <c r="AS253" s="48"/>
    </row>
    <row r="254" spans="1:46" s="44" customFormat="1" ht="12.75" customHeight="1">
      <c r="A254" s="35" t="s">
        <v>286</v>
      </c>
      <c r="C254" s="35" t="s">
        <v>61</v>
      </c>
      <c r="E254" s="45">
        <v>13274830</v>
      </c>
      <c r="F254" s="48"/>
      <c r="G254" s="45">
        <v>34409601</v>
      </c>
      <c r="H254" s="48"/>
      <c r="I254" s="45">
        <v>4746213</v>
      </c>
      <c r="J254" s="48"/>
      <c r="K254" s="45">
        <v>2575455</v>
      </c>
      <c r="L254" s="48"/>
      <c r="M254" s="45">
        <v>8064670</v>
      </c>
      <c r="N254" s="48"/>
      <c r="O254" s="45">
        <v>2975624</v>
      </c>
      <c r="P254" s="48"/>
      <c r="Q254" s="45">
        <v>3087999</v>
      </c>
      <c r="R254" s="48"/>
      <c r="S254" s="45">
        <v>10324016</v>
      </c>
      <c r="T254" s="48"/>
      <c r="U254" s="45">
        <v>0</v>
      </c>
      <c r="V254" s="48"/>
      <c r="W254" s="48"/>
      <c r="X254" s="35"/>
      <c r="Z254" s="35"/>
      <c r="AA254" s="35"/>
      <c r="AB254" s="45">
        <v>2203701</v>
      </c>
      <c r="AC254" s="65"/>
      <c r="AD254" s="45">
        <v>2206162</v>
      </c>
      <c r="AE254" s="65"/>
      <c r="AF254" s="45">
        <v>0</v>
      </c>
      <c r="AG254" s="65"/>
      <c r="AH254" s="48">
        <f t="shared" si="8"/>
        <v>83868271</v>
      </c>
      <c r="AI254" s="48"/>
      <c r="AJ254" s="48">
        <v>0</v>
      </c>
      <c r="AK254" s="48"/>
      <c r="AL254" s="45">
        <v>0</v>
      </c>
      <c r="AM254" s="45"/>
      <c r="AN254" s="45">
        <v>504765</v>
      </c>
      <c r="AO254" s="45"/>
      <c r="AP254" s="45">
        <v>0</v>
      </c>
      <c r="AQ254" s="45"/>
      <c r="AR254" s="45">
        <f>+'GVFund Rev'!U254+'GVFund Rev'!W254-'GVFund Exp'!AH254-'GVFund Exp'!AL254+AJ254+AN254+AP254-'GV Fund BS'!S254</f>
        <v>0</v>
      </c>
      <c r="AS254" s="48"/>
    </row>
    <row r="255" spans="1:46" s="44" customFormat="1" ht="12.75" customHeight="1">
      <c r="A255" s="35" t="s">
        <v>287</v>
      </c>
      <c r="C255" s="35" t="s">
        <v>288</v>
      </c>
      <c r="E255" s="45">
        <v>4274854</v>
      </c>
      <c r="F255" s="48"/>
      <c r="G255" s="45">
        <v>12862498</v>
      </c>
      <c r="H255" s="48"/>
      <c r="I255" s="45">
        <v>1612230</v>
      </c>
      <c r="J255" s="48"/>
      <c r="K255" s="45">
        <v>2075806</v>
      </c>
      <c r="L255" s="48"/>
      <c r="M255" s="45">
        <v>1997779</v>
      </c>
      <c r="N255" s="48"/>
      <c r="O255" s="45">
        <v>1002091</v>
      </c>
      <c r="P255" s="48"/>
      <c r="Q255" s="45">
        <v>0</v>
      </c>
      <c r="R255" s="48"/>
      <c r="S255" s="45">
        <v>2107886</v>
      </c>
      <c r="T255" s="48"/>
      <c r="U255" s="45">
        <v>200606</v>
      </c>
      <c r="V255" s="48"/>
      <c r="W255" s="48"/>
      <c r="X255" s="35"/>
      <c r="Z255" s="35"/>
      <c r="AA255" s="35"/>
      <c r="AB255" s="45">
        <v>373484</v>
      </c>
      <c r="AC255" s="65"/>
      <c r="AD255" s="45">
        <v>96058</v>
      </c>
      <c r="AE255" s="65"/>
      <c r="AF255" s="45">
        <v>0</v>
      </c>
      <c r="AG255" s="65"/>
      <c r="AH255" s="48">
        <f t="shared" si="8"/>
        <v>26603292</v>
      </c>
      <c r="AI255" s="48"/>
      <c r="AJ255" s="48">
        <v>0</v>
      </c>
      <c r="AK255" s="48"/>
      <c r="AL255" s="45">
        <v>0</v>
      </c>
      <c r="AM255" s="45"/>
      <c r="AN255" s="45">
        <v>7406702</v>
      </c>
      <c r="AO255" s="45"/>
      <c r="AP255" s="45">
        <v>0</v>
      </c>
      <c r="AQ255" s="45"/>
      <c r="AR255" s="45">
        <f>+'GVFund Rev'!U255+'GVFund Rev'!W255-'GVFund Exp'!AH255-'GVFund Exp'!AL255+AJ255+AN255+AP255-'GV Fund BS'!S255</f>
        <v>0</v>
      </c>
      <c r="AS255" s="48"/>
    </row>
    <row r="256" spans="1:46" s="47" customFormat="1" ht="12.75" customHeight="1">
      <c r="A256" s="49"/>
      <c r="C256" s="49"/>
      <c r="E256" s="49"/>
      <c r="F256" s="44"/>
      <c r="G256" s="49"/>
      <c r="H256" s="44"/>
      <c r="I256" s="49"/>
      <c r="J256" s="44"/>
      <c r="K256" s="49"/>
      <c r="L256" s="44"/>
      <c r="M256" s="49"/>
      <c r="N256" s="44"/>
      <c r="O256" s="49"/>
      <c r="P256" s="44"/>
      <c r="Q256" s="49"/>
      <c r="R256" s="44"/>
      <c r="S256" s="49"/>
      <c r="T256" s="44"/>
      <c r="U256" s="49"/>
      <c r="V256" s="44"/>
      <c r="W256" s="44"/>
      <c r="X256" s="44"/>
      <c r="Y256" s="44"/>
      <c r="Z256" s="44"/>
      <c r="AA256" s="44"/>
      <c r="AB256" s="49"/>
      <c r="AC256" s="65"/>
      <c r="AD256" s="49"/>
      <c r="AE256" s="65"/>
      <c r="AF256" s="49"/>
      <c r="AG256" s="65"/>
      <c r="AH256" s="44"/>
      <c r="AI256" s="44"/>
      <c r="AJ256" s="44"/>
      <c r="AK256" s="44"/>
      <c r="AL256" s="49"/>
      <c r="AM256" s="45"/>
      <c r="AN256" s="49"/>
      <c r="AO256" s="44"/>
      <c r="AP256" s="49"/>
      <c r="AQ256" s="44"/>
      <c r="AR256" s="45"/>
      <c r="AS256" s="44"/>
      <c r="AT256" s="51"/>
    </row>
    <row r="257" spans="1:46" s="47" customFormat="1" ht="12.75" customHeight="1">
      <c r="A257" s="49"/>
      <c r="C257" s="49"/>
      <c r="E257" s="49"/>
      <c r="F257" s="44"/>
      <c r="G257" s="49"/>
      <c r="H257" s="44"/>
      <c r="I257" s="49"/>
      <c r="J257" s="44"/>
      <c r="K257" s="49"/>
      <c r="L257" s="44"/>
      <c r="M257" s="49"/>
      <c r="N257" s="44"/>
      <c r="O257" s="49"/>
      <c r="P257" s="44"/>
      <c r="Q257" s="49"/>
      <c r="R257" s="44"/>
      <c r="S257" s="49"/>
      <c r="T257" s="44"/>
      <c r="U257" s="49"/>
      <c r="V257" s="44" t="s">
        <v>420</v>
      </c>
      <c r="W257" s="44"/>
      <c r="X257" s="44"/>
      <c r="Y257" s="44"/>
      <c r="Z257" s="44"/>
      <c r="AA257" s="44"/>
      <c r="AB257" s="49"/>
      <c r="AC257" s="65"/>
      <c r="AD257" s="49"/>
      <c r="AE257" s="65"/>
      <c r="AF257" s="49"/>
      <c r="AG257" s="65"/>
      <c r="AH257" s="44"/>
      <c r="AI257" s="44"/>
      <c r="AJ257" s="44"/>
      <c r="AK257" s="44"/>
      <c r="AL257" s="49"/>
      <c r="AM257" s="49"/>
      <c r="AN257" s="49"/>
      <c r="AO257" s="49"/>
      <c r="AP257" s="49"/>
      <c r="AQ257" s="49"/>
      <c r="AR257" s="45"/>
      <c r="AS257" s="44"/>
      <c r="AT257" s="51"/>
    </row>
    <row r="258" spans="1:46" s="47" customFormat="1" ht="12.75" customHeight="1">
      <c r="A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Z258" s="49"/>
      <c r="AA258" s="49"/>
      <c r="AB258" s="49"/>
      <c r="AC258" s="51"/>
      <c r="AD258" s="49"/>
      <c r="AE258" s="51"/>
      <c r="AF258" s="49"/>
      <c r="AG258" s="51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  <c r="AT258" s="51"/>
    </row>
    <row r="259" spans="1:46" s="47" customFormat="1" ht="12.75" customHeight="1">
      <c r="A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Z259" s="49"/>
      <c r="AA259" s="49"/>
      <c r="AB259" s="49"/>
      <c r="AC259" s="51"/>
      <c r="AD259" s="49"/>
      <c r="AE259" s="51"/>
      <c r="AF259" s="49"/>
      <c r="AG259" s="51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49"/>
      <c r="AT259" s="51"/>
    </row>
    <row r="260" spans="1:46" s="47" customFormat="1" ht="12.75" customHeight="1">
      <c r="A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Z260" s="49"/>
      <c r="AA260" s="49"/>
      <c r="AB260" s="49"/>
      <c r="AC260" s="51"/>
      <c r="AD260" s="49"/>
      <c r="AE260" s="51"/>
      <c r="AF260" s="49"/>
      <c r="AG260" s="51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/>
      <c r="AS260" s="49"/>
      <c r="AT260" s="51"/>
    </row>
    <row r="261" spans="1:46" s="47" customFormat="1" ht="12.75" customHeight="1">
      <c r="A261" s="49"/>
      <c r="C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Z261" s="49"/>
      <c r="AA261" s="49"/>
      <c r="AB261" s="49"/>
      <c r="AC261" s="51"/>
      <c r="AD261" s="49"/>
      <c r="AE261" s="51"/>
      <c r="AF261" s="49"/>
      <c r="AG261" s="51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  <c r="AT261" s="51"/>
    </row>
    <row r="262" spans="1:46" s="47" customFormat="1" ht="12.75" customHeight="1">
      <c r="A262" s="49"/>
      <c r="C262" s="49"/>
      <c r="E262" s="119"/>
      <c r="F262" s="49"/>
      <c r="G262" s="119"/>
      <c r="H262" s="49"/>
      <c r="I262" s="119"/>
      <c r="J262" s="49"/>
      <c r="K262" s="119"/>
      <c r="L262" s="49"/>
      <c r="M262" s="119"/>
      <c r="N262" s="49"/>
      <c r="O262" s="119"/>
      <c r="P262" s="49"/>
      <c r="Q262" s="119"/>
      <c r="R262" s="49"/>
      <c r="S262" s="119"/>
      <c r="T262" s="49"/>
      <c r="U262" s="119"/>
      <c r="V262" s="49"/>
      <c r="W262" s="49"/>
      <c r="X262" s="49"/>
      <c r="Z262" s="49"/>
      <c r="AA262" s="49"/>
      <c r="AB262" s="119"/>
      <c r="AC262" s="51"/>
      <c r="AD262" s="119"/>
      <c r="AE262" s="51"/>
      <c r="AF262" s="119"/>
      <c r="AG262" s="51"/>
      <c r="AH262" s="49"/>
      <c r="AI262" s="49"/>
      <c r="AJ262" s="49"/>
      <c r="AK262" s="49"/>
      <c r="AL262" s="119"/>
      <c r="AM262" s="49"/>
      <c r="AN262" s="119"/>
      <c r="AO262" s="49"/>
      <c r="AP262" s="119"/>
      <c r="AQ262" s="49"/>
      <c r="AR262" s="49"/>
      <c r="AS262" s="49"/>
      <c r="AT262" s="51"/>
    </row>
    <row r="263" spans="1:46" s="47" customFormat="1" ht="12.75" customHeight="1">
      <c r="A263" s="49"/>
      <c r="B263" s="51"/>
      <c r="C263" s="49"/>
      <c r="E263" s="119"/>
      <c r="F263" s="49"/>
      <c r="G263" s="119"/>
      <c r="H263" s="49"/>
      <c r="I263" s="119"/>
      <c r="J263" s="49"/>
      <c r="K263" s="119"/>
      <c r="L263" s="49"/>
      <c r="M263" s="119"/>
      <c r="N263" s="49"/>
      <c r="O263" s="119"/>
      <c r="P263" s="49"/>
      <c r="Q263" s="119"/>
      <c r="R263" s="49"/>
      <c r="S263" s="119"/>
      <c r="T263" s="49"/>
      <c r="U263" s="119"/>
      <c r="V263" s="49"/>
      <c r="W263" s="49"/>
      <c r="X263" s="49"/>
      <c r="Z263" s="49"/>
      <c r="AA263" s="49"/>
      <c r="AB263" s="119"/>
      <c r="AC263" s="51"/>
      <c r="AD263" s="119"/>
      <c r="AE263" s="51"/>
      <c r="AF263" s="119"/>
      <c r="AG263" s="51"/>
      <c r="AH263" s="49"/>
      <c r="AI263" s="49"/>
      <c r="AJ263" s="49"/>
      <c r="AK263" s="49"/>
      <c r="AL263" s="119"/>
      <c r="AM263" s="49"/>
      <c r="AN263" s="119"/>
      <c r="AO263" s="49"/>
      <c r="AP263" s="119"/>
      <c r="AQ263" s="49"/>
      <c r="AR263" s="49"/>
      <c r="AS263" s="49"/>
      <c r="AT263" s="51"/>
    </row>
    <row r="264" spans="1:46" s="47" customFormat="1" ht="12.75" customHeight="1">
      <c r="A264" s="49"/>
      <c r="B264" s="51"/>
      <c r="C264" s="49"/>
      <c r="E264" s="119"/>
      <c r="F264" s="49"/>
      <c r="G264" s="119"/>
      <c r="H264" s="49"/>
      <c r="I264" s="119"/>
      <c r="J264" s="49"/>
      <c r="K264" s="119"/>
      <c r="L264" s="49"/>
      <c r="M264" s="119"/>
      <c r="N264" s="49"/>
      <c r="O264" s="119"/>
      <c r="P264" s="49"/>
      <c r="Q264" s="119"/>
      <c r="R264" s="49"/>
      <c r="S264" s="119"/>
      <c r="T264" s="49"/>
      <c r="U264" s="119"/>
      <c r="V264" s="49"/>
      <c r="W264" s="49"/>
      <c r="X264" s="49"/>
      <c r="Z264" s="49"/>
      <c r="AA264" s="49"/>
      <c r="AB264" s="119"/>
      <c r="AC264" s="51"/>
      <c r="AD264" s="119"/>
      <c r="AE264" s="51"/>
      <c r="AF264" s="119"/>
      <c r="AG264" s="51"/>
      <c r="AH264" s="49"/>
      <c r="AI264" s="49"/>
      <c r="AJ264" s="49"/>
      <c r="AK264" s="49"/>
      <c r="AL264" s="119"/>
      <c r="AM264" s="49"/>
      <c r="AN264" s="119"/>
      <c r="AO264" s="49"/>
      <c r="AP264" s="119"/>
      <c r="AQ264" s="49"/>
      <c r="AR264" s="49"/>
      <c r="AS264" s="49"/>
      <c r="AT264" s="51"/>
    </row>
    <row r="265" spans="1:46" s="47" customFormat="1" ht="12.75" customHeight="1">
      <c r="A265" s="49"/>
      <c r="B265" s="51"/>
      <c r="C265" s="49"/>
      <c r="E265" s="119"/>
      <c r="F265" s="49"/>
      <c r="G265" s="119"/>
      <c r="H265" s="49"/>
      <c r="I265" s="119"/>
      <c r="J265" s="49"/>
      <c r="K265" s="119"/>
      <c r="L265" s="49"/>
      <c r="M265" s="119"/>
      <c r="N265" s="49"/>
      <c r="O265" s="119"/>
      <c r="P265" s="49"/>
      <c r="Q265" s="119"/>
      <c r="R265" s="49"/>
      <c r="S265" s="119"/>
      <c r="T265" s="49"/>
      <c r="U265" s="119"/>
      <c r="V265" s="49"/>
      <c r="W265" s="49"/>
      <c r="X265" s="49"/>
      <c r="Z265" s="49"/>
      <c r="AA265" s="49"/>
      <c r="AB265" s="119"/>
      <c r="AC265" s="51"/>
      <c r="AD265" s="119"/>
      <c r="AE265" s="51"/>
      <c r="AF265" s="119"/>
      <c r="AG265" s="51"/>
      <c r="AH265" s="49"/>
      <c r="AI265" s="49"/>
      <c r="AJ265" s="49"/>
      <c r="AK265" s="49"/>
      <c r="AL265" s="119"/>
      <c r="AM265" s="49"/>
      <c r="AN265" s="119"/>
      <c r="AO265" s="49"/>
      <c r="AP265" s="119"/>
      <c r="AQ265" s="49"/>
      <c r="AR265" s="49"/>
      <c r="AS265" s="49"/>
      <c r="AT265" s="51"/>
    </row>
    <row r="266" spans="1:46" s="47" customFormat="1" ht="12.75" customHeight="1">
      <c r="A266" s="49"/>
      <c r="B266" s="51"/>
      <c r="C266" s="49"/>
      <c r="E266" s="119"/>
      <c r="F266" s="49"/>
      <c r="G266" s="119"/>
      <c r="H266" s="49"/>
      <c r="I266" s="119"/>
      <c r="J266" s="49"/>
      <c r="K266" s="119"/>
      <c r="L266" s="49"/>
      <c r="M266" s="119"/>
      <c r="N266" s="49"/>
      <c r="O266" s="119"/>
      <c r="P266" s="49"/>
      <c r="Q266" s="119"/>
      <c r="R266" s="49"/>
      <c r="S266" s="119"/>
      <c r="T266" s="49"/>
      <c r="U266" s="119"/>
      <c r="V266" s="49"/>
      <c r="W266" s="49"/>
      <c r="X266" s="49"/>
      <c r="Z266" s="49"/>
      <c r="AA266" s="49"/>
      <c r="AB266" s="119"/>
      <c r="AC266" s="51"/>
      <c r="AD266" s="119"/>
      <c r="AE266" s="51"/>
      <c r="AF266" s="119"/>
      <c r="AG266" s="51"/>
      <c r="AH266" s="49"/>
      <c r="AI266" s="49"/>
      <c r="AJ266" s="49"/>
      <c r="AK266" s="49"/>
      <c r="AL266" s="119"/>
      <c r="AM266" s="49"/>
      <c r="AN266" s="119"/>
      <c r="AO266" s="49"/>
      <c r="AP266" s="119"/>
      <c r="AQ266" s="49"/>
      <c r="AR266" s="49"/>
      <c r="AS266" s="49"/>
      <c r="AT266" s="51"/>
    </row>
    <row r="267" spans="1:46" s="47" customFormat="1" ht="12.75" customHeight="1">
      <c r="A267" s="49"/>
      <c r="B267" s="51"/>
      <c r="C267" s="49"/>
      <c r="E267" s="119"/>
      <c r="F267" s="49"/>
      <c r="G267" s="119"/>
      <c r="H267" s="49"/>
      <c r="I267" s="119"/>
      <c r="J267" s="49"/>
      <c r="K267" s="119"/>
      <c r="L267" s="49"/>
      <c r="M267" s="119"/>
      <c r="N267" s="49"/>
      <c r="O267" s="119"/>
      <c r="P267" s="49"/>
      <c r="Q267" s="119"/>
      <c r="R267" s="49"/>
      <c r="S267" s="119"/>
      <c r="T267" s="49"/>
      <c r="U267" s="119"/>
      <c r="V267" s="49"/>
      <c r="W267" s="49"/>
      <c r="X267" s="49"/>
      <c r="Z267" s="49"/>
      <c r="AA267" s="49"/>
      <c r="AB267" s="119"/>
      <c r="AC267" s="51"/>
      <c r="AD267" s="119"/>
      <c r="AE267" s="51"/>
      <c r="AF267" s="119"/>
      <c r="AG267" s="51"/>
      <c r="AH267" s="49"/>
      <c r="AI267" s="49"/>
      <c r="AJ267" s="49"/>
      <c r="AK267" s="49"/>
      <c r="AL267" s="119"/>
      <c r="AM267" s="49"/>
      <c r="AN267" s="119"/>
      <c r="AO267" s="49"/>
      <c r="AP267" s="119"/>
      <c r="AQ267" s="49"/>
      <c r="AR267" s="49"/>
      <c r="AS267" s="49"/>
      <c r="AT267" s="51"/>
    </row>
    <row r="268" spans="1:46" s="47" customFormat="1" ht="12.75" customHeight="1">
      <c r="A268" s="49"/>
      <c r="B268" s="51"/>
      <c r="C268" s="49"/>
      <c r="E268" s="119"/>
      <c r="F268" s="49"/>
      <c r="G268" s="119"/>
      <c r="H268" s="49"/>
      <c r="I268" s="119"/>
      <c r="J268" s="49"/>
      <c r="K268" s="119"/>
      <c r="L268" s="49"/>
      <c r="M268" s="119"/>
      <c r="N268" s="49"/>
      <c r="O268" s="119"/>
      <c r="P268" s="49"/>
      <c r="Q268" s="119"/>
      <c r="R268" s="49"/>
      <c r="S268" s="119"/>
      <c r="T268" s="49"/>
      <c r="U268" s="119"/>
      <c r="V268" s="49"/>
      <c r="W268" s="49"/>
      <c r="X268" s="49"/>
      <c r="Z268" s="49"/>
      <c r="AA268" s="49"/>
      <c r="AB268" s="119"/>
      <c r="AC268" s="51"/>
      <c r="AD268" s="119"/>
      <c r="AE268" s="51"/>
      <c r="AF268" s="119"/>
      <c r="AG268" s="51"/>
      <c r="AH268" s="49"/>
      <c r="AI268" s="49"/>
      <c r="AJ268" s="49"/>
      <c r="AK268" s="49"/>
      <c r="AL268" s="119"/>
      <c r="AM268" s="49"/>
      <c r="AN268" s="119"/>
      <c r="AO268" s="49"/>
      <c r="AP268" s="119"/>
      <c r="AQ268" s="49"/>
      <c r="AR268" s="49"/>
      <c r="AS268" s="49"/>
      <c r="AT268" s="51"/>
    </row>
    <row r="269" spans="1:46" s="47" customFormat="1" ht="12.75" customHeight="1">
      <c r="A269" s="49"/>
      <c r="B269" s="51"/>
      <c r="C269" s="49"/>
      <c r="E269" s="119"/>
      <c r="F269" s="49"/>
      <c r="G269" s="119"/>
      <c r="H269" s="49"/>
      <c r="I269" s="119"/>
      <c r="J269" s="49"/>
      <c r="K269" s="119"/>
      <c r="L269" s="49"/>
      <c r="M269" s="119"/>
      <c r="N269" s="49"/>
      <c r="O269" s="119"/>
      <c r="P269" s="49"/>
      <c r="Q269" s="119"/>
      <c r="R269" s="49"/>
      <c r="S269" s="119"/>
      <c r="T269" s="49"/>
      <c r="U269" s="119"/>
      <c r="V269" s="49"/>
      <c r="W269" s="49"/>
      <c r="X269" s="49"/>
      <c r="Z269" s="49"/>
      <c r="AA269" s="49"/>
      <c r="AB269" s="119"/>
      <c r="AC269" s="51"/>
      <c r="AD269" s="119"/>
      <c r="AE269" s="51"/>
      <c r="AF269" s="119"/>
      <c r="AG269" s="51"/>
      <c r="AH269" s="49"/>
      <c r="AI269" s="49"/>
      <c r="AJ269" s="49"/>
      <c r="AK269" s="49"/>
      <c r="AL269" s="119"/>
      <c r="AM269" s="49"/>
      <c r="AN269" s="119"/>
      <c r="AO269" s="49"/>
      <c r="AP269" s="119"/>
      <c r="AQ269" s="49"/>
      <c r="AR269" s="49"/>
      <c r="AS269" s="49"/>
      <c r="AT269" s="51"/>
    </row>
    <row r="270" spans="1:46" s="47" customFormat="1" ht="12.75" customHeight="1">
      <c r="A270" s="49"/>
      <c r="B270" s="51"/>
      <c r="C270" s="49"/>
      <c r="E270" s="119"/>
      <c r="F270" s="49"/>
      <c r="G270" s="119"/>
      <c r="H270" s="49"/>
      <c r="I270" s="119"/>
      <c r="J270" s="49"/>
      <c r="K270" s="119"/>
      <c r="L270" s="49"/>
      <c r="M270" s="119"/>
      <c r="N270" s="49"/>
      <c r="O270" s="119"/>
      <c r="P270" s="49"/>
      <c r="Q270" s="119"/>
      <c r="R270" s="49"/>
      <c r="S270" s="119"/>
      <c r="T270" s="49"/>
      <c r="U270" s="119"/>
      <c r="V270" s="49"/>
      <c r="W270" s="49"/>
      <c r="X270" s="49"/>
      <c r="Z270" s="49"/>
      <c r="AA270" s="49"/>
      <c r="AB270" s="119"/>
      <c r="AC270" s="51"/>
      <c r="AD270" s="119"/>
      <c r="AE270" s="51"/>
      <c r="AF270" s="119"/>
      <c r="AG270" s="51"/>
      <c r="AH270" s="49"/>
      <c r="AI270" s="49"/>
      <c r="AJ270" s="49"/>
      <c r="AK270" s="49"/>
      <c r="AL270" s="119"/>
      <c r="AM270" s="49"/>
      <c r="AN270" s="119"/>
      <c r="AO270" s="49"/>
      <c r="AP270" s="119"/>
      <c r="AQ270" s="49"/>
      <c r="AR270" s="49"/>
      <c r="AS270" s="49"/>
      <c r="AT270" s="51"/>
    </row>
    <row r="271" spans="1:46" s="47" customFormat="1" ht="12.75" customHeight="1">
      <c r="A271" s="49"/>
      <c r="B271" s="51"/>
      <c r="C271" s="49"/>
      <c r="E271" s="119"/>
      <c r="F271" s="49"/>
      <c r="G271" s="119"/>
      <c r="H271" s="49"/>
      <c r="I271" s="119"/>
      <c r="J271" s="49"/>
      <c r="K271" s="119"/>
      <c r="L271" s="49"/>
      <c r="M271" s="119"/>
      <c r="N271" s="49"/>
      <c r="O271" s="119"/>
      <c r="P271" s="49"/>
      <c r="Q271" s="119"/>
      <c r="R271" s="49"/>
      <c r="S271" s="119"/>
      <c r="T271" s="49"/>
      <c r="U271" s="119"/>
      <c r="V271" s="49"/>
      <c r="W271" s="49"/>
      <c r="X271" s="49"/>
      <c r="Z271" s="49"/>
      <c r="AA271" s="49"/>
      <c r="AB271" s="119"/>
      <c r="AC271" s="51"/>
      <c r="AD271" s="119"/>
      <c r="AE271" s="51"/>
      <c r="AF271" s="119"/>
      <c r="AG271" s="51"/>
      <c r="AH271" s="49"/>
      <c r="AI271" s="49"/>
      <c r="AJ271" s="49"/>
      <c r="AK271" s="49"/>
      <c r="AL271" s="119"/>
      <c r="AM271" s="49"/>
      <c r="AN271" s="119"/>
      <c r="AO271" s="49"/>
      <c r="AP271" s="119"/>
      <c r="AQ271" s="49"/>
      <c r="AR271" s="49"/>
      <c r="AS271" s="49"/>
      <c r="AT271" s="51"/>
    </row>
    <row r="272" spans="1:46" s="47" customFormat="1" ht="12.75" customHeight="1">
      <c r="A272" s="49"/>
      <c r="B272" s="51"/>
      <c r="C272" s="49"/>
      <c r="E272" s="119"/>
      <c r="F272" s="49"/>
      <c r="G272" s="119"/>
      <c r="H272" s="49"/>
      <c r="I272" s="119"/>
      <c r="J272" s="49"/>
      <c r="K272" s="119"/>
      <c r="L272" s="49"/>
      <c r="M272" s="119"/>
      <c r="N272" s="49"/>
      <c r="O272" s="119"/>
      <c r="P272" s="49"/>
      <c r="Q272" s="119"/>
      <c r="R272" s="49"/>
      <c r="S272" s="119"/>
      <c r="T272" s="49"/>
      <c r="U272" s="119"/>
      <c r="V272" s="49"/>
      <c r="W272" s="49"/>
      <c r="X272" s="49"/>
      <c r="Z272" s="49"/>
      <c r="AA272" s="49"/>
      <c r="AB272" s="119"/>
      <c r="AC272" s="51"/>
      <c r="AD272" s="119"/>
      <c r="AE272" s="51"/>
      <c r="AF272" s="119"/>
      <c r="AG272" s="51"/>
      <c r="AH272" s="49"/>
      <c r="AI272" s="49"/>
      <c r="AJ272" s="49"/>
      <c r="AK272" s="49"/>
      <c r="AL272" s="119"/>
      <c r="AM272" s="49"/>
      <c r="AN272" s="119"/>
      <c r="AO272" s="49"/>
      <c r="AP272" s="119"/>
      <c r="AQ272" s="49"/>
      <c r="AR272" s="49"/>
      <c r="AS272" s="49"/>
      <c r="AT272" s="51"/>
    </row>
    <row r="273" spans="1:46" s="47" customFormat="1" ht="12.75" customHeight="1">
      <c r="A273" s="49"/>
      <c r="B273" s="51"/>
      <c r="C273" s="49"/>
      <c r="E273" s="119"/>
      <c r="F273" s="49"/>
      <c r="G273" s="119"/>
      <c r="H273" s="49"/>
      <c r="I273" s="119"/>
      <c r="J273" s="49"/>
      <c r="K273" s="119"/>
      <c r="L273" s="49"/>
      <c r="M273" s="119"/>
      <c r="N273" s="49"/>
      <c r="O273" s="119"/>
      <c r="P273" s="49"/>
      <c r="Q273" s="119"/>
      <c r="R273" s="49"/>
      <c r="S273" s="119"/>
      <c r="T273" s="49"/>
      <c r="U273" s="119"/>
      <c r="V273" s="49"/>
      <c r="W273" s="49"/>
      <c r="X273" s="49"/>
      <c r="Z273" s="49"/>
      <c r="AA273" s="49"/>
      <c r="AB273" s="119"/>
      <c r="AC273" s="51"/>
      <c r="AD273" s="119"/>
      <c r="AE273" s="51"/>
      <c r="AF273" s="119"/>
      <c r="AG273" s="51"/>
      <c r="AH273" s="49"/>
      <c r="AI273" s="49"/>
      <c r="AJ273" s="49"/>
      <c r="AK273" s="49"/>
      <c r="AL273" s="119"/>
      <c r="AM273" s="49"/>
      <c r="AN273" s="119"/>
      <c r="AO273" s="49"/>
      <c r="AP273" s="119"/>
      <c r="AQ273" s="49"/>
      <c r="AR273" s="49"/>
      <c r="AS273" s="49"/>
      <c r="AT273" s="51"/>
    </row>
    <row r="274" spans="1:46" s="47" customFormat="1" ht="12.75" customHeight="1">
      <c r="A274" s="49"/>
      <c r="B274" s="51"/>
      <c r="C274" s="49"/>
      <c r="E274" s="119"/>
      <c r="F274" s="49"/>
      <c r="G274" s="119"/>
      <c r="H274" s="49"/>
      <c r="I274" s="119"/>
      <c r="J274" s="49"/>
      <c r="K274" s="119"/>
      <c r="L274" s="49"/>
      <c r="M274" s="119"/>
      <c r="N274" s="49"/>
      <c r="O274" s="119"/>
      <c r="P274" s="49"/>
      <c r="Q274" s="119"/>
      <c r="R274" s="49"/>
      <c r="S274" s="119"/>
      <c r="T274" s="49"/>
      <c r="U274" s="119"/>
      <c r="V274" s="49"/>
      <c r="W274" s="49"/>
      <c r="X274" s="49"/>
      <c r="Z274" s="49"/>
      <c r="AA274" s="49"/>
      <c r="AB274" s="119"/>
      <c r="AC274" s="51"/>
      <c r="AD274" s="119"/>
      <c r="AE274" s="51"/>
      <c r="AF274" s="119"/>
      <c r="AG274" s="51"/>
      <c r="AH274" s="49"/>
      <c r="AI274" s="49"/>
      <c r="AJ274" s="49"/>
      <c r="AK274" s="49"/>
      <c r="AL274" s="119"/>
      <c r="AM274" s="49"/>
      <c r="AN274" s="119"/>
      <c r="AO274" s="49"/>
      <c r="AP274" s="119"/>
      <c r="AQ274" s="49"/>
      <c r="AR274" s="49"/>
      <c r="AS274" s="49"/>
      <c r="AT274" s="51"/>
    </row>
    <row r="275" spans="1:46" s="47" customFormat="1" ht="12.75" customHeight="1">
      <c r="A275" s="49"/>
      <c r="B275" s="51"/>
      <c r="C275" s="49"/>
      <c r="E275" s="119"/>
      <c r="F275" s="49"/>
      <c r="G275" s="119"/>
      <c r="H275" s="49"/>
      <c r="I275" s="119"/>
      <c r="J275" s="49"/>
      <c r="K275" s="119"/>
      <c r="L275" s="49"/>
      <c r="M275" s="119"/>
      <c r="N275" s="49"/>
      <c r="O275" s="119"/>
      <c r="P275" s="49"/>
      <c r="Q275" s="119"/>
      <c r="R275" s="49"/>
      <c r="S275" s="119"/>
      <c r="T275" s="49"/>
      <c r="U275" s="119"/>
      <c r="V275" s="49"/>
      <c r="W275" s="49"/>
      <c r="X275" s="49"/>
      <c r="Z275" s="49"/>
      <c r="AA275" s="49"/>
      <c r="AB275" s="119"/>
      <c r="AC275" s="51"/>
      <c r="AD275" s="119"/>
      <c r="AE275" s="51"/>
      <c r="AF275" s="119"/>
      <c r="AG275" s="51"/>
      <c r="AH275" s="49"/>
      <c r="AI275" s="49"/>
      <c r="AJ275" s="49"/>
      <c r="AK275" s="49"/>
      <c r="AL275" s="119"/>
      <c r="AM275" s="49"/>
      <c r="AN275" s="119"/>
      <c r="AO275" s="49"/>
      <c r="AP275" s="119"/>
      <c r="AQ275" s="49"/>
      <c r="AR275" s="49"/>
      <c r="AS275" s="49"/>
      <c r="AT275" s="51"/>
    </row>
    <row r="276" spans="1:46" s="47" customFormat="1" ht="12.75" customHeight="1">
      <c r="A276" s="49"/>
      <c r="B276" s="51"/>
      <c r="C276" s="49"/>
      <c r="E276" s="119"/>
      <c r="F276" s="49"/>
      <c r="G276" s="119"/>
      <c r="H276" s="49"/>
      <c r="I276" s="119"/>
      <c r="J276" s="49"/>
      <c r="K276" s="119"/>
      <c r="L276" s="49"/>
      <c r="M276" s="119"/>
      <c r="N276" s="49"/>
      <c r="O276" s="119"/>
      <c r="P276" s="49"/>
      <c r="Q276" s="119"/>
      <c r="R276" s="49"/>
      <c r="S276" s="119"/>
      <c r="T276" s="49"/>
      <c r="U276" s="119"/>
      <c r="V276" s="49"/>
      <c r="W276" s="49"/>
      <c r="X276" s="49"/>
      <c r="Z276" s="49"/>
      <c r="AA276" s="49"/>
      <c r="AB276" s="119"/>
      <c r="AC276" s="51"/>
      <c r="AD276" s="119"/>
      <c r="AE276" s="51"/>
      <c r="AF276" s="119"/>
      <c r="AG276" s="51"/>
      <c r="AH276" s="49"/>
      <c r="AI276" s="49"/>
      <c r="AJ276" s="49"/>
      <c r="AK276" s="49"/>
      <c r="AL276" s="119"/>
      <c r="AM276" s="49"/>
      <c r="AN276" s="119"/>
      <c r="AO276" s="49"/>
      <c r="AP276" s="119"/>
      <c r="AQ276" s="49"/>
      <c r="AR276" s="49"/>
      <c r="AS276" s="49"/>
      <c r="AT276" s="51"/>
    </row>
    <row r="277" spans="1:46" s="47" customFormat="1" ht="12.75" customHeight="1">
      <c r="A277" s="49"/>
      <c r="B277" s="51"/>
      <c r="C277" s="49"/>
      <c r="E277" s="119"/>
      <c r="F277" s="49"/>
      <c r="G277" s="119"/>
      <c r="H277" s="49"/>
      <c r="I277" s="119"/>
      <c r="J277" s="49"/>
      <c r="K277" s="119"/>
      <c r="L277" s="49"/>
      <c r="M277" s="119"/>
      <c r="N277" s="49"/>
      <c r="O277" s="119"/>
      <c r="P277" s="49"/>
      <c r="Q277" s="119"/>
      <c r="R277" s="49"/>
      <c r="S277" s="119"/>
      <c r="T277" s="49"/>
      <c r="U277" s="119"/>
      <c r="V277" s="49"/>
      <c r="W277" s="49"/>
      <c r="X277" s="49"/>
      <c r="Z277" s="49"/>
      <c r="AA277" s="49"/>
      <c r="AB277" s="119"/>
      <c r="AC277" s="51"/>
      <c r="AD277" s="119"/>
      <c r="AE277" s="51"/>
      <c r="AF277" s="119"/>
      <c r="AG277" s="51"/>
      <c r="AH277" s="49"/>
      <c r="AI277" s="49"/>
      <c r="AJ277" s="49"/>
      <c r="AK277" s="49"/>
      <c r="AL277" s="119"/>
      <c r="AM277" s="49"/>
      <c r="AN277" s="119"/>
      <c r="AO277" s="49"/>
      <c r="AP277" s="119"/>
      <c r="AQ277" s="49"/>
      <c r="AR277" s="49"/>
      <c r="AS277" s="49"/>
      <c r="AT277" s="51"/>
    </row>
    <row r="278" spans="1:46" s="47" customFormat="1" ht="12.75" customHeight="1">
      <c r="A278" s="49"/>
      <c r="B278" s="51"/>
      <c r="C278" s="49"/>
      <c r="E278" s="119"/>
      <c r="F278" s="49"/>
      <c r="G278" s="119"/>
      <c r="H278" s="49"/>
      <c r="I278" s="119"/>
      <c r="J278" s="49"/>
      <c r="K278" s="119"/>
      <c r="L278" s="49"/>
      <c r="M278" s="119"/>
      <c r="N278" s="49"/>
      <c r="O278" s="119"/>
      <c r="P278" s="49"/>
      <c r="Q278" s="119"/>
      <c r="R278" s="49"/>
      <c r="S278" s="119"/>
      <c r="T278" s="49"/>
      <c r="U278" s="119"/>
      <c r="V278" s="49"/>
      <c r="W278" s="49"/>
      <c r="X278" s="49"/>
      <c r="Z278" s="49"/>
      <c r="AA278" s="49"/>
      <c r="AB278" s="119"/>
      <c r="AC278" s="51"/>
      <c r="AD278" s="119"/>
      <c r="AE278" s="51"/>
      <c r="AF278" s="119"/>
      <c r="AG278" s="51"/>
      <c r="AH278" s="49"/>
      <c r="AI278" s="49"/>
      <c r="AJ278" s="49"/>
      <c r="AK278" s="49"/>
      <c r="AL278" s="119"/>
      <c r="AM278" s="49"/>
      <c r="AN278" s="119"/>
      <c r="AO278" s="49"/>
      <c r="AP278" s="119"/>
      <c r="AQ278" s="49"/>
      <c r="AR278" s="49"/>
      <c r="AS278" s="49"/>
      <c r="AT278" s="51"/>
    </row>
    <row r="279" spans="1:46" s="47" customFormat="1" ht="12.75" customHeight="1">
      <c r="A279" s="49"/>
      <c r="B279" s="51"/>
      <c r="C279" s="49"/>
      <c r="E279" s="119"/>
      <c r="F279" s="49"/>
      <c r="G279" s="119"/>
      <c r="H279" s="49"/>
      <c r="I279" s="119"/>
      <c r="J279" s="49"/>
      <c r="K279" s="119"/>
      <c r="L279" s="49"/>
      <c r="M279" s="119"/>
      <c r="N279" s="49"/>
      <c r="O279" s="119"/>
      <c r="P279" s="49"/>
      <c r="Q279" s="119"/>
      <c r="R279" s="49"/>
      <c r="S279" s="119"/>
      <c r="T279" s="49"/>
      <c r="U279" s="119"/>
      <c r="V279" s="49"/>
      <c r="W279" s="49"/>
      <c r="X279" s="49"/>
      <c r="Z279" s="49"/>
      <c r="AA279" s="49"/>
      <c r="AB279" s="119"/>
      <c r="AC279" s="51"/>
      <c r="AD279" s="119"/>
      <c r="AE279" s="51"/>
      <c r="AF279" s="119"/>
      <c r="AG279" s="51"/>
      <c r="AH279" s="49"/>
      <c r="AI279" s="49"/>
      <c r="AJ279" s="49"/>
      <c r="AK279" s="49"/>
      <c r="AL279" s="119"/>
      <c r="AM279" s="49"/>
      <c r="AN279" s="119"/>
      <c r="AO279" s="49"/>
      <c r="AP279" s="119"/>
      <c r="AQ279" s="49"/>
      <c r="AR279" s="49"/>
      <c r="AS279" s="49"/>
      <c r="AT279" s="51"/>
    </row>
    <row r="280" spans="1:46" s="47" customFormat="1" ht="12.75" customHeight="1">
      <c r="A280" s="49"/>
      <c r="B280" s="51"/>
      <c r="C280" s="49"/>
      <c r="E280" s="119"/>
      <c r="F280" s="49"/>
      <c r="G280" s="119"/>
      <c r="H280" s="49"/>
      <c r="I280" s="119"/>
      <c r="J280" s="49"/>
      <c r="K280" s="119"/>
      <c r="L280" s="49"/>
      <c r="M280" s="119"/>
      <c r="N280" s="49"/>
      <c r="O280" s="119"/>
      <c r="P280" s="49"/>
      <c r="Q280" s="119"/>
      <c r="R280" s="49"/>
      <c r="S280" s="119"/>
      <c r="T280" s="49"/>
      <c r="U280" s="119"/>
      <c r="V280" s="49"/>
      <c r="W280" s="49"/>
      <c r="X280" s="49"/>
      <c r="Z280" s="49"/>
      <c r="AA280" s="49"/>
      <c r="AB280" s="119"/>
      <c r="AC280" s="51"/>
      <c r="AD280" s="119"/>
      <c r="AE280" s="51"/>
      <c r="AF280" s="119"/>
      <c r="AG280" s="51"/>
      <c r="AH280" s="49"/>
      <c r="AI280" s="49"/>
      <c r="AJ280" s="49"/>
      <c r="AK280" s="49"/>
      <c r="AL280" s="119"/>
      <c r="AM280" s="49"/>
      <c r="AN280" s="119"/>
      <c r="AO280" s="49"/>
      <c r="AP280" s="119"/>
      <c r="AQ280" s="49"/>
      <c r="AR280" s="49"/>
      <c r="AS280" s="49"/>
      <c r="AT280" s="51"/>
    </row>
    <row r="281" spans="1:46" s="47" customFormat="1" ht="12.75" customHeight="1">
      <c r="A281" s="49"/>
      <c r="B281" s="51"/>
      <c r="C281" s="49"/>
      <c r="E281" s="119"/>
      <c r="F281" s="49"/>
      <c r="G281" s="119"/>
      <c r="H281" s="49"/>
      <c r="I281" s="119"/>
      <c r="J281" s="49"/>
      <c r="K281" s="119"/>
      <c r="L281" s="49"/>
      <c r="M281" s="119"/>
      <c r="N281" s="49"/>
      <c r="O281" s="119"/>
      <c r="P281" s="49"/>
      <c r="Q281" s="119"/>
      <c r="R281" s="49"/>
      <c r="S281" s="119"/>
      <c r="T281" s="49"/>
      <c r="U281" s="119"/>
      <c r="V281" s="49"/>
      <c r="W281" s="49"/>
      <c r="X281" s="49"/>
      <c r="Z281" s="49"/>
      <c r="AA281" s="49"/>
      <c r="AB281" s="119"/>
      <c r="AC281" s="51"/>
      <c r="AD281" s="119"/>
      <c r="AE281" s="51"/>
      <c r="AF281" s="119"/>
      <c r="AG281" s="51"/>
      <c r="AH281" s="49"/>
      <c r="AI281" s="49"/>
      <c r="AJ281" s="49"/>
      <c r="AK281" s="49"/>
      <c r="AL281" s="119"/>
      <c r="AM281" s="49"/>
      <c r="AN281" s="119"/>
      <c r="AO281" s="49"/>
      <c r="AP281" s="119"/>
      <c r="AQ281" s="49"/>
      <c r="AR281" s="49"/>
      <c r="AS281" s="49"/>
      <c r="AT281" s="51"/>
    </row>
    <row r="282" spans="1:46" s="47" customFormat="1" ht="12.75" customHeight="1">
      <c r="A282" s="49"/>
      <c r="B282" s="51"/>
      <c r="C282" s="49"/>
      <c r="E282" s="119"/>
      <c r="F282" s="49"/>
      <c r="G282" s="119"/>
      <c r="H282" s="49"/>
      <c r="I282" s="119"/>
      <c r="J282" s="49"/>
      <c r="K282" s="119"/>
      <c r="L282" s="49"/>
      <c r="M282" s="119"/>
      <c r="N282" s="49"/>
      <c r="O282" s="119"/>
      <c r="P282" s="49"/>
      <c r="Q282" s="119"/>
      <c r="R282" s="49"/>
      <c r="S282" s="119"/>
      <c r="T282" s="49"/>
      <c r="U282" s="119"/>
      <c r="V282" s="49"/>
      <c r="W282" s="49"/>
      <c r="X282" s="49"/>
      <c r="Z282" s="49"/>
      <c r="AA282" s="49"/>
      <c r="AB282" s="119"/>
      <c r="AC282" s="51"/>
      <c r="AD282" s="119"/>
      <c r="AE282" s="51"/>
      <c r="AF282" s="119"/>
      <c r="AG282" s="51"/>
      <c r="AH282" s="49"/>
      <c r="AI282" s="49"/>
      <c r="AJ282" s="49"/>
      <c r="AK282" s="49"/>
      <c r="AL282" s="119"/>
      <c r="AM282" s="49"/>
      <c r="AN282" s="119"/>
      <c r="AO282" s="49"/>
      <c r="AP282" s="119"/>
      <c r="AQ282" s="49"/>
      <c r="AR282" s="49"/>
      <c r="AS282" s="49"/>
      <c r="AT282" s="51"/>
    </row>
    <row r="283" spans="1:46" s="47" customFormat="1" ht="12.75" customHeight="1">
      <c r="A283" s="49"/>
      <c r="B283" s="51"/>
      <c r="C283" s="49"/>
      <c r="E283" s="119"/>
      <c r="F283" s="49"/>
      <c r="G283" s="119"/>
      <c r="H283" s="49"/>
      <c r="I283" s="119"/>
      <c r="J283" s="49"/>
      <c r="K283" s="119"/>
      <c r="L283" s="49"/>
      <c r="M283" s="119"/>
      <c r="N283" s="49"/>
      <c r="O283" s="119"/>
      <c r="P283" s="49"/>
      <c r="Q283" s="119"/>
      <c r="R283" s="49"/>
      <c r="S283" s="119"/>
      <c r="T283" s="49"/>
      <c r="U283" s="119"/>
      <c r="V283" s="49"/>
      <c r="W283" s="49"/>
      <c r="X283" s="49"/>
      <c r="Z283" s="49"/>
      <c r="AA283" s="49"/>
      <c r="AB283" s="119"/>
      <c r="AC283" s="51"/>
      <c r="AD283" s="119"/>
      <c r="AE283" s="51"/>
      <c r="AF283" s="119"/>
      <c r="AG283" s="51"/>
      <c r="AH283" s="49"/>
      <c r="AI283" s="49"/>
      <c r="AJ283" s="49"/>
      <c r="AK283" s="49"/>
      <c r="AL283" s="119"/>
      <c r="AM283" s="49"/>
      <c r="AN283" s="119"/>
      <c r="AO283" s="49"/>
      <c r="AP283" s="119"/>
      <c r="AQ283" s="49"/>
      <c r="AR283" s="49"/>
      <c r="AS283" s="49"/>
      <c r="AT283" s="51"/>
    </row>
    <row r="284" spans="1:46" s="47" customFormat="1" ht="12.75" customHeight="1">
      <c r="A284" s="49"/>
      <c r="B284" s="51"/>
      <c r="C284" s="49"/>
      <c r="E284" s="119"/>
      <c r="F284" s="49"/>
      <c r="G284" s="119"/>
      <c r="H284" s="49"/>
      <c r="I284" s="119"/>
      <c r="J284" s="49"/>
      <c r="K284" s="119"/>
      <c r="L284" s="49"/>
      <c r="M284" s="119"/>
      <c r="N284" s="49"/>
      <c r="O284" s="119"/>
      <c r="P284" s="49"/>
      <c r="Q284" s="119"/>
      <c r="R284" s="49"/>
      <c r="S284" s="119"/>
      <c r="T284" s="49"/>
      <c r="U284" s="119"/>
      <c r="V284" s="49"/>
      <c r="W284" s="49"/>
      <c r="X284" s="49"/>
      <c r="Z284" s="49"/>
      <c r="AA284" s="49"/>
      <c r="AB284" s="119"/>
      <c r="AC284" s="51"/>
      <c r="AD284" s="119"/>
      <c r="AE284" s="51"/>
      <c r="AF284" s="119"/>
      <c r="AG284" s="51"/>
      <c r="AH284" s="49"/>
      <c r="AI284" s="49"/>
      <c r="AJ284" s="49"/>
      <c r="AK284" s="49"/>
      <c r="AL284" s="119"/>
      <c r="AM284" s="49"/>
      <c r="AN284" s="119"/>
      <c r="AO284" s="49"/>
      <c r="AP284" s="119"/>
      <c r="AQ284" s="49"/>
      <c r="AR284" s="49"/>
      <c r="AS284" s="49"/>
      <c r="AT284" s="51"/>
    </row>
    <row r="285" spans="1:46" s="47" customFormat="1" ht="12.75" customHeight="1">
      <c r="A285" s="49"/>
      <c r="B285" s="51"/>
      <c r="C285" s="49"/>
      <c r="E285" s="119"/>
      <c r="F285" s="49"/>
      <c r="G285" s="119"/>
      <c r="H285" s="49"/>
      <c r="I285" s="119"/>
      <c r="J285" s="49"/>
      <c r="K285" s="119"/>
      <c r="L285" s="49"/>
      <c r="M285" s="119"/>
      <c r="N285" s="49"/>
      <c r="O285" s="119"/>
      <c r="P285" s="49"/>
      <c r="Q285" s="119"/>
      <c r="R285" s="49"/>
      <c r="S285" s="119"/>
      <c r="T285" s="49"/>
      <c r="U285" s="119"/>
      <c r="V285" s="49"/>
      <c r="W285" s="49"/>
      <c r="X285" s="49"/>
      <c r="Z285" s="49"/>
      <c r="AA285" s="49"/>
      <c r="AB285" s="119"/>
      <c r="AC285" s="51"/>
      <c r="AD285" s="119"/>
      <c r="AE285" s="51"/>
      <c r="AF285" s="119"/>
      <c r="AG285" s="51"/>
      <c r="AH285" s="49"/>
      <c r="AI285" s="49"/>
      <c r="AJ285" s="49"/>
      <c r="AK285" s="49"/>
      <c r="AL285" s="119"/>
      <c r="AM285" s="49"/>
      <c r="AN285" s="119"/>
      <c r="AO285" s="49"/>
      <c r="AP285" s="119"/>
      <c r="AQ285" s="49"/>
      <c r="AR285" s="49"/>
      <c r="AS285" s="49"/>
      <c r="AT285" s="51"/>
    </row>
    <row r="286" spans="1:46" s="47" customFormat="1" ht="12.75" customHeight="1">
      <c r="A286" s="49"/>
      <c r="B286" s="51"/>
      <c r="C286" s="49"/>
      <c r="E286" s="119"/>
      <c r="F286" s="49"/>
      <c r="G286" s="119"/>
      <c r="H286" s="49"/>
      <c r="I286" s="119"/>
      <c r="J286" s="49"/>
      <c r="K286" s="119"/>
      <c r="L286" s="49"/>
      <c r="M286" s="119"/>
      <c r="N286" s="49"/>
      <c r="O286" s="119"/>
      <c r="P286" s="49"/>
      <c r="Q286" s="119"/>
      <c r="R286" s="49"/>
      <c r="S286" s="119"/>
      <c r="T286" s="49"/>
      <c r="U286" s="119"/>
      <c r="V286" s="49"/>
      <c r="W286" s="49"/>
      <c r="X286" s="49"/>
      <c r="Z286" s="49"/>
      <c r="AA286" s="49"/>
      <c r="AB286" s="119"/>
      <c r="AC286" s="51"/>
      <c r="AD286" s="119"/>
      <c r="AE286" s="51"/>
      <c r="AF286" s="119"/>
      <c r="AG286" s="51"/>
      <c r="AH286" s="49"/>
      <c r="AI286" s="49"/>
      <c r="AJ286" s="49"/>
      <c r="AK286" s="49"/>
      <c r="AL286" s="119"/>
      <c r="AM286" s="49"/>
      <c r="AN286" s="119"/>
      <c r="AO286" s="49"/>
      <c r="AP286" s="119"/>
      <c r="AQ286" s="49"/>
      <c r="AR286" s="49"/>
      <c r="AS286" s="49"/>
      <c r="AT286" s="51"/>
    </row>
    <row r="287" spans="1:46" s="47" customFormat="1" ht="12.75" customHeight="1">
      <c r="A287" s="49"/>
      <c r="B287" s="51"/>
      <c r="C287" s="49"/>
      <c r="E287" s="119"/>
      <c r="F287" s="49"/>
      <c r="G287" s="119"/>
      <c r="H287" s="49"/>
      <c r="I287" s="119"/>
      <c r="J287" s="49"/>
      <c r="K287" s="119"/>
      <c r="L287" s="49"/>
      <c r="M287" s="119"/>
      <c r="N287" s="49"/>
      <c r="O287" s="119"/>
      <c r="P287" s="49"/>
      <c r="Q287" s="119"/>
      <c r="R287" s="49"/>
      <c r="S287" s="119"/>
      <c r="T287" s="49"/>
      <c r="U287" s="119"/>
      <c r="V287" s="49"/>
      <c r="W287" s="49"/>
      <c r="X287" s="49"/>
      <c r="Z287" s="49"/>
      <c r="AA287" s="49"/>
      <c r="AB287" s="119"/>
      <c r="AC287" s="51"/>
      <c r="AD287" s="119"/>
      <c r="AE287" s="51"/>
      <c r="AF287" s="119"/>
      <c r="AG287" s="51"/>
      <c r="AH287" s="49"/>
      <c r="AI287" s="49"/>
      <c r="AJ287" s="49"/>
      <c r="AK287" s="49"/>
      <c r="AL287" s="119"/>
      <c r="AM287" s="49"/>
      <c r="AN287" s="119"/>
      <c r="AO287" s="49"/>
      <c r="AP287" s="119"/>
      <c r="AQ287" s="49"/>
      <c r="AR287" s="49"/>
      <c r="AS287" s="49"/>
      <c r="AT287" s="51"/>
    </row>
    <row r="288" spans="1:46" s="47" customFormat="1" ht="12.75" customHeight="1">
      <c r="A288" s="49"/>
      <c r="B288" s="51"/>
      <c r="C288" s="49"/>
      <c r="E288" s="119"/>
      <c r="F288" s="49"/>
      <c r="G288" s="119"/>
      <c r="H288" s="49"/>
      <c r="I288" s="119"/>
      <c r="J288" s="49"/>
      <c r="K288" s="119"/>
      <c r="L288" s="49"/>
      <c r="M288" s="119"/>
      <c r="N288" s="49"/>
      <c r="O288" s="119"/>
      <c r="P288" s="49"/>
      <c r="Q288" s="119"/>
      <c r="R288" s="49"/>
      <c r="S288" s="119"/>
      <c r="T288" s="49"/>
      <c r="U288" s="119"/>
      <c r="V288" s="49"/>
      <c r="W288" s="49"/>
      <c r="X288" s="49"/>
      <c r="Z288" s="49"/>
      <c r="AA288" s="49"/>
      <c r="AB288" s="119"/>
      <c r="AC288" s="51"/>
      <c r="AD288" s="119"/>
      <c r="AE288" s="51"/>
      <c r="AF288" s="119"/>
      <c r="AG288" s="51"/>
      <c r="AH288" s="49"/>
      <c r="AI288" s="49"/>
      <c r="AJ288" s="49"/>
      <c r="AK288" s="49"/>
      <c r="AL288" s="119"/>
      <c r="AM288" s="49"/>
      <c r="AN288" s="119"/>
      <c r="AO288" s="49"/>
      <c r="AP288" s="119"/>
      <c r="AQ288" s="49"/>
      <c r="AR288" s="49"/>
      <c r="AS288" s="49"/>
      <c r="AT288" s="51"/>
    </row>
    <row r="289" spans="1:46" s="47" customFormat="1" ht="12.75" customHeight="1">
      <c r="A289" s="49"/>
      <c r="B289" s="51"/>
      <c r="C289" s="49"/>
      <c r="E289" s="119"/>
      <c r="F289" s="49"/>
      <c r="G289" s="119"/>
      <c r="H289" s="49"/>
      <c r="I289" s="119"/>
      <c r="J289" s="49"/>
      <c r="K289" s="119"/>
      <c r="L289" s="49"/>
      <c r="M289" s="119"/>
      <c r="N289" s="49"/>
      <c r="O289" s="119"/>
      <c r="P289" s="49"/>
      <c r="Q289" s="119"/>
      <c r="R289" s="49"/>
      <c r="S289" s="119"/>
      <c r="T289" s="49"/>
      <c r="U289" s="119"/>
      <c r="V289" s="49"/>
      <c r="W289" s="49"/>
      <c r="X289" s="49"/>
      <c r="Z289" s="49"/>
      <c r="AA289" s="49"/>
      <c r="AB289" s="119"/>
      <c r="AC289" s="51"/>
      <c r="AD289" s="119"/>
      <c r="AE289" s="51"/>
      <c r="AF289" s="119"/>
      <c r="AG289" s="51"/>
      <c r="AH289" s="49"/>
      <c r="AI289" s="49"/>
      <c r="AJ289" s="49"/>
      <c r="AK289" s="49"/>
      <c r="AL289" s="119"/>
      <c r="AM289" s="49"/>
      <c r="AN289" s="119"/>
      <c r="AO289" s="49"/>
      <c r="AP289" s="119"/>
      <c r="AQ289" s="49"/>
      <c r="AR289" s="49"/>
      <c r="AS289" s="49"/>
      <c r="AT289" s="51"/>
    </row>
    <row r="290" spans="1:46" s="47" customFormat="1" ht="12.75" customHeight="1">
      <c r="A290" s="49"/>
      <c r="B290" s="51"/>
      <c r="C290" s="49"/>
      <c r="E290" s="119"/>
      <c r="F290" s="49"/>
      <c r="G290" s="119"/>
      <c r="H290" s="49"/>
      <c r="I290" s="119"/>
      <c r="J290" s="49"/>
      <c r="K290" s="119"/>
      <c r="L290" s="49"/>
      <c r="M290" s="119"/>
      <c r="N290" s="49"/>
      <c r="O290" s="119"/>
      <c r="P290" s="49"/>
      <c r="Q290" s="119"/>
      <c r="R290" s="49"/>
      <c r="S290" s="119"/>
      <c r="T290" s="49"/>
      <c r="U290" s="119"/>
      <c r="V290" s="49"/>
      <c r="W290" s="49"/>
      <c r="X290" s="49"/>
      <c r="Z290" s="49"/>
      <c r="AA290" s="49"/>
      <c r="AB290" s="119"/>
      <c r="AC290" s="51"/>
      <c r="AD290" s="119"/>
      <c r="AE290" s="51"/>
      <c r="AF290" s="119"/>
      <c r="AG290" s="51"/>
      <c r="AH290" s="49"/>
      <c r="AI290" s="49"/>
      <c r="AJ290" s="49"/>
      <c r="AK290" s="49"/>
      <c r="AL290" s="119"/>
      <c r="AM290" s="49"/>
      <c r="AN290" s="119"/>
      <c r="AO290" s="49"/>
      <c r="AP290" s="119"/>
      <c r="AQ290" s="49"/>
      <c r="AR290" s="49"/>
      <c r="AS290" s="49"/>
      <c r="AT290" s="51"/>
    </row>
    <row r="291" spans="1:46" s="47" customFormat="1" ht="12.75" customHeight="1">
      <c r="A291" s="49"/>
      <c r="B291" s="51"/>
      <c r="C291" s="49"/>
      <c r="E291" s="119"/>
      <c r="F291" s="49"/>
      <c r="G291" s="119"/>
      <c r="H291" s="49"/>
      <c r="I291" s="119"/>
      <c r="J291" s="49"/>
      <c r="K291" s="119"/>
      <c r="L291" s="49"/>
      <c r="M291" s="119"/>
      <c r="N291" s="49"/>
      <c r="O291" s="119"/>
      <c r="P291" s="49"/>
      <c r="Q291" s="119"/>
      <c r="R291" s="49"/>
      <c r="S291" s="119"/>
      <c r="T291" s="49"/>
      <c r="U291" s="119"/>
      <c r="V291" s="49"/>
      <c r="W291" s="49"/>
      <c r="X291" s="49"/>
      <c r="Z291" s="49"/>
      <c r="AA291" s="49"/>
      <c r="AB291" s="119"/>
      <c r="AC291" s="51"/>
      <c r="AD291" s="119"/>
      <c r="AE291" s="51"/>
      <c r="AF291" s="119"/>
      <c r="AG291" s="51"/>
      <c r="AH291" s="49"/>
      <c r="AI291" s="49"/>
      <c r="AJ291" s="49"/>
      <c r="AK291" s="49"/>
      <c r="AL291" s="119"/>
      <c r="AM291" s="49"/>
      <c r="AN291" s="119"/>
      <c r="AO291" s="49"/>
      <c r="AP291" s="119"/>
      <c r="AQ291" s="49"/>
      <c r="AR291" s="49"/>
      <c r="AS291" s="49"/>
      <c r="AT291" s="51"/>
    </row>
    <row r="292" spans="1:46" s="47" customFormat="1" ht="12.75" customHeight="1">
      <c r="A292" s="49"/>
      <c r="B292" s="51"/>
      <c r="C292" s="49"/>
      <c r="E292" s="119"/>
      <c r="F292" s="49"/>
      <c r="G292" s="119"/>
      <c r="H292" s="49"/>
      <c r="I292" s="119"/>
      <c r="J292" s="49"/>
      <c r="K292" s="119"/>
      <c r="L292" s="49"/>
      <c r="M292" s="119"/>
      <c r="N292" s="49"/>
      <c r="O292" s="119"/>
      <c r="P292" s="49"/>
      <c r="Q292" s="119"/>
      <c r="R292" s="49"/>
      <c r="S292" s="119"/>
      <c r="T292" s="49"/>
      <c r="U292" s="119"/>
      <c r="V292" s="49"/>
      <c r="W292" s="49"/>
      <c r="X292" s="49"/>
      <c r="Z292" s="49"/>
      <c r="AA292" s="49"/>
      <c r="AB292" s="119"/>
      <c r="AC292" s="51"/>
      <c r="AD292" s="119"/>
      <c r="AE292" s="51"/>
      <c r="AF292" s="119"/>
      <c r="AG292" s="51"/>
      <c r="AH292" s="49"/>
      <c r="AI292" s="49"/>
      <c r="AJ292" s="49"/>
      <c r="AK292" s="49"/>
      <c r="AL292" s="119"/>
      <c r="AM292" s="49"/>
      <c r="AN292" s="119"/>
      <c r="AO292" s="49"/>
      <c r="AP292" s="119"/>
      <c r="AQ292" s="49"/>
      <c r="AR292" s="49"/>
      <c r="AS292" s="49"/>
      <c r="AT292" s="51"/>
    </row>
    <row r="293" spans="1:46" s="47" customFormat="1" ht="12.75" customHeight="1">
      <c r="A293" s="49"/>
      <c r="B293" s="51"/>
      <c r="C293" s="49"/>
      <c r="E293" s="119"/>
      <c r="F293" s="49"/>
      <c r="G293" s="119"/>
      <c r="H293" s="49"/>
      <c r="I293" s="119"/>
      <c r="J293" s="49"/>
      <c r="K293" s="119"/>
      <c r="L293" s="49"/>
      <c r="M293" s="119"/>
      <c r="N293" s="49"/>
      <c r="O293" s="119"/>
      <c r="P293" s="49"/>
      <c r="Q293" s="119"/>
      <c r="R293" s="49"/>
      <c r="S293" s="119"/>
      <c r="T293" s="49"/>
      <c r="U293" s="119"/>
      <c r="V293" s="49"/>
      <c r="W293" s="49"/>
      <c r="X293" s="49"/>
      <c r="Z293" s="49"/>
      <c r="AA293" s="49"/>
      <c r="AB293" s="119"/>
      <c r="AC293" s="51"/>
      <c r="AD293" s="119"/>
      <c r="AE293" s="51"/>
      <c r="AF293" s="119"/>
      <c r="AG293" s="51"/>
      <c r="AH293" s="49"/>
      <c r="AI293" s="49"/>
      <c r="AJ293" s="49"/>
      <c r="AK293" s="49"/>
      <c r="AL293" s="119"/>
      <c r="AM293" s="49"/>
      <c r="AN293" s="119"/>
      <c r="AO293" s="49"/>
      <c r="AP293" s="119"/>
      <c r="AQ293" s="49"/>
      <c r="AR293" s="49"/>
      <c r="AS293" s="49"/>
      <c r="AT293" s="51"/>
    </row>
    <row r="294" spans="1:46" s="47" customFormat="1" ht="12.75" customHeight="1">
      <c r="A294" s="49"/>
      <c r="B294" s="51"/>
      <c r="C294" s="49"/>
      <c r="E294" s="119"/>
      <c r="F294" s="49"/>
      <c r="G294" s="119"/>
      <c r="H294" s="49"/>
      <c r="I294" s="119"/>
      <c r="J294" s="49"/>
      <c r="K294" s="119"/>
      <c r="L294" s="49"/>
      <c r="M294" s="119"/>
      <c r="N294" s="49"/>
      <c r="O294" s="119"/>
      <c r="P294" s="49"/>
      <c r="Q294" s="119"/>
      <c r="R294" s="49"/>
      <c r="S294" s="119"/>
      <c r="T294" s="49"/>
      <c r="U294" s="119"/>
      <c r="V294" s="49"/>
      <c r="W294" s="49"/>
      <c r="X294" s="49"/>
      <c r="Z294" s="49"/>
      <c r="AA294" s="49"/>
      <c r="AB294" s="119"/>
      <c r="AC294" s="51"/>
      <c r="AD294" s="119"/>
      <c r="AE294" s="51"/>
      <c r="AF294" s="119"/>
      <c r="AG294" s="51"/>
      <c r="AH294" s="49"/>
      <c r="AI294" s="49"/>
      <c r="AJ294" s="49"/>
      <c r="AK294" s="49"/>
      <c r="AL294" s="119"/>
      <c r="AM294" s="49"/>
      <c r="AN294" s="119"/>
      <c r="AO294" s="49"/>
      <c r="AP294" s="119"/>
      <c r="AQ294" s="49"/>
      <c r="AR294" s="49"/>
      <c r="AS294" s="49"/>
      <c r="AT294" s="51"/>
    </row>
    <row r="295" spans="1:46" s="47" customFormat="1" ht="12.75" customHeight="1">
      <c r="A295" s="49"/>
      <c r="B295" s="51"/>
      <c r="C295" s="49"/>
      <c r="E295" s="119"/>
      <c r="F295" s="49"/>
      <c r="G295" s="119"/>
      <c r="H295" s="49"/>
      <c r="I295" s="119"/>
      <c r="J295" s="49"/>
      <c r="K295" s="119"/>
      <c r="L295" s="49"/>
      <c r="M295" s="119"/>
      <c r="N295" s="49"/>
      <c r="O295" s="119"/>
      <c r="P295" s="49"/>
      <c r="Q295" s="119"/>
      <c r="R295" s="49"/>
      <c r="S295" s="119"/>
      <c r="T295" s="49"/>
      <c r="U295" s="119"/>
      <c r="V295" s="49"/>
      <c r="W295" s="49"/>
      <c r="X295" s="49"/>
      <c r="Z295" s="49"/>
      <c r="AA295" s="49"/>
      <c r="AB295" s="119"/>
      <c r="AC295" s="51"/>
      <c r="AD295" s="119"/>
      <c r="AE295" s="51"/>
      <c r="AF295" s="119"/>
      <c r="AG295" s="51"/>
      <c r="AH295" s="49"/>
      <c r="AI295" s="49"/>
      <c r="AJ295" s="49"/>
      <c r="AK295" s="49"/>
      <c r="AL295" s="119"/>
      <c r="AM295" s="49"/>
      <c r="AN295" s="119"/>
      <c r="AO295" s="49"/>
      <c r="AP295" s="119"/>
      <c r="AQ295" s="49"/>
      <c r="AR295" s="49"/>
      <c r="AS295" s="49"/>
      <c r="AT295" s="51"/>
    </row>
    <row r="296" spans="1:46" s="47" customFormat="1" ht="12.75" customHeight="1">
      <c r="A296" s="49"/>
      <c r="B296" s="51"/>
      <c r="C296" s="49"/>
      <c r="E296" s="119"/>
      <c r="F296" s="49"/>
      <c r="G296" s="119"/>
      <c r="H296" s="49"/>
      <c r="I296" s="119"/>
      <c r="J296" s="49"/>
      <c r="K296" s="119"/>
      <c r="L296" s="49"/>
      <c r="M296" s="119"/>
      <c r="N296" s="49"/>
      <c r="O296" s="119"/>
      <c r="P296" s="49"/>
      <c r="Q296" s="119"/>
      <c r="R296" s="49"/>
      <c r="S296" s="119"/>
      <c r="T296" s="49"/>
      <c r="U296" s="119"/>
      <c r="V296" s="49"/>
      <c r="W296" s="49"/>
      <c r="X296" s="49"/>
      <c r="Z296" s="49"/>
      <c r="AA296" s="49"/>
      <c r="AB296" s="119"/>
      <c r="AC296" s="51"/>
      <c r="AD296" s="119"/>
      <c r="AE296" s="51"/>
      <c r="AF296" s="119"/>
      <c r="AG296" s="51"/>
      <c r="AH296" s="49"/>
      <c r="AI296" s="49"/>
      <c r="AJ296" s="49"/>
      <c r="AK296" s="49"/>
      <c r="AL296" s="119"/>
      <c r="AM296" s="49"/>
      <c r="AN296" s="119"/>
      <c r="AO296" s="49"/>
      <c r="AP296" s="119"/>
      <c r="AQ296" s="49"/>
      <c r="AR296" s="49"/>
      <c r="AS296" s="49"/>
      <c r="AT296" s="51"/>
    </row>
    <row r="297" spans="1:46" s="47" customFormat="1" ht="12.75" customHeight="1">
      <c r="A297" s="49"/>
      <c r="B297" s="51"/>
      <c r="C297" s="49"/>
      <c r="E297" s="119"/>
      <c r="F297" s="49"/>
      <c r="G297" s="119"/>
      <c r="H297" s="49"/>
      <c r="I297" s="119"/>
      <c r="J297" s="49"/>
      <c r="K297" s="119"/>
      <c r="L297" s="49"/>
      <c r="M297" s="119"/>
      <c r="N297" s="49"/>
      <c r="O297" s="119"/>
      <c r="P297" s="49"/>
      <c r="Q297" s="119"/>
      <c r="R297" s="49"/>
      <c r="S297" s="119"/>
      <c r="T297" s="49"/>
      <c r="U297" s="119"/>
      <c r="V297" s="49"/>
      <c r="W297" s="49"/>
      <c r="X297" s="49"/>
      <c r="Z297" s="49"/>
      <c r="AA297" s="49"/>
      <c r="AB297" s="119"/>
      <c r="AC297" s="51"/>
      <c r="AD297" s="119"/>
      <c r="AE297" s="51"/>
      <c r="AF297" s="119"/>
      <c r="AG297" s="51"/>
      <c r="AH297" s="49"/>
      <c r="AI297" s="49"/>
      <c r="AJ297" s="49"/>
      <c r="AK297" s="49"/>
      <c r="AL297" s="119"/>
      <c r="AM297" s="49"/>
      <c r="AN297" s="119"/>
      <c r="AO297" s="49"/>
      <c r="AP297" s="119"/>
      <c r="AQ297" s="49"/>
      <c r="AR297" s="49"/>
      <c r="AS297" s="49"/>
      <c r="AT297" s="51"/>
    </row>
    <row r="298" spans="1:46" s="47" customFormat="1" ht="12.75" customHeight="1">
      <c r="A298" s="49"/>
      <c r="B298" s="51"/>
      <c r="C298" s="49"/>
      <c r="E298" s="119"/>
      <c r="F298" s="49"/>
      <c r="G298" s="119"/>
      <c r="H298" s="49"/>
      <c r="I298" s="119"/>
      <c r="J298" s="49"/>
      <c r="K298" s="119"/>
      <c r="L298" s="49"/>
      <c r="M298" s="119"/>
      <c r="N298" s="49"/>
      <c r="O298" s="119"/>
      <c r="P298" s="49"/>
      <c r="Q298" s="119"/>
      <c r="R298" s="49"/>
      <c r="S298" s="119"/>
      <c r="T298" s="49"/>
      <c r="U298" s="119"/>
      <c r="V298" s="49"/>
      <c r="W298" s="49"/>
      <c r="X298" s="49"/>
      <c r="Z298" s="49"/>
      <c r="AA298" s="49"/>
      <c r="AB298" s="119"/>
      <c r="AC298" s="51"/>
      <c r="AD298" s="119"/>
      <c r="AE298" s="51"/>
      <c r="AF298" s="119"/>
      <c r="AG298" s="51"/>
      <c r="AH298" s="49"/>
      <c r="AI298" s="49"/>
      <c r="AJ298" s="49"/>
      <c r="AK298" s="49"/>
      <c r="AL298" s="119"/>
      <c r="AM298" s="49"/>
      <c r="AN298" s="119"/>
      <c r="AO298" s="49"/>
      <c r="AP298" s="119"/>
      <c r="AQ298" s="49"/>
      <c r="AR298" s="49"/>
      <c r="AS298" s="49"/>
      <c r="AT298" s="51"/>
    </row>
    <row r="299" spans="1:46" s="47" customFormat="1" ht="12.75" customHeight="1">
      <c r="A299" s="49"/>
      <c r="B299" s="51"/>
      <c r="C299" s="49"/>
      <c r="E299" s="119"/>
      <c r="F299" s="49"/>
      <c r="G299" s="119"/>
      <c r="H299" s="49"/>
      <c r="I299" s="119"/>
      <c r="J299" s="49"/>
      <c r="K299" s="119"/>
      <c r="L299" s="49"/>
      <c r="M299" s="119"/>
      <c r="N299" s="49"/>
      <c r="O299" s="119"/>
      <c r="P299" s="49"/>
      <c r="Q299" s="119"/>
      <c r="R299" s="49"/>
      <c r="S299" s="119"/>
      <c r="T299" s="49"/>
      <c r="U299" s="119"/>
      <c r="V299" s="49"/>
      <c r="W299" s="49"/>
      <c r="X299" s="49"/>
      <c r="Z299" s="49"/>
      <c r="AA299" s="49"/>
      <c r="AB299" s="119"/>
      <c r="AC299" s="51"/>
      <c r="AD299" s="119"/>
      <c r="AE299" s="51"/>
      <c r="AF299" s="119"/>
      <c r="AG299" s="51"/>
      <c r="AH299" s="49"/>
      <c r="AI299" s="49"/>
      <c r="AJ299" s="49"/>
      <c r="AK299" s="49"/>
      <c r="AL299" s="119"/>
      <c r="AM299" s="49"/>
      <c r="AN299" s="119"/>
      <c r="AO299" s="49"/>
      <c r="AP299" s="119"/>
      <c r="AQ299" s="49"/>
      <c r="AR299" s="49"/>
      <c r="AS299" s="49"/>
      <c r="AT299" s="51"/>
    </row>
    <row r="300" spans="1:46" s="47" customFormat="1" ht="12.75" customHeight="1">
      <c r="A300" s="49"/>
      <c r="B300" s="51"/>
      <c r="C300" s="49"/>
      <c r="E300" s="119"/>
      <c r="F300" s="49"/>
      <c r="G300" s="119"/>
      <c r="H300" s="49"/>
      <c r="I300" s="119"/>
      <c r="J300" s="49"/>
      <c r="K300" s="119"/>
      <c r="L300" s="49"/>
      <c r="M300" s="119"/>
      <c r="N300" s="49"/>
      <c r="O300" s="119"/>
      <c r="P300" s="49"/>
      <c r="Q300" s="119"/>
      <c r="R300" s="49"/>
      <c r="S300" s="119"/>
      <c r="T300" s="49"/>
      <c r="U300" s="119"/>
      <c r="V300" s="49"/>
      <c r="W300" s="49"/>
      <c r="X300" s="49"/>
      <c r="Z300" s="49"/>
      <c r="AA300" s="49"/>
      <c r="AB300" s="119"/>
      <c r="AC300" s="51"/>
      <c r="AD300" s="119"/>
      <c r="AE300" s="51"/>
      <c r="AF300" s="119"/>
      <c r="AG300" s="51"/>
      <c r="AH300" s="49"/>
      <c r="AI300" s="49"/>
      <c r="AJ300" s="49"/>
      <c r="AK300" s="49"/>
      <c r="AL300" s="119"/>
      <c r="AM300" s="49"/>
      <c r="AN300" s="119"/>
      <c r="AO300" s="49"/>
      <c r="AP300" s="119"/>
      <c r="AQ300" s="49"/>
      <c r="AR300" s="49"/>
      <c r="AS300" s="49"/>
      <c r="AT300" s="51"/>
    </row>
    <row r="301" spans="1:46" s="47" customFormat="1" ht="12.75" customHeight="1">
      <c r="A301" s="49"/>
      <c r="B301" s="51"/>
      <c r="C301" s="49"/>
      <c r="E301" s="119"/>
      <c r="F301" s="49"/>
      <c r="G301" s="119"/>
      <c r="H301" s="49"/>
      <c r="I301" s="119"/>
      <c r="J301" s="49"/>
      <c r="K301" s="119"/>
      <c r="L301" s="49"/>
      <c r="M301" s="119"/>
      <c r="N301" s="49"/>
      <c r="O301" s="119"/>
      <c r="P301" s="49"/>
      <c r="Q301" s="119"/>
      <c r="R301" s="49"/>
      <c r="S301" s="119"/>
      <c r="T301" s="49"/>
      <c r="U301" s="119"/>
      <c r="V301" s="49"/>
      <c r="W301" s="49"/>
      <c r="X301" s="49"/>
      <c r="Z301" s="49"/>
      <c r="AA301" s="49"/>
      <c r="AB301" s="119"/>
      <c r="AC301" s="51"/>
      <c r="AD301" s="119"/>
      <c r="AE301" s="51"/>
      <c r="AF301" s="119"/>
      <c r="AG301" s="51"/>
      <c r="AH301" s="49"/>
      <c r="AI301" s="49"/>
      <c r="AJ301" s="49"/>
      <c r="AK301" s="49"/>
      <c r="AL301" s="119"/>
      <c r="AM301" s="49"/>
      <c r="AN301" s="119"/>
      <c r="AO301" s="49"/>
      <c r="AP301" s="119"/>
      <c r="AQ301" s="49"/>
      <c r="AR301" s="49"/>
      <c r="AS301" s="49"/>
      <c r="AT301" s="51"/>
    </row>
    <row r="302" spans="1:46" s="47" customFormat="1" ht="12.75" customHeight="1">
      <c r="A302" s="49"/>
      <c r="B302" s="51"/>
      <c r="C302" s="49"/>
      <c r="E302" s="119"/>
      <c r="F302" s="49"/>
      <c r="G302" s="119"/>
      <c r="H302" s="49"/>
      <c r="I302" s="119"/>
      <c r="J302" s="49"/>
      <c r="K302" s="119"/>
      <c r="L302" s="49"/>
      <c r="M302" s="119"/>
      <c r="N302" s="49"/>
      <c r="O302" s="119"/>
      <c r="P302" s="49"/>
      <c r="Q302" s="119"/>
      <c r="R302" s="49"/>
      <c r="S302" s="119"/>
      <c r="T302" s="49"/>
      <c r="U302" s="119"/>
      <c r="V302" s="49"/>
      <c r="W302" s="49"/>
      <c r="X302" s="49"/>
      <c r="Z302" s="49"/>
      <c r="AA302" s="49"/>
      <c r="AB302" s="119"/>
      <c r="AC302" s="51"/>
      <c r="AD302" s="119"/>
      <c r="AE302" s="51"/>
      <c r="AF302" s="119"/>
      <c r="AG302" s="51"/>
      <c r="AH302" s="49"/>
      <c r="AI302" s="49"/>
      <c r="AJ302" s="49"/>
      <c r="AK302" s="49"/>
      <c r="AL302" s="119"/>
      <c r="AM302" s="49"/>
      <c r="AN302" s="119"/>
      <c r="AO302" s="49"/>
      <c r="AP302" s="119"/>
      <c r="AQ302" s="49"/>
      <c r="AR302" s="49"/>
      <c r="AS302" s="49"/>
      <c r="AT302" s="51"/>
    </row>
    <row r="303" spans="1:46" ht="12.75" customHeight="1">
      <c r="E303" s="119"/>
      <c r="G303" s="119"/>
      <c r="I303" s="119"/>
      <c r="K303" s="119"/>
      <c r="M303" s="119"/>
      <c r="O303" s="119"/>
      <c r="Q303" s="119"/>
      <c r="S303" s="119"/>
      <c r="U303" s="119"/>
      <c r="AB303" s="119"/>
      <c r="AD303" s="119"/>
      <c r="AF303" s="119"/>
      <c r="AL303" s="119"/>
      <c r="AN303" s="119"/>
      <c r="AP303" s="119"/>
    </row>
  </sheetData>
  <mergeCells count="2">
    <mergeCell ref="AS122:AT122"/>
    <mergeCell ref="AS226:AT226"/>
  </mergeCells>
  <phoneticPr fontId="4" type="noConversion"/>
  <pageMargins left="0.75" right="0.75" top="0.5" bottom="0.5" header="0" footer="0.3"/>
  <pageSetup scale="84" firstPageNumber="68" pageOrder="overThenDown" orientation="portrait" useFirstPageNumber="1" r:id="rId1"/>
  <headerFooter alignWithMargins="0">
    <oddFooter>&amp;C&amp;"Times New Roman,Regular"&amp;12&amp;P</oddFooter>
  </headerFooter>
  <rowBreaks count="3" manualBreakCount="3">
    <brk id="72" max="37" man="1"/>
    <brk id="133" max="37" man="1"/>
    <brk id="197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26</vt:i4>
      </vt:variant>
    </vt:vector>
  </HeadingPairs>
  <TitlesOfParts>
    <vt:vector size="39" baseType="lpstr">
      <vt:lpstr>Stmt net assets</vt:lpstr>
      <vt:lpstr>Stmt of activities-GA rev</vt:lpstr>
      <vt:lpstr>Stmt of activities-GAexp</vt:lpstr>
      <vt:lpstr>Gen Bal</vt:lpstr>
      <vt:lpstr>GV Fund BS</vt:lpstr>
      <vt:lpstr>Gen rev</vt:lpstr>
      <vt:lpstr>Gen exp</vt:lpstr>
      <vt:lpstr>GVFund Rev</vt:lpstr>
      <vt:lpstr>GVFund Exp</vt:lpstr>
      <vt:lpstr>Water</vt:lpstr>
      <vt:lpstr>Sewer</vt:lpstr>
      <vt:lpstr>Electric</vt:lpstr>
      <vt:lpstr>LT Lia GA</vt:lpstr>
      <vt:lpstr>Electric!Print_Area</vt:lpstr>
      <vt:lpstr>'Gen Bal'!Print_Area</vt:lpstr>
      <vt:lpstr>'Gen exp'!Print_Area</vt:lpstr>
      <vt:lpstr>'Gen rev'!Print_Area</vt:lpstr>
      <vt:lpstr>'GV Fund BS'!Print_Area</vt:lpstr>
      <vt:lpstr>'GVFund Exp'!Print_Area</vt:lpstr>
      <vt:lpstr>'GVFund Rev'!Print_Area</vt:lpstr>
      <vt:lpstr>'LT Lia GA'!Print_Area</vt:lpstr>
      <vt:lpstr>Sewer!Print_Area</vt:lpstr>
      <vt:lpstr>'Stmt net assets'!Print_Area</vt:lpstr>
      <vt:lpstr>'Stmt of activities-GA rev'!Print_Area</vt:lpstr>
      <vt:lpstr>'Stmt of activities-GAexp'!Print_Area</vt:lpstr>
      <vt:lpstr>Water!Print_Area</vt:lpstr>
      <vt:lpstr>Electric!Print_Titles</vt:lpstr>
      <vt:lpstr>'Gen Bal'!Print_Titles</vt:lpstr>
      <vt:lpstr>'Gen exp'!Print_Titles</vt:lpstr>
      <vt:lpstr>'Gen rev'!Print_Titles</vt:lpstr>
      <vt:lpstr>'GV Fund BS'!Print_Titles</vt:lpstr>
      <vt:lpstr>'GVFund Exp'!Print_Titles</vt:lpstr>
      <vt:lpstr>'GVFund Rev'!Print_Titles</vt:lpstr>
      <vt:lpstr>'LT Lia GA'!Print_Titles</vt:lpstr>
      <vt:lpstr>Sewer!Print_Titles</vt:lpstr>
      <vt:lpstr>'Stmt net assets'!Print_Titles</vt:lpstr>
      <vt:lpstr>'Stmt of activities-GA rev'!Print_Titles</vt:lpstr>
      <vt:lpstr>'Stmt of activities-GAexp'!Print_Titles</vt:lpstr>
      <vt:lpstr>Water!Print_Titles</vt:lpstr>
    </vt:vector>
  </TitlesOfParts>
  <Company>Auditor of State of Ohio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Dallas J. Hynes</cp:lastModifiedBy>
  <cp:lastPrinted>2009-03-02T16:25:57Z</cp:lastPrinted>
  <dcterms:created xsi:type="dcterms:W3CDTF">2004-05-27T13:05:31Z</dcterms:created>
  <dcterms:modified xsi:type="dcterms:W3CDTF">2009-03-02T16:47:02Z</dcterms:modified>
</cp:coreProperties>
</file>